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<sst xmlns="http://schemas.openxmlformats.org/spreadsheetml/2006/main" count="1070" uniqueCount="447">
  <si>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</si>
  <si>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</si>
  <si>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</si>
  <si>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</si>
  <si>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</si>
  <si>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</si>
  <si>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</si>
  <si>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</si>
  <si>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</si>
  <si>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</si>
  <si>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</si>
  <si>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</si>
  <si>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</si>
  <si>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</si>
  <si>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</si>
  <si>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</si>
  <si>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</si>
  <si>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</si>
  <si>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</si>
  <si>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</si>
  <si>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</si>
  <si>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</si>
  <si>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</si>
  <si>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</si>
  <si>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</si>
  <si>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</si>
  <si>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</si>
  <si>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</si>
  <si>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</si>
  <si>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</si>
  <si>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</si>
  <si>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</si>
  <si>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</si>
  <si>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</si>
  <si>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</si>
  <si>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</si>
  <si>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</si>
  <si>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</si>
  <si>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</si>
  <si>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</si>
  <si>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</si>
  <si>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</si>
  <si>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</si>
  <si>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</si>
  <si>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</si>
  <si>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</si>
  <si>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</si>
  <si>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</si>
  <si>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</si>
  <si>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</si>
  <si>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</si>
  <si>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</si>
  <si>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</si>
  <si>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</si>
  <si>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</si>
  <si>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</si>
  <si>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</si>
  <si>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</si>
  <si>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</si>
  <si>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</si>
  <si>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</si>
  <si>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</si>
  <si>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</si>
  <si>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</si>
  <si>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</si>
  <si>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</si>
  <si>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</si>
  <si>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</si>
  <si>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</si>
  <si>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</si>
  <si>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</si>
  <si>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</si>
  <si>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</si>
  <si>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</si>
  <si>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</si>
  <si>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</si>
  <si>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</si>
  <si>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</si>
  <si>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</si>
  <si>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</si>
  <si>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</si>
  <si>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</si>
  <si>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</si>
  <si>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</si>
  <si>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</si>
  <si>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</si>
  <si>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</si>
  <si>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</si>
  <si>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</si>
  <si>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</si>
  <si>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</si>
  <si>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</si>
  <si>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</si>
  <si>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</si>
  <si>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</si>
  <si>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</si>
  <si>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</si>
  <si>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</si>
  <si>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</si>
  <si>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</si>
  <si>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</si>
  <si>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</si>
  <si>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</si>
  <si>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</si>
  <si>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</si>
  <si>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</si>
  <si>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</si>
  <si>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</si>
  <si>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</si>
  <si>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</si>
  <si>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</si>
  <si>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</si>
  <si>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</si>
  <si>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</si>
  <si>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</si>
  <si>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</si>
  <si>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</si>
  <si>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</si>
  <si>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</si>
  <si>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</si>
  <si>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</si>
  <si>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</si>
  <si>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</si>
  <si>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</si>
  <si>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</si>
  <si>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</si>
  <si>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</si>
  <si>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</si>
  <si>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</si>
  <si>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</si>
  <si>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</si>
  <si>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</si>
  <si>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</si>
  <si>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</si>
  <si>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</si>
  <si>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</si>
  <si>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</si>
  <si>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</si>
  <si>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</si>
  <si>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</si>
  <si>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</si>
  <si>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</si>
  <si>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</si>
  <si>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</si>
  <si>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</si>
  <si>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</si>
  <si>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</si>
  <si>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</si>
  <si>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</si>
  <si>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</si>
  <si>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</si>
  <si>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</si>
  <si>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</si>
  <si>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</si>
  <si>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</si>
  <si>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</si>
  <si>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</si>
  <si>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</si>
  <si>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</si>
  <si>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</si>
  <si>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</si>
  <si>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</si>
  <si>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</si>
  <si>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</si>
  <si>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</si>
  <si>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</si>
  <si>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</si>
  <si>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</si>
  <si>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</si>
  <si>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</si>
  <si>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</si>
  <si>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</si>
  <si>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</si>
  <si>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</si>
  <si>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</si>
  <si>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</si>
  <si>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</si>
  <si>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</si>
  <si>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</si>
  <si>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</si>
  <si>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</si>
  <si>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</si>
  <si>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</si>
  <si>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</si>
  <si>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</si>
  <si>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</si>
  <si>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</si>
  <si>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</si>
  <si>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</si>
  <si>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</si>
  <si>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</si>
  <si>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</si>
  <si>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</si>
  <si>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</si>
  <si>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</si>
  <si>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</si>
  <si>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</si>
  <si>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</si>
  <si>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</si>
  <si>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</si>
  <si>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</si>
  <si>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</si>
  <si>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</si>
  <si>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</si>
  <si>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</si>
  <si>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</si>
  <si>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</si>
  <si>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</si>
  <si>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</si>
  <si>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</si>
  <si>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</si>
  <si>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</si>
  <si>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</si>
  <si>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</si>
  <si>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iatteice</t>
  </si>
  <si>
    <t>aafiyatpa</t>
  </si>
  <si>
    <t>dexter_danilo</t>
  </si>
  <si>
    <t>longaway__</t>
  </si>
  <si>
    <t>arab_intel</t>
  </si>
  <si>
    <t>ansch_1</t>
  </si>
  <si>
    <t>milss_00</t>
  </si>
  <si>
    <t>palmyrenevoices</t>
  </si>
  <si>
    <t>heritage4peace</t>
  </si>
  <si>
    <t>moondeleine</t>
  </si>
  <si>
    <t>mzizo1515</t>
  </si>
  <si>
    <t>doumqa</t>
  </si>
  <si>
    <t>chelseaindo</t>
  </si>
  <si>
    <t>bilalidr</t>
  </si>
  <si>
    <t>bdngfess</t>
  </si>
  <si>
    <t>kadalbuntunc</t>
  </si>
  <si>
    <t>aramex</t>
  </si>
  <si>
    <t>Replies to</t>
  </si>
  <si>
    <t>MentionsInRetweet</t>
  </si>
  <si>
    <t>Retweet</t>
  </si>
  <si>
    <t>Mentions</t>
  </si>
  <si>
    <t>@doumqa al nya bener, TAPI AL SAHA _xD83D__xDE2D_</t>
  </si>
  <si>
    <t>Did you know?
Staring constantly on your mobile devices or laptops/computer screens can lead to #ComputerVisionSyndrome?
In view of #UncomplicatingLives, we have collaborated with Al Saha Al Shifa Hospital to throw some light on #computervisionsyndrome https://t.co/vHZJZGzARB</t>
  </si>
  <si>
    <t>RT @aafiyatpa: Did you know?
Staring constantly on your mobile devices or laptops/computer screens can lead to #ComputerVisionSyndrome?
In…</t>
  </si>
  <si>
    <t>@chelseaindo al saha?</t>
  </si>
  <si>
    <t>_xD83C__xDDF1__xD83C__xDDE7_ _xD83C__xDDE7__xD83C__xDDED_ | Le ministre Libanais de l'Intérieur, Bassam Mawlawi, empêche l'opposition bahreïnite de tenir deux activités à l'hôtel Al Saha et à l'aéroport Road et ouvre une enquête pour recueillir des informations sur les organisateurs.</t>
  </si>
  <si>
    <t>RT @palmyrenevoices: The northern Pazar/Al Saha/ in the modern town / Al Zahirah / was established in the fifties of the twentieth century…</t>
  </si>
  <si>
    <t>@bilalidr Ya3tik al saha, c’est vraiment troo bon j’espère ta vien faim la</t>
  </si>
  <si>
    <t>The northern Pazar/Al Saha/ in the modern town / Al Zahirah / was established in the fifties of the twentieth century to become the main commercial center in Palmyra, which contains the various commercial businesses of the city such as selling vegetables, foodstuffs, house tools. https://t.co/pEBrvx40sf</t>
  </si>
  <si>
    <t>@kadalbuntunc @bdngfess al saha:(</t>
  </si>
  <si>
    <t>@Aramex 
Shipment number 1919313723
 Recipient's name / M.A.AZIZOOO
 Mobile number / 0590133880
 Address - Jeddah Al Muntazahat Al Sharqiah District - Al Habhabi Street - Shifa Al Saha Trading Company
 Jeddah-Saudi Arabia
Waiting for a reply from you</t>
  </si>
  <si>
    <t>computervisionsyndrome uncomplicatinglives computervisionsyndrome</t>
  </si>
  <si>
    <t>computervisionsyndrome</t>
  </si>
  <si>
    <t>06:22:27</t>
  </si>
  <si>
    <t>11:42:24</t>
  </si>
  <si>
    <t>08:35:30</t>
  </si>
  <si>
    <t>18:00:52</t>
  </si>
  <si>
    <t>17:56:21</t>
  </si>
  <si>
    <t>16:09:42</t>
  </si>
  <si>
    <t>00:47:11</t>
  </si>
  <si>
    <t>15:53:58</t>
  </si>
  <si>
    <t>10:16:27</t>
  </si>
  <si>
    <t>11:52:47</t>
  </si>
  <si>
    <t>18:59:49</t>
  </si>
  <si>
    <t>1491296418350665729</t>
  </si>
  <si>
    <t>1490652161373470721</t>
  </si>
  <si>
    <t>1491329899197464576</t>
  </si>
  <si>
    <t>1491472179955142656</t>
  </si>
  <si>
    <t>1491833430409101314</t>
  </si>
  <si>
    <t>1492893754851840004</t>
  </si>
  <si>
    <t>1493023984434266112</t>
  </si>
  <si>
    <t>1492889796414476290</t>
  </si>
  <si>
    <t>1493167246478299139</t>
  </si>
  <si>
    <t>1493553873784815617</t>
  </si>
  <si>
    <t>1491124626885586945</t>
  </si>
  <si>
    <t>1491281555079458816</t>
  </si>
  <si>
    <t>1491472090868125696</t>
  </si>
  <si>
    <t>1493023662005497862</t>
  </si>
  <si>
    <t>1493550210437447680</t>
  </si>
  <si>
    <t>1355843012182597640</t>
  </si>
  <si>
    <t/>
  </si>
  <si>
    <t>46414779</t>
  </si>
  <si>
    <t>2539230874</t>
  </si>
  <si>
    <t>359730398</t>
  </si>
  <si>
    <t>60652335</t>
  </si>
  <si>
    <t>in</t>
  </si>
  <si>
    <t>en</t>
  </si>
  <si>
    <t>tl</t>
  </si>
  <si>
    <t>fr</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</si>
  <si>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</si>
  <si>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</si>
  <si>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</si>
  <si>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</si>
  <si>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</si>
  <si>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</si>
  <si>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</si>
  <si>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</si>
  <si>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</si>
  <si>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</si>
  <si>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</si>
  <si>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</si>
  <si>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</si>
  <si>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</si>
  <si>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</si>
  <si>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</si>
  <si>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</si>
  <si>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</si>
  <si>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</si>
  <si>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</si>
  <si>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</si>
  <si>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</si>
  <si>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</si>
  <si>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</si>
  <si>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</si>
  <si>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Aramex</t>
  </si>
  <si>
    <t>kiyaaa.</t>
  </si>
  <si>
    <t>dim</t>
  </si>
  <si>
    <t>Aafiya</t>
  </si>
  <si>
    <t>Danilo Dexter Cruz</t>
  </si>
  <si>
    <t>maspay</t>
  </si>
  <si>
    <t>⭐CISC⭐</t>
  </si>
  <si>
    <t>Arab Intelligence - المخابرات العربية</t>
  </si>
  <si>
    <t>ANSCH</t>
  </si>
  <si>
    <t>Palmyerene Voices</t>
  </si>
  <si>
    <t>_xD835__xDCDC__xD835__xDCF2__xD835__xDCF6__xD835__xDCFC__xD835__xDCFC_ ✨</t>
  </si>
  <si>
    <t>Bilal Idr</t>
  </si>
  <si>
    <t>Heritage for Peace</t>
  </si>
  <si>
    <t>pui</t>
  </si>
  <si>
    <t>BANDUNG FESS</t>
  </si>
  <si>
    <t>cingciripit</t>
  </si>
  <si>
    <t>ᎷᎧᏂᏗᎷᏋᎴ ᏗᏰᎴ  ᏗᘔᎥᏋᘔ</t>
  </si>
  <si>
    <t>4637507306</t>
  </si>
  <si>
    <t>4060235661</t>
  </si>
  <si>
    <t>917849569467224064</t>
  </si>
  <si>
    <t>1213800071982043136</t>
  </si>
  <si>
    <t>1241822412464930816</t>
  </si>
  <si>
    <t>1248958438799036417</t>
  </si>
  <si>
    <t>1377983549220003845</t>
  </si>
  <si>
    <t>1162481620672270337</t>
  </si>
  <si>
    <t>3293836625</t>
  </si>
  <si>
    <t>1326423641966452738</t>
  </si>
  <si>
    <t>1248335621988311041</t>
  </si>
  <si>
    <t>2585830866</t>
  </si>
  <si>
    <t>Welcome to the official Twitter page of Aramex! Delivering logistics straight to you _xD83C__xDF0E__xD83D__xDCE6_</t>
  </si>
  <si>
    <t>_xD835__xDDEE__xD835__xDDFD__xD835__xDDEE__xD835__xDDFD__xD835__xDE02__xD835__xDDFB_ _xD835__xDDFA__xD835__xDDEE__xD835__xDE00__xD835__xDDEE__xD835__xDDF9__xD835__xDDEE__xD835__xDDF5__xD835__xDDFB__xD835__xDE06__xD835__xDDEE_, _xD835__xDDF5__xD835__xDDEE__xD835__xDDFF__xD835__xDE02__xD835__xDE00_ _xD835__xDE01__xD835__xDDF2__xD835__xDE01__xD835__xDDEE__xD835__xDDFD_ _xD835__xDDF5__xD835__xDDEE__xD835__xDDFD__xD835__xDDFD__xD835__xDE06_ _xD835__xDDF8__xD835__xDDF6__xD835__xDE06__xD835__xDDFC__xD835__xDE04__xD835__xDDFC_. ♡✨</t>
  </si>
  <si>
    <t>#JEONSOMI #전소미</t>
  </si>
  <si>
    <t>Simple and GOD fearing....</t>
  </si>
  <si>
    <t>Bisa dipanggil i.</t>
  </si>
  <si>
    <t>Official account of the best supporters club on Twitter. 
Instagram: @chelseaindo | Hashtags: #ThePrideOfCISC #ThisIsCISC</t>
  </si>
  <si>
    <t>Page de ré-information | Veille politico-stratégique, affaires militaires, terrorisme, pensée Arabe et Histoire des mouvements de libérations nationaux.</t>
  </si>
  <si>
    <t>The Arab Network of Civil Society Organizations to Safeguard Cultural Heritage</t>
  </si>
  <si>
    <t>Helping the Palmyrean community in diaspora
مساعدة المجتمع التدمري في بلدان الشتات</t>
  </si>
  <si>
    <t>démodé les bio</t>
  </si>
  <si>
    <t>صبر :)</t>
  </si>
  <si>
    <t>Heritage4Peace is a non-profit organization. Our mission is to support all Syrians to protect and safeguard Syria’s cultural heritage during the armed conflict.</t>
  </si>
  <si>
    <t>duta jajan bandung</t>
  </si>
  <si>
    <t>Base Bandung V2 | Humor, bertanya &amp; sharing | Cek menu likes | Trigger: euy | pengaduan/pp @rinysafa @tehAprill</t>
  </si>
  <si>
    <t>yang baca bio mukanya jelek</t>
  </si>
  <si>
    <t>ما أجمل أن تعيش ، وتتكلم بعفوية ، ولا تركز على تعليقات الناس ~</t>
  </si>
  <si>
    <t>Global</t>
  </si>
  <si>
    <t>_xD835__xDE58__xD835__xDE56_ / _xD835__xDE65__xD835__xDE56_. _xD83C__xDF2C_</t>
  </si>
  <si>
    <t>Dubai, United Arab Emirates</t>
  </si>
  <si>
    <t>Indonesia</t>
  </si>
  <si>
    <t>République Arabe Unie</t>
  </si>
  <si>
    <t>Bruxelles, Belgique</t>
  </si>
  <si>
    <t>Bandung, Jawa Barat</t>
  </si>
  <si>
    <t>dirigdig digidaw</t>
  </si>
  <si>
    <t>جدة, مكة المكرمة</t>
  </si>
  <si>
    <t>Open Twitter Page for This Person</t>
  </si>
  <si>
    <t xml:space="preserve">aramex
</t>
  </si>
  <si>
    <t>iatteice
@doumqa al nya bener, TAPI AL SAHA
_xD83D__xDE2D_</t>
  </si>
  <si>
    <t xml:space="preserve">doumqa
</t>
  </si>
  <si>
    <t>aafiyatpa
Did you know? Staring constantly
on your mobile devices or laptops/computer
screens can lead to #ComputerVisionSyndrome?
In view of #UncomplicatingLives,
we have collaborated with Al Saha
Al Shifa Hospital to throw some
light on #computervisionsyndrome
https://t.co/vHZJZGzARB</t>
  </si>
  <si>
    <t>dexter_danilo
RT @aafiyatpa: Did you know? Staring
constantly on your mobile devices
or laptops/computer screens can
lead to #ComputerVisionSyndrome?
In…</t>
  </si>
  <si>
    <t>longaway__
@chelseaindo al saha?</t>
  </si>
  <si>
    <t xml:space="preserve">chelseaindo
</t>
  </si>
  <si>
    <t>arab_intel
_xD83C__xDDF1__xD83C__xDDE7_ _xD83C__xDDE7__xD83C__xDDED_ | Le ministre Libanais
de l'Intérieur, Bassam Mawlawi,
empêche l'opposition bahreïnite
de tenir deux activités à l'hôtel
Al Saha et à l'aéroport Road et
ouvre une enquête pour recueillir
des informations sur les organisateurs.</t>
  </si>
  <si>
    <t>ansch_1
RT @palmyrenevoices: The northern
Pazar/Al Saha/ in the modern town
/ Al Zahirah / was established
in the fifties of the twentieth
century…</t>
  </si>
  <si>
    <t>palmyrenevoices
The northern Pazar/Al Saha/ in
the modern town / Al Zahirah /
was established in the fifties
of the twentieth century to become
the main commercial center in Palmyra,
which contains the various commercial
businesses of the city such as
selling vegetables, foodstuffs,
house tools. https://t.co/pEBrvx40sf</t>
  </si>
  <si>
    <t>milss_00
@bilalidr Ya3tik al saha, c’est
vraiment troo bon j’espère ta vien
faim la</t>
  </si>
  <si>
    <t xml:space="preserve">bilalidr
</t>
  </si>
  <si>
    <t>heritage4peace
RT @palmyrenevoices: The northern
Pazar/Al Saha/ in the modern town
/ Al Zahirah / was established
in the fifties of the twentieth
century…</t>
  </si>
  <si>
    <t>moondeleine
@kadalbuntunc @bdngfess al saha:(</t>
  </si>
  <si>
    <t xml:space="preserve">bdngfess
</t>
  </si>
  <si>
    <t xml:space="preserve">kadalbuntunc
</t>
  </si>
  <si>
    <t>mzizo1515
@Aramex Shipment number 1919313723
Recipient's name / M.A.AZIZOOO
Mobile number / 0590133880 Address
- Jeddah Al Muntazahat Al Sharqiah
District - Al Habhabi Street -
Shifa Al Saha Trading Company Jeddah-Saudi
Arabia Waiting for a reply from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</si>
  <si>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</si>
  <si>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</si>
  <si>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</si>
  <si>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</si>
  <si>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</si>
  <si>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</si>
  <si>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</si>
  <si>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</si>
  <si>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</si>
  <si>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</si>
  <si>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</si>
  <si>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</si>
  <si>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</si>
  <si>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</si>
  <si>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</si>
  <si>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</si>
  <si>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</si>
  <si>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</si>
  <si>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</si>
  <si>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</si>
  <si>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</si>
  <si>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</si>
  <si>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</si>
  <si>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</si>
  <si>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</si>
  <si>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</si>
  <si>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</si>
  <si>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</si>
  <si>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</si>
  <si>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</si>
  <si>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</si>
  <si>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</si>
  <si>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</si>
  <si>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</si>
  <si>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</si>
  <si>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</si>
  <si>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</si>
  <si>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</si>
  <si>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</si>
  <si>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</si>
  <si>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</si>
  <si>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</si>
  <si>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</si>
  <si>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</si>
  <si>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</si>
  <si>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</si>
  <si>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</si>
  <si>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</si>
  <si>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</si>
  <si>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</si>
  <si>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</si>
  <si>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</si>
  <si>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</si>
  <si>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</si>
  <si>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</si>
  <si>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</si>
  <si>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</si>
  <si>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</si>
  <si>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</si>
  <si>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</si>
  <si>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</si>
  <si>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</si>
  <si>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</si>
  <si>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</si>
  <si>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</si>
  <si>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GraphSource░GraphServerTwitterSearch▓GraphTerm░%22Al Saha%22▓ImportDescription░The graph represents a network of 17 Twitter users whose tweets in the requested range contained "%22Al Saha%22", or who were replied to or mentioned in those tweets.  The network was obtained from the NodeXL Graph Server on Sunday, 20 February 2022 at 14:38 UTC.
The requested start date was Sunday, 20 February 2022 at 01:01 UTC and the maximum number of days (going backward) was 14.
The maximum number of tweets collected was 5,000.
The tweets in the network were tweeted over the 8-day, 0-hour, 10-minute period from Monday, 07 February 2022 at 11:42 UTC to Tuesday, 15 February 2022 at 11:52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</si>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</sst>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80050"/>
        <c:axId val="30693859"/>
      </c:barChart>
      <c:catAx>
        <c:axId val="25780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693859"/>
        <c:crosses val="autoZero"/>
        <c:auto val="1"/>
        <c:lblOffset val="100"/>
        <c:noMultiLvlLbl val="0"/>
      </c:catAx>
      <c:valAx>
        <c:axId val="3069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2/7/2022 11:42</c:v>
                </c:pt>
                <c:pt idx="1">
                  <c:v>2/8/2022 18:59</c:v>
                </c:pt>
                <c:pt idx="2">
                  <c:v>2/9/2022 6:22</c:v>
                </c:pt>
                <c:pt idx="3">
                  <c:v>2/9/2022 8:35</c:v>
                </c:pt>
                <c:pt idx="4">
                  <c:v>2/9/2022 18:00</c:v>
                </c:pt>
                <c:pt idx="5">
                  <c:v>2/10/2022 17:56</c:v>
                </c:pt>
                <c:pt idx="6">
                  <c:v>2/13/2022 15:53</c:v>
                </c:pt>
                <c:pt idx="7">
                  <c:v>2/13/2022 16:09</c:v>
                </c:pt>
                <c:pt idx="8">
                  <c:v>2/14/2022 0:47</c:v>
                </c:pt>
                <c:pt idx="9">
                  <c:v>2/14/2022 10:16</c:v>
                </c:pt>
                <c:pt idx="10">
                  <c:v>2/15/2022 11:52</c:v>
                </c:pt>
              </c:strCache>
            </c:strRef>
          </c:cat>
          <c:val>
            <c:numRef>
              <c:f>'Time Series'!$B$26:$B$37</c:f>
              <c:numCache>
                <c:formatCode>General</c:formatCode>
                <c:ptCount val="11"/>
                <c:pt idx="0">
                  <c:v>1</c:v>
                </c:pt>
                <c:pt idx="1">
                  <c:v>1</c:v>
                </c:pt>
                <c:pt idx="2">
                  <c:v>1</c:v>
                </c:pt>
                <c:pt idx="3">
                  <c:v>2</c:v>
                </c:pt>
                <c:pt idx="4">
                  <c:v>1</c:v>
                </c:pt>
                <c:pt idx="5">
                  <c:v>1</c:v>
                </c:pt>
                <c:pt idx="6">
                  <c:v>1</c:v>
                </c:pt>
                <c:pt idx="7">
                  <c:v>2</c:v>
                </c:pt>
                <c:pt idx="8">
                  <c:v>1</c:v>
                </c:pt>
                <c:pt idx="9">
                  <c:v>2</c:v>
                </c:pt>
                <c:pt idx="10">
                  <c:v>2</c:v>
                </c:pt>
              </c:numCache>
            </c:numRef>
          </c:val>
        </c:ser>
        <c:axId val="29652684"/>
        <c:axId val="65547565"/>
      </c:barChart>
      <c:catAx>
        <c:axId val="29652684"/>
        <c:scaling>
          <c:orientation val="minMax"/>
        </c:scaling>
        <c:axPos val="b"/>
        <c:delete val="0"/>
        <c:numFmt formatCode="General" sourceLinked="1"/>
        <c:majorTickMark val="out"/>
        <c:minorTickMark val="none"/>
        <c:tickLblPos val="nextTo"/>
        <c:crossAx val="65547565"/>
        <c:crosses val="autoZero"/>
        <c:auto val="1"/>
        <c:lblOffset val="100"/>
        <c:noMultiLvlLbl val="0"/>
      </c:catAx>
      <c:valAx>
        <c:axId val="65547565"/>
        <c:scaling>
          <c:orientation val="minMax"/>
        </c:scaling>
        <c:axPos val="l"/>
        <c:majorGridlines/>
        <c:delete val="0"/>
        <c:numFmt formatCode="General" sourceLinked="1"/>
        <c:majorTickMark val="out"/>
        <c:minorTickMark val="none"/>
        <c:tickLblPos val="nextTo"/>
        <c:crossAx val="296526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09276"/>
        <c:axId val="3174621"/>
      </c:barChart>
      <c:catAx>
        <c:axId val="7809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4621"/>
        <c:crosses val="autoZero"/>
        <c:auto val="1"/>
        <c:lblOffset val="100"/>
        <c:noMultiLvlLbl val="0"/>
      </c:catAx>
      <c:valAx>
        <c:axId val="3174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571590"/>
        <c:axId val="55817719"/>
      </c:barChart>
      <c:catAx>
        <c:axId val="285715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17719"/>
        <c:crosses val="autoZero"/>
        <c:auto val="1"/>
        <c:lblOffset val="100"/>
        <c:noMultiLvlLbl val="0"/>
      </c:catAx>
      <c:valAx>
        <c:axId val="5581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1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97424"/>
        <c:axId val="24941361"/>
      </c:barChart>
      <c:catAx>
        <c:axId val="325974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41361"/>
        <c:crosses val="autoZero"/>
        <c:auto val="1"/>
        <c:lblOffset val="100"/>
        <c:noMultiLvlLbl val="0"/>
      </c:catAx>
      <c:valAx>
        <c:axId val="2494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45658"/>
        <c:axId val="6984331"/>
      </c:barChart>
      <c:catAx>
        <c:axId val="23145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84331"/>
        <c:crosses val="autoZero"/>
        <c:auto val="1"/>
        <c:lblOffset val="100"/>
        <c:noMultiLvlLbl val="0"/>
      </c:catAx>
      <c:valAx>
        <c:axId val="698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5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58980"/>
        <c:axId val="28859909"/>
      </c:barChart>
      <c:catAx>
        <c:axId val="62858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59909"/>
        <c:crosses val="autoZero"/>
        <c:auto val="1"/>
        <c:lblOffset val="100"/>
        <c:noMultiLvlLbl val="0"/>
      </c:catAx>
      <c:valAx>
        <c:axId val="28859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8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412590"/>
        <c:axId val="55951263"/>
      </c:barChart>
      <c:catAx>
        <c:axId val="584125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51263"/>
        <c:crosses val="autoZero"/>
        <c:auto val="1"/>
        <c:lblOffset val="100"/>
        <c:noMultiLvlLbl val="0"/>
      </c:catAx>
      <c:valAx>
        <c:axId val="559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2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799320"/>
        <c:axId val="35758425"/>
      </c:barChart>
      <c:catAx>
        <c:axId val="33799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58425"/>
        <c:crosses val="autoZero"/>
        <c:auto val="1"/>
        <c:lblOffset val="100"/>
        <c:noMultiLvlLbl val="0"/>
      </c:catAx>
      <c:valAx>
        <c:axId val="35758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90370"/>
        <c:axId val="10751283"/>
      </c:barChart>
      <c:catAx>
        <c:axId val="53390370"/>
        <c:scaling>
          <c:orientation val="minMax"/>
        </c:scaling>
        <c:axPos val="b"/>
        <c:delete val="1"/>
        <c:majorTickMark val="out"/>
        <c:minorTickMark val="none"/>
        <c:tickLblPos val="none"/>
        <c:crossAx val="10751283"/>
        <c:crosses val="autoZero"/>
        <c:auto val="1"/>
        <c:lblOffset val="100"/>
        <c:noMultiLvlLbl val="0"/>
      </c:catAx>
      <c:valAx>
        <c:axId val="10751283"/>
        <c:scaling>
          <c:orientation val="minMax"/>
        </c:scaling>
        <c:axPos val="l"/>
        <c:delete val="1"/>
        <c:majorTickMark val="out"/>
        <c:minorTickMark val="none"/>
        <c:tickLblPos val="none"/>
        <c:crossAx val="53390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E1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m/>
        <s v="computervisionsyndrome uncomplicatinglives computervisionsyndrome"/>
        <s v="computervisionsyndro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2-08T18:59:49.000"/>
        <d v="2022-02-09T06:22:27.000"/>
        <d v="2022-02-07T11:42:24.000"/>
        <d v="2022-02-09T08:35:30.000"/>
        <d v="2022-02-09T18:00:52.000"/>
        <d v="2022-02-10T17:56:21.000"/>
        <d v="2022-02-13T16:09:42.000"/>
        <d v="2022-02-14T00:47:11.000"/>
        <d v="2022-02-13T15:53:58.000"/>
        <d v="2022-02-14T10:16:27.000"/>
        <d v="2022-02-15T11:52: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mzizo1515"/>
    <s v="aramex"/>
    <m/>
    <m/>
    <m/>
    <m/>
    <m/>
    <m/>
    <m/>
    <m/>
    <s v="No"/>
    <n v="3"/>
    <m/>
    <m/>
    <x v="0"/>
    <d v="2022-02-08T18:59:49.000"/>
    <s v="@Aramex _x000a_Shipment number 1919313723_x000a_ Recipient's name / M.A.AZIZOOO_x000a_ Mobile number / 0590133880_x000a_ Address - Jeddah Al Muntazahat Al Sharqiah District - Al Habhabi Street - Shifa Al Saha Trading Company_x000a_ Jeddah-Saudi Arabia_x000a__x000a_Waiting for a reply from you"/>
    <m/>
    <m/>
    <x v="0"/>
    <m/>
    <s v="http://pbs.twimg.com/profile_images/494128176403324928/X1WuOVJy_normal.jpeg"/>
    <x v="0"/>
    <d v="2022-02-08T00:00:00.000"/>
    <s v="18:59:49"/>
    <s v="https://twitter.com/#!/mzizo1515/status/1491124626885586945"/>
    <m/>
    <m/>
    <s v="1491124626885586945"/>
    <m/>
    <b v="0"/>
    <n v="0"/>
    <s v="60652335"/>
    <b v="0"/>
    <s v="en"/>
    <m/>
    <s v=""/>
    <b v="0"/>
    <n v="0"/>
    <s v=""/>
    <s v="Twitter for Android"/>
    <b v="0"/>
    <s v="1491124626885586945"/>
    <s v="Tweet"/>
    <n v="0"/>
    <n v="0"/>
    <m/>
    <m/>
    <m/>
    <m/>
    <m/>
    <m/>
    <m/>
    <m/>
    <n v="1"/>
    <s v="7"/>
    <s v="7"/>
  </r>
  <r>
    <s v="iatteice"/>
    <s v="doumqa"/>
    <m/>
    <m/>
    <m/>
    <m/>
    <m/>
    <m/>
    <m/>
    <m/>
    <s v="No"/>
    <n v="4"/>
    <m/>
    <m/>
    <x v="0"/>
    <d v="2022-02-09T06:22:27.000"/>
    <s v="@doumqa al nya bener, TAPI AL SAHA 😭"/>
    <m/>
    <m/>
    <x v="0"/>
    <m/>
    <s v="http://pbs.twimg.com/profile_images/1486841136572690434/Rj7cLFoR_normal.jpg"/>
    <x v="1"/>
    <d v="2022-02-09T00:00:00.000"/>
    <s v="06:22:27"/>
    <s v="https://twitter.com/#!/iatteice/status/1491296418350665729"/>
    <m/>
    <m/>
    <s v="1491296418350665729"/>
    <s v="1491281555079458816"/>
    <b v="0"/>
    <n v="0"/>
    <s v="1355843012182597640"/>
    <b v="0"/>
    <s v="in"/>
    <m/>
    <s v=""/>
    <b v="0"/>
    <n v="0"/>
    <s v=""/>
    <s v="Twitter for iPhone"/>
    <b v="0"/>
    <s v="1491281555079458816"/>
    <s v="Tweet"/>
    <n v="0"/>
    <n v="0"/>
    <m/>
    <m/>
    <m/>
    <m/>
    <m/>
    <m/>
    <m/>
    <m/>
    <n v="1"/>
    <s v="6"/>
    <s v="6"/>
  </r>
  <r>
    <s v="aafiyatpa"/>
    <s v="aafiyatpa"/>
    <m/>
    <m/>
    <m/>
    <m/>
    <m/>
    <m/>
    <m/>
    <m/>
    <s v="No"/>
    <n v="5"/>
    <m/>
    <m/>
    <x v="1"/>
    <d v="2022-02-07T11:42:24.000"/>
    <s v="Did you know?_x000a_Staring constantly on your mobile devices or laptops/computer screens can lead to #ComputerVisionSyndrome?_x000a__x000a_In view of #UncomplicatingLives, we have collaborated with Al Saha Al Shifa Hospital to throw some light on #computervisionsyndrome https://t.co/vHZJZGzARB"/>
    <m/>
    <m/>
    <x v="1"/>
    <s v="https://pbs.twimg.com/ext_tw_video_thumb/1490651940258082817/pu/img/ga1oqoQTYtqszdwQ.jpg"/>
    <s v="https://pbs.twimg.com/ext_tw_video_thumb/1490651940258082817/pu/img/ga1oqoQTYtqszdwQ.jpg"/>
    <x v="2"/>
    <d v="2022-02-07T00:00:00.000"/>
    <s v="11:42:24"/>
    <s v="https://twitter.com/#!/aafiyatpa/status/1490652161373470721"/>
    <m/>
    <m/>
    <s v="1490652161373470721"/>
    <m/>
    <b v="0"/>
    <n v="0"/>
    <s v=""/>
    <b v="0"/>
    <s v="en"/>
    <m/>
    <s v=""/>
    <b v="0"/>
    <n v="0"/>
    <s v=""/>
    <s v="Twitter Web App"/>
    <b v="0"/>
    <s v="1490652161373470721"/>
    <s v="Tweet"/>
    <n v="0"/>
    <n v="0"/>
    <m/>
    <m/>
    <m/>
    <m/>
    <m/>
    <m/>
    <m/>
    <m/>
    <n v="1"/>
    <s v="5"/>
    <s v="5"/>
  </r>
  <r>
    <s v="dexter_danilo"/>
    <s v="aafiyatpa"/>
    <m/>
    <m/>
    <m/>
    <m/>
    <m/>
    <m/>
    <m/>
    <m/>
    <s v="No"/>
    <n v="6"/>
    <m/>
    <m/>
    <x v="2"/>
    <d v="2022-02-09T08:35:30.000"/>
    <s v="RT @aafiyatpa: Did you know?_x000a_Staring constantly on your mobile devices or laptops/computer screens can lead to #ComputerVisionSyndrome?_x000a__x000a_In…"/>
    <m/>
    <m/>
    <x v="2"/>
    <m/>
    <s v="http://pbs.twimg.com/profile_images/918213290437828608/aHBP57Ac_normal.jpg"/>
    <x v="3"/>
    <d v="2022-02-09T00:00:00.000"/>
    <s v="08:35:30"/>
    <s v="https://twitter.com/#!/dexter_danilo/status/1491329899197464576"/>
    <m/>
    <m/>
    <s v="1491329899197464576"/>
    <m/>
    <b v="0"/>
    <n v="0"/>
    <s v=""/>
    <b v="0"/>
    <s v="en"/>
    <m/>
    <s v=""/>
    <b v="0"/>
    <n v="1"/>
    <s v="1490652161373470721"/>
    <s v="Twitter for Android"/>
    <b v="0"/>
    <s v="1490652161373470721"/>
    <s v="Tweet"/>
    <n v="0"/>
    <n v="0"/>
    <m/>
    <m/>
    <m/>
    <m/>
    <m/>
    <m/>
    <m/>
    <m/>
    <n v="1"/>
    <s v="5"/>
    <s v="5"/>
  </r>
  <r>
    <s v="dexter_danilo"/>
    <s v="aafiyatpa"/>
    <m/>
    <m/>
    <m/>
    <m/>
    <m/>
    <m/>
    <m/>
    <m/>
    <s v="No"/>
    <n v="7"/>
    <m/>
    <m/>
    <x v="3"/>
    <d v="2022-02-09T08:35:30.000"/>
    <s v="RT @aafiyatpa: Did you know?_x000a_Staring constantly on your mobile devices or laptops/computer screens can lead to #ComputerVisionSyndrome?_x000a__x000a_In…"/>
    <m/>
    <m/>
    <x v="2"/>
    <m/>
    <s v="http://pbs.twimg.com/profile_images/918213290437828608/aHBP57Ac_normal.jpg"/>
    <x v="3"/>
    <d v="2022-02-09T00:00:00.000"/>
    <s v="08:35:30"/>
    <s v="https://twitter.com/#!/dexter_danilo/status/1491329899197464576"/>
    <m/>
    <m/>
    <s v="1491329899197464576"/>
    <m/>
    <b v="0"/>
    <n v="0"/>
    <s v=""/>
    <b v="0"/>
    <s v="en"/>
    <m/>
    <s v=""/>
    <b v="0"/>
    <n v="1"/>
    <s v="1490652161373470721"/>
    <s v="Twitter for Android"/>
    <b v="0"/>
    <s v="1490652161373470721"/>
    <s v="Tweet"/>
    <n v="0"/>
    <n v="0"/>
    <m/>
    <m/>
    <m/>
    <m/>
    <m/>
    <m/>
    <m/>
    <m/>
    <n v="1"/>
    <s v="5"/>
    <s v="5"/>
  </r>
  <r>
    <s v="longaway__"/>
    <s v="chelseaindo"/>
    <m/>
    <m/>
    <m/>
    <m/>
    <m/>
    <m/>
    <m/>
    <m/>
    <s v="No"/>
    <n v="8"/>
    <m/>
    <m/>
    <x v="0"/>
    <d v="2022-02-09T18:00:52.000"/>
    <s v="@chelseaindo al saha?"/>
    <m/>
    <m/>
    <x v="0"/>
    <m/>
    <s v="http://pbs.twimg.com/profile_images/1488876807386402817/bQWzfL6y_normal.jpg"/>
    <x v="4"/>
    <d v="2022-02-09T00:00:00.000"/>
    <s v="18:00:52"/>
    <s v="https://twitter.com/#!/longaway__/status/1491472179955142656"/>
    <m/>
    <m/>
    <s v="1491472179955142656"/>
    <s v="1491472090868125696"/>
    <b v="0"/>
    <n v="0"/>
    <s v="46414779"/>
    <b v="0"/>
    <s v="tl"/>
    <m/>
    <s v=""/>
    <b v="0"/>
    <n v="0"/>
    <s v=""/>
    <s v="Twitter for Android"/>
    <b v="0"/>
    <s v="1491472090868125696"/>
    <s v="Tweet"/>
    <n v="0"/>
    <n v="0"/>
    <m/>
    <m/>
    <m/>
    <m/>
    <m/>
    <m/>
    <m/>
    <m/>
    <n v="1"/>
    <s v="4"/>
    <s v="4"/>
  </r>
  <r>
    <s v="arab_intel"/>
    <s v="arab_intel"/>
    <m/>
    <m/>
    <m/>
    <m/>
    <m/>
    <m/>
    <m/>
    <m/>
    <s v="No"/>
    <n v="9"/>
    <m/>
    <m/>
    <x v="1"/>
    <d v="2022-02-10T17:56:21.000"/>
    <s v="🇱🇧 🇧🇭 | Le ministre Libanais de l'Intérieur, Bassam Mawlawi, empêche l'opposition bahreïnite de tenir deux activités à l'hôtel Al Saha et à l'aéroport Road et ouvre une enquête pour recueillir des informations sur les organisateurs."/>
    <m/>
    <m/>
    <x v="0"/>
    <m/>
    <s v="http://pbs.twimg.com/profile_images/1407818938046631944/IkZKnpVy_normal.jpg"/>
    <x v="5"/>
    <d v="2022-02-10T00:00:00.000"/>
    <s v="17:56:21"/>
    <s v="https://twitter.com/#!/arab_intel/status/1491833430409101314"/>
    <m/>
    <m/>
    <s v="1491833430409101314"/>
    <m/>
    <b v="0"/>
    <n v="8"/>
    <s v=""/>
    <b v="0"/>
    <s v="fr"/>
    <m/>
    <s v=""/>
    <b v="0"/>
    <n v="0"/>
    <s v=""/>
    <s v="Twitter for Android"/>
    <b v="0"/>
    <s v="1491833430409101314"/>
    <s v="Tweet"/>
    <n v="0"/>
    <n v="0"/>
    <m/>
    <m/>
    <m/>
    <m/>
    <m/>
    <m/>
    <m/>
    <m/>
    <n v="1"/>
    <s v="8"/>
    <s v="8"/>
  </r>
  <r>
    <s v="ansch_1"/>
    <s v="palmyrenevoices"/>
    <m/>
    <m/>
    <m/>
    <m/>
    <m/>
    <m/>
    <m/>
    <m/>
    <s v="No"/>
    <n v="10"/>
    <m/>
    <m/>
    <x v="2"/>
    <d v="2022-02-13T16:09:42.000"/>
    <s v="RT @palmyrenevoices: The northern Pazar/Al Saha/ in the modern town / Al Zahirah / was established in the fifties of the twentieth century…"/>
    <m/>
    <m/>
    <x v="0"/>
    <m/>
    <s v="http://pbs.twimg.com/profile_images/1248961169672593410/FKNL1ElZ_normal.jpg"/>
    <x v="6"/>
    <d v="2022-02-13T00:00:00.000"/>
    <s v="16:09:42"/>
    <s v="https://twitter.com/#!/ansch_1/status/1492893754851840004"/>
    <m/>
    <m/>
    <s v="1492893754851840004"/>
    <m/>
    <b v="0"/>
    <n v="0"/>
    <s v=""/>
    <b v="0"/>
    <s v="en"/>
    <m/>
    <s v=""/>
    <b v="0"/>
    <n v="1"/>
    <s v="1492889796414476290"/>
    <s v="Twitter Web App"/>
    <b v="0"/>
    <s v="1492889796414476290"/>
    <s v="Tweet"/>
    <n v="0"/>
    <n v="0"/>
    <m/>
    <m/>
    <m/>
    <m/>
    <m/>
    <m/>
    <m/>
    <m/>
    <n v="1"/>
    <s v="2"/>
    <s v="2"/>
  </r>
  <r>
    <s v="ansch_1"/>
    <s v="palmyrenevoices"/>
    <m/>
    <m/>
    <m/>
    <m/>
    <m/>
    <m/>
    <m/>
    <m/>
    <s v="No"/>
    <n v="11"/>
    <m/>
    <m/>
    <x v="3"/>
    <d v="2022-02-13T16:09:42.000"/>
    <s v="RT @palmyrenevoices: The northern Pazar/Al Saha/ in the modern town / Al Zahirah / was established in the fifties of the twentieth century…"/>
    <m/>
    <m/>
    <x v="0"/>
    <m/>
    <s v="http://pbs.twimg.com/profile_images/1248961169672593410/FKNL1ElZ_normal.jpg"/>
    <x v="6"/>
    <d v="2022-02-13T00:00:00.000"/>
    <s v="16:09:42"/>
    <s v="https://twitter.com/#!/ansch_1/status/1492893754851840004"/>
    <m/>
    <m/>
    <s v="1492893754851840004"/>
    <m/>
    <b v="0"/>
    <n v="0"/>
    <s v=""/>
    <b v="0"/>
    <s v="en"/>
    <m/>
    <s v=""/>
    <b v="0"/>
    <n v="1"/>
    <s v="1492889796414476290"/>
    <s v="Twitter Web App"/>
    <b v="0"/>
    <s v="1492889796414476290"/>
    <s v="Tweet"/>
    <n v="0"/>
    <n v="0"/>
    <m/>
    <m/>
    <m/>
    <m/>
    <m/>
    <m/>
    <m/>
    <m/>
    <n v="1"/>
    <s v="2"/>
    <s v="2"/>
  </r>
  <r>
    <s v="milss_00"/>
    <s v="bilalidr"/>
    <m/>
    <m/>
    <m/>
    <m/>
    <m/>
    <m/>
    <m/>
    <m/>
    <s v="No"/>
    <n v="12"/>
    <m/>
    <m/>
    <x v="0"/>
    <d v="2022-02-14T00:47:11.000"/>
    <s v="@bilalidr Ya3tik al saha, c’est vraiment troo bon j’espère ta vien faim la"/>
    <m/>
    <m/>
    <x v="0"/>
    <m/>
    <s v="http://pbs.twimg.com/profile_images/1490135948801290245/N-xhuIvN_normal.jpg"/>
    <x v="7"/>
    <d v="2022-02-14T00:00:00.000"/>
    <s v="00:47:11"/>
    <s v="https://twitter.com/#!/milss_00/status/1493023984434266112"/>
    <m/>
    <m/>
    <s v="1493023984434266112"/>
    <s v="1493023662005497862"/>
    <b v="0"/>
    <n v="0"/>
    <s v="2539230874"/>
    <b v="0"/>
    <s v="fr"/>
    <m/>
    <s v=""/>
    <b v="0"/>
    <n v="0"/>
    <s v=""/>
    <s v="Twitter for iPhone"/>
    <b v="0"/>
    <s v="1493023662005497862"/>
    <s v="Tweet"/>
    <n v="0"/>
    <n v="0"/>
    <m/>
    <m/>
    <m/>
    <m/>
    <m/>
    <m/>
    <m/>
    <m/>
    <n v="1"/>
    <s v="3"/>
    <s v="3"/>
  </r>
  <r>
    <s v="palmyrenevoices"/>
    <s v="palmyrenevoices"/>
    <m/>
    <m/>
    <m/>
    <m/>
    <m/>
    <m/>
    <m/>
    <m/>
    <s v="No"/>
    <n v="13"/>
    <m/>
    <m/>
    <x v="1"/>
    <d v="2022-02-13T15:53:58.000"/>
    <s v="The northern Pazar/Al Saha/ in the modern town / Al Zahirah / was established in the fifties of the twentieth century to become the main commercial center in Palmyra, which contains the various commercial businesses of the city such as selling vegetables, foodstuffs, house tools. https://t.co/pEBrvx40sf"/>
    <m/>
    <m/>
    <x v="0"/>
    <s v="https://pbs.twimg.com/media/FLfPVfzXsAEKIjt.jpg"/>
    <s v="https://pbs.twimg.com/media/FLfPVfzXsAEKIjt.jpg"/>
    <x v="8"/>
    <d v="2022-02-13T00:00:00.000"/>
    <s v="15:53:58"/>
    <s v="https://twitter.com/#!/palmyrenevoices/status/1492889796414476290"/>
    <m/>
    <m/>
    <s v="1492889796414476290"/>
    <m/>
    <b v="0"/>
    <n v="0"/>
    <s v=""/>
    <b v="0"/>
    <s v="en"/>
    <m/>
    <s v=""/>
    <b v="0"/>
    <n v="1"/>
    <s v=""/>
    <s v="Twitter Web App"/>
    <b v="0"/>
    <s v="1492889796414476290"/>
    <s v="Tweet"/>
    <n v="0"/>
    <n v="0"/>
    <m/>
    <m/>
    <m/>
    <m/>
    <m/>
    <m/>
    <m/>
    <m/>
    <n v="1"/>
    <s v="2"/>
    <s v="2"/>
  </r>
  <r>
    <s v="heritage4peace"/>
    <s v="palmyrenevoices"/>
    <m/>
    <m/>
    <m/>
    <m/>
    <m/>
    <m/>
    <m/>
    <m/>
    <s v="No"/>
    <n v="14"/>
    <m/>
    <m/>
    <x v="2"/>
    <d v="2022-02-14T10:16:27.000"/>
    <s v="RT @palmyrenevoices: The northern Pazar/Al Saha/ in the modern town / Al Zahirah / was established in the fifties of the twentieth century…"/>
    <m/>
    <m/>
    <x v="0"/>
    <m/>
    <s v="http://pbs.twimg.com/profile_images/1469402431398289425/hu9wRH3w_normal.jpg"/>
    <x v="9"/>
    <d v="2022-02-14T00:00:00.000"/>
    <s v="10:16:27"/>
    <s v="https://twitter.com/#!/heritage4peace/status/1493167246478299139"/>
    <m/>
    <m/>
    <s v="1493167246478299139"/>
    <m/>
    <b v="0"/>
    <n v="0"/>
    <s v=""/>
    <b v="0"/>
    <s v="en"/>
    <m/>
    <s v=""/>
    <b v="0"/>
    <n v="2"/>
    <s v="1492889796414476290"/>
    <s v="Twitter Web App"/>
    <b v="0"/>
    <s v="1492889796414476290"/>
    <s v="Tweet"/>
    <n v="0"/>
    <n v="0"/>
    <m/>
    <m/>
    <m/>
    <m/>
    <m/>
    <m/>
    <m/>
    <m/>
    <n v="1"/>
    <s v="2"/>
    <s v="2"/>
  </r>
  <r>
    <s v="heritage4peace"/>
    <s v="palmyrenevoices"/>
    <m/>
    <m/>
    <m/>
    <m/>
    <m/>
    <m/>
    <m/>
    <m/>
    <s v="No"/>
    <n v="15"/>
    <m/>
    <m/>
    <x v="3"/>
    <d v="2022-02-14T10:16:27.000"/>
    <s v="RT @palmyrenevoices: The northern Pazar/Al Saha/ in the modern town / Al Zahirah / was established in the fifties of the twentieth century…"/>
    <m/>
    <m/>
    <x v="0"/>
    <m/>
    <s v="http://pbs.twimg.com/profile_images/1469402431398289425/hu9wRH3w_normal.jpg"/>
    <x v="9"/>
    <d v="2022-02-14T00:00:00.000"/>
    <s v="10:16:27"/>
    <s v="https://twitter.com/#!/heritage4peace/status/1493167246478299139"/>
    <m/>
    <m/>
    <s v="1493167246478299139"/>
    <m/>
    <b v="0"/>
    <n v="0"/>
    <s v=""/>
    <b v="0"/>
    <s v="en"/>
    <m/>
    <s v=""/>
    <b v="0"/>
    <n v="2"/>
    <s v="1492889796414476290"/>
    <s v="Twitter Web App"/>
    <b v="0"/>
    <s v="1492889796414476290"/>
    <s v="Tweet"/>
    <n v="0"/>
    <n v="0"/>
    <m/>
    <m/>
    <m/>
    <m/>
    <m/>
    <m/>
    <m/>
    <m/>
    <n v="1"/>
    <s v="2"/>
    <s v="2"/>
  </r>
  <r>
    <s v="moondeleine"/>
    <s v="bdngfess"/>
    <m/>
    <m/>
    <m/>
    <m/>
    <m/>
    <m/>
    <m/>
    <m/>
    <s v="No"/>
    <n v="16"/>
    <m/>
    <m/>
    <x v="4"/>
    <d v="2022-02-15T11:52:47.000"/>
    <s v="@kadalbuntunc @bdngfess al saha:("/>
    <m/>
    <m/>
    <x v="0"/>
    <m/>
    <s v="http://pbs.twimg.com/profile_images/1488165446880993280/v2xV3Ie7_normal.jpg"/>
    <x v="10"/>
    <d v="2022-02-15T00:00:00.000"/>
    <s v="11:52:47"/>
    <s v="https://twitter.com/#!/moondeleine/status/1493553873784815617"/>
    <m/>
    <m/>
    <s v="1493553873784815617"/>
    <s v="1493550210437447680"/>
    <b v="0"/>
    <n v="0"/>
    <s v="359730398"/>
    <b v="0"/>
    <s v="tl"/>
    <m/>
    <s v=""/>
    <b v="0"/>
    <n v="0"/>
    <s v=""/>
    <s v="Twitter for iPhone"/>
    <b v="0"/>
    <s v="1493550210437447680"/>
    <s v="Tweet"/>
    <n v="0"/>
    <n v="0"/>
    <m/>
    <m/>
    <m/>
    <m/>
    <m/>
    <m/>
    <m/>
    <m/>
    <n v="1"/>
    <s v="1"/>
    <s v="1"/>
  </r>
  <r>
    <s v="moondeleine"/>
    <s v="kadalbuntunc"/>
    <m/>
    <m/>
    <m/>
    <m/>
    <m/>
    <m/>
    <m/>
    <m/>
    <s v="No"/>
    <n v="17"/>
    <m/>
    <m/>
    <x v="0"/>
    <d v="2022-02-15T11:52:47.000"/>
    <s v="@kadalbuntunc @bdngfess al saha:("/>
    <m/>
    <m/>
    <x v="0"/>
    <m/>
    <s v="http://pbs.twimg.com/profile_images/1488165446880993280/v2xV3Ie7_normal.jpg"/>
    <x v="10"/>
    <d v="2022-02-15T00:00:00.000"/>
    <s v="11:52:47"/>
    <s v="https://twitter.com/#!/moondeleine/status/1493553873784815617"/>
    <m/>
    <m/>
    <s v="1493553873784815617"/>
    <s v="1493550210437447680"/>
    <b v="0"/>
    <n v="0"/>
    <s v="359730398"/>
    <b v="0"/>
    <s v="tl"/>
    <m/>
    <s v=""/>
    <b v="0"/>
    <n v="0"/>
    <s v=""/>
    <s v="Twitter for iPhone"/>
    <b v="0"/>
    <s v="149355021043744768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2"/>
        <item x="0"/>
        <item x="1"/>
        <item x="3"/>
        <item x="4"/>
        <item x="5"/>
        <item x="8"/>
        <item x="6"/>
        <item x="7"/>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7" totalsRowShown="0" headerRowDxfId="220" dataDxfId="219">
  <autoFilter ref="A2:BE1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9" totalsRowShown="0" headerRowDxfId="165" dataDxfId="164">
  <autoFilter ref="A2:BA19"/>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0" totalsRowShown="0" headerRowDxfId="112">
  <autoFilter ref="A2:Y10"/>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109" dataDxfId="108">
  <autoFilter ref="A1:C18"/>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7" totalsRowShown="0" headerRowDxfId="57" dataDxfId="56">
  <autoFilter ref="A2:BE1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435</v>
      </c>
      <c r="BE2" s="13" t="s">
        <v>436</v>
      </c>
    </row>
    <row r="3" spans="1:57" ht="15" customHeight="1">
      <c r="A3" s="83" t="s">
        <v>224</v>
      </c>
      <c r="B3" s="83" t="s">
        <v>230</v>
      </c>
      <c r="C3" s="54" t="s">
        <v>442</v>
      </c>
      <c r="D3" s="55">
        <v>3</v>
      </c>
      <c r="E3" s="67" t="s">
        <v>132</v>
      </c>
      <c r="F3" s="56">
        <v>35</v>
      </c>
      <c r="G3" s="54"/>
      <c r="H3" s="58"/>
      <c r="I3" s="57"/>
      <c r="J3" s="57"/>
      <c r="K3" s="36" t="s">
        <v>65</v>
      </c>
      <c r="L3" s="63">
        <v>3</v>
      </c>
      <c r="M3" s="63"/>
      <c r="N3" s="64"/>
      <c r="O3" s="84" t="s">
        <v>231</v>
      </c>
      <c r="P3" s="86">
        <v>44600.79153935185</v>
      </c>
      <c r="Q3" s="84" t="s">
        <v>244</v>
      </c>
      <c r="R3" s="84"/>
      <c r="S3" s="84"/>
      <c r="T3" s="84"/>
      <c r="U3" s="84"/>
      <c r="V3" s="90" t="str">
        <f>HYPERLINK("http://pbs.twimg.com/profile_images/494128176403324928/X1WuOVJy_normal.jpeg")</f>
        <v>http://pbs.twimg.com/profile_images/494128176403324928/X1WuOVJy_normal.jpeg</v>
      </c>
      <c r="W3" s="86">
        <v>44600.79153935185</v>
      </c>
      <c r="X3" s="91">
        <v>44600</v>
      </c>
      <c r="Y3" s="93" t="s">
        <v>257</v>
      </c>
      <c r="Z3" s="90" t="str">
        <f>HYPERLINK("https://twitter.com/#!/mzizo1515/status/1491124626885586945")</f>
        <v>https://twitter.com/#!/mzizo1515/status/1491124626885586945</v>
      </c>
      <c r="AA3" s="84"/>
      <c r="AB3" s="84"/>
      <c r="AC3" s="93" t="s">
        <v>268</v>
      </c>
      <c r="AD3" s="84"/>
      <c r="AE3" s="84" t="b">
        <v>0</v>
      </c>
      <c r="AF3" s="84">
        <v>0</v>
      </c>
      <c r="AG3" s="93" t="s">
        <v>278</v>
      </c>
      <c r="AH3" s="84" t="b">
        <v>0</v>
      </c>
      <c r="AI3" s="84" t="s">
        <v>280</v>
      </c>
      <c r="AJ3" s="84"/>
      <c r="AK3" s="93" t="s">
        <v>274</v>
      </c>
      <c r="AL3" s="84" t="b">
        <v>0</v>
      </c>
      <c r="AM3" s="84">
        <v>0</v>
      </c>
      <c r="AN3" s="93" t="s">
        <v>274</v>
      </c>
      <c r="AO3" s="93" t="s">
        <v>285</v>
      </c>
      <c r="AP3" s="84" t="b">
        <v>0</v>
      </c>
      <c r="AQ3" s="93" t="s">
        <v>268</v>
      </c>
      <c r="AR3" s="84" t="s">
        <v>176</v>
      </c>
      <c r="AS3" s="84">
        <v>0</v>
      </c>
      <c r="AT3" s="84">
        <v>0</v>
      </c>
      <c r="AU3" s="84"/>
      <c r="AV3" s="84"/>
      <c r="AW3" s="84"/>
      <c r="AX3" s="84"/>
      <c r="AY3" s="84"/>
      <c r="AZ3" s="84"/>
      <c r="BA3" s="84"/>
      <c r="BB3" s="84"/>
      <c r="BC3">
        <v>1</v>
      </c>
      <c r="BD3" s="84" t="str">
        <f>REPLACE(INDEX(GroupVertices[Group],MATCH(Edges[[#This Row],[Vertex 1]],GroupVertices[Vertex],0)),1,1,"")</f>
        <v>7</v>
      </c>
      <c r="BE3" s="84" t="str">
        <f>REPLACE(INDEX(GroupVertices[Group],MATCH(Edges[[#This Row],[Vertex 2]],GroupVertices[Vertex],0)),1,1,"")</f>
        <v>7</v>
      </c>
    </row>
    <row r="4" spans="1:57" ht="15" customHeight="1">
      <c r="A4" s="83" t="s">
        <v>214</v>
      </c>
      <c r="B4" s="83" t="s">
        <v>225</v>
      </c>
      <c r="C4" s="54" t="s">
        <v>442</v>
      </c>
      <c r="D4" s="55">
        <v>3</v>
      </c>
      <c r="E4" s="67" t="s">
        <v>132</v>
      </c>
      <c r="F4" s="56">
        <v>35</v>
      </c>
      <c r="G4" s="54"/>
      <c r="H4" s="58"/>
      <c r="I4" s="57"/>
      <c r="J4" s="57"/>
      <c r="K4" s="36" t="s">
        <v>65</v>
      </c>
      <c r="L4" s="82">
        <v>4</v>
      </c>
      <c r="M4" s="82"/>
      <c r="N4" s="64"/>
      <c r="O4" s="85" t="s">
        <v>231</v>
      </c>
      <c r="P4" s="87">
        <v>44601.26559027778</v>
      </c>
      <c r="Q4" s="85" t="s">
        <v>235</v>
      </c>
      <c r="R4" s="85"/>
      <c r="S4" s="85"/>
      <c r="T4" s="85"/>
      <c r="U4" s="85"/>
      <c r="V4" s="89" t="str">
        <f>HYPERLINK("http://pbs.twimg.com/profile_images/1486841136572690434/Rj7cLFoR_normal.jpg")</f>
        <v>http://pbs.twimg.com/profile_images/1486841136572690434/Rj7cLFoR_normal.jpg</v>
      </c>
      <c r="W4" s="87">
        <v>44601.26559027778</v>
      </c>
      <c r="X4" s="92">
        <v>44601</v>
      </c>
      <c r="Y4" s="88" t="s">
        <v>247</v>
      </c>
      <c r="Z4" s="89" t="str">
        <f>HYPERLINK("https://twitter.com/#!/iatteice/status/1491296418350665729")</f>
        <v>https://twitter.com/#!/iatteice/status/1491296418350665729</v>
      </c>
      <c r="AA4" s="85"/>
      <c r="AB4" s="85"/>
      <c r="AC4" s="88" t="s">
        <v>258</v>
      </c>
      <c r="AD4" s="88" t="s">
        <v>269</v>
      </c>
      <c r="AE4" s="85" t="b">
        <v>0</v>
      </c>
      <c r="AF4" s="85">
        <v>0</v>
      </c>
      <c r="AG4" s="88" t="s">
        <v>273</v>
      </c>
      <c r="AH4" s="85" t="b">
        <v>0</v>
      </c>
      <c r="AI4" s="85" t="s">
        <v>279</v>
      </c>
      <c r="AJ4" s="85"/>
      <c r="AK4" s="88" t="s">
        <v>274</v>
      </c>
      <c r="AL4" s="85" t="b">
        <v>0</v>
      </c>
      <c r="AM4" s="85">
        <v>0</v>
      </c>
      <c r="AN4" s="88" t="s">
        <v>274</v>
      </c>
      <c r="AO4" s="88" t="s">
        <v>283</v>
      </c>
      <c r="AP4" s="85" t="b">
        <v>0</v>
      </c>
      <c r="AQ4" s="88" t="s">
        <v>269</v>
      </c>
      <c r="AR4" s="85" t="s">
        <v>176</v>
      </c>
      <c r="AS4" s="85">
        <v>0</v>
      </c>
      <c r="AT4" s="85">
        <v>0</v>
      </c>
      <c r="AU4" s="85"/>
      <c r="AV4" s="85"/>
      <c r="AW4" s="85"/>
      <c r="AX4" s="85"/>
      <c r="AY4" s="85"/>
      <c r="AZ4" s="85"/>
      <c r="BA4" s="85"/>
      <c r="BB4" s="85"/>
      <c r="BC4">
        <v>1</v>
      </c>
      <c r="BD4" s="84" t="str">
        <f>REPLACE(INDEX(GroupVertices[Group],MATCH(Edges[[#This Row],[Vertex 1]],GroupVertices[Vertex],0)),1,1,"")</f>
        <v>6</v>
      </c>
      <c r="BE4" s="84" t="str">
        <f>REPLACE(INDEX(GroupVertices[Group],MATCH(Edges[[#This Row],[Vertex 2]],GroupVertices[Vertex],0)),1,1,"")</f>
        <v>6</v>
      </c>
    </row>
    <row r="5" spans="1:57" ht="45">
      <c r="A5" s="83" t="s">
        <v>215</v>
      </c>
      <c r="B5" s="83" t="s">
        <v>215</v>
      </c>
      <c r="C5" s="54" t="s">
        <v>442</v>
      </c>
      <c r="D5" s="55">
        <v>3</v>
      </c>
      <c r="E5" s="67" t="s">
        <v>132</v>
      </c>
      <c r="F5" s="56">
        <v>35</v>
      </c>
      <c r="G5" s="54"/>
      <c r="H5" s="58"/>
      <c r="I5" s="57"/>
      <c r="J5" s="57"/>
      <c r="K5" s="36" t="s">
        <v>65</v>
      </c>
      <c r="L5" s="82">
        <v>5</v>
      </c>
      <c r="M5" s="82"/>
      <c r="N5" s="64"/>
      <c r="O5" s="85" t="s">
        <v>176</v>
      </c>
      <c r="P5" s="87">
        <v>44599.48777777778</v>
      </c>
      <c r="Q5" s="85" t="s">
        <v>236</v>
      </c>
      <c r="R5" s="85"/>
      <c r="S5" s="85"/>
      <c r="T5" s="88" t="s">
        <v>245</v>
      </c>
      <c r="U5" s="89" t="str">
        <f>HYPERLINK("https://pbs.twimg.com/ext_tw_video_thumb/1490651940258082817/pu/img/ga1oqoQTYtqszdwQ.jpg")</f>
        <v>https://pbs.twimg.com/ext_tw_video_thumb/1490651940258082817/pu/img/ga1oqoQTYtqszdwQ.jpg</v>
      </c>
      <c r="V5" s="89" t="str">
        <f>HYPERLINK("https://pbs.twimg.com/ext_tw_video_thumb/1490651940258082817/pu/img/ga1oqoQTYtqszdwQ.jpg")</f>
        <v>https://pbs.twimg.com/ext_tw_video_thumb/1490651940258082817/pu/img/ga1oqoQTYtqszdwQ.jpg</v>
      </c>
      <c r="W5" s="87">
        <v>44599.48777777778</v>
      </c>
      <c r="X5" s="92">
        <v>44599</v>
      </c>
      <c r="Y5" s="88" t="s">
        <v>248</v>
      </c>
      <c r="Z5" s="89" t="str">
        <f>HYPERLINK("https://twitter.com/#!/aafiyatpa/status/1490652161373470721")</f>
        <v>https://twitter.com/#!/aafiyatpa/status/1490652161373470721</v>
      </c>
      <c r="AA5" s="85"/>
      <c r="AB5" s="85"/>
      <c r="AC5" s="88" t="s">
        <v>259</v>
      </c>
      <c r="AD5" s="85"/>
      <c r="AE5" s="85" t="b">
        <v>0</v>
      </c>
      <c r="AF5" s="85">
        <v>0</v>
      </c>
      <c r="AG5" s="88" t="s">
        <v>274</v>
      </c>
      <c r="AH5" s="85" t="b">
        <v>0</v>
      </c>
      <c r="AI5" s="85" t="s">
        <v>280</v>
      </c>
      <c r="AJ5" s="85"/>
      <c r="AK5" s="88" t="s">
        <v>274</v>
      </c>
      <c r="AL5" s="85" t="b">
        <v>0</v>
      </c>
      <c r="AM5" s="85">
        <v>0</v>
      </c>
      <c r="AN5" s="88" t="s">
        <v>274</v>
      </c>
      <c r="AO5" s="88" t="s">
        <v>284</v>
      </c>
      <c r="AP5" s="85" t="b">
        <v>0</v>
      </c>
      <c r="AQ5" s="88" t="s">
        <v>259</v>
      </c>
      <c r="AR5" s="85" t="s">
        <v>176</v>
      </c>
      <c r="AS5" s="85">
        <v>0</v>
      </c>
      <c r="AT5" s="85">
        <v>0</v>
      </c>
      <c r="AU5" s="85"/>
      <c r="AV5" s="85"/>
      <c r="AW5" s="85"/>
      <c r="AX5" s="85"/>
      <c r="AY5" s="85"/>
      <c r="AZ5" s="85"/>
      <c r="BA5" s="85"/>
      <c r="BB5" s="85"/>
      <c r="BC5">
        <v>1</v>
      </c>
      <c r="BD5" s="84" t="str">
        <f>REPLACE(INDEX(GroupVertices[Group],MATCH(Edges[[#This Row],[Vertex 1]],GroupVertices[Vertex],0)),1,1,"")</f>
        <v>5</v>
      </c>
      <c r="BE5" s="84" t="str">
        <f>REPLACE(INDEX(GroupVertices[Group],MATCH(Edges[[#This Row],[Vertex 2]],GroupVertices[Vertex],0)),1,1,"")</f>
        <v>5</v>
      </c>
    </row>
    <row r="6" spans="1:57" ht="45">
      <c r="A6" s="83" t="s">
        <v>216</v>
      </c>
      <c r="B6" s="83" t="s">
        <v>215</v>
      </c>
      <c r="C6" s="54" t="s">
        <v>442</v>
      </c>
      <c r="D6" s="55">
        <v>3</v>
      </c>
      <c r="E6" s="67" t="s">
        <v>132</v>
      </c>
      <c r="F6" s="56">
        <v>35</v>
      </c>
      <c r="G6" s="54"/>
      <c r="H6" s="58"/>
      <c r="I6" s="57"/>
      <c r="J6" s="57"/>
      <c r="K6" s="36" t="s">
        <v>65</v>
      </c>
      <c r="L6" s="82">
        <v>6</v>
      </c>
      <c r="M6" s="82"/>
      <c r="N6" s="64"/>
      <c r="O6" s="85" t="s">
        <v>232</v>
      </c>
      <c r="P6" s="87">
        <v>44601.357986111114</v>
      </c>
      <c r="Q6" s="85" t="s">
        <v>237</v>
      </c>
      <c r="R6" s="85"/>
      <c r="S6" s="85"/>
      <c r="T6" s="88" t="s">
        <v>246</v>
      </c>
      <c r="U6" s="85"/>
      <c r="V6" s="89" t="str">
        <f>HYPERLINK("http://pbs.twimg.com/profile_images/918213290437828608/aHBP57Ac_normal.jpg")</f>
        <v>http://pbs.twimg.com/profile_images/918213290437828608/aHBP57Ac_normal.jpg</v>
      </c>
      <c r="W6" s="87">
        <v>44601.357986111114</v>
      </c>
      <c r="X6" s="92">
        <v>44601</v>
      </c>
      <c r="Y6" s="88" t="s">
        <v>249</v>
      </c>
      <c r="Z6" s="89" t="str">
        <f>HYPERLINK("https://twitter.com/#!/dexter_danilo/status/1491329899197464576")</f>
        <v>https://twitter.com/#!/dexter_danilo/status/1491329899197464576</v>
      </c>
      <c r="AA6" s="85"/>
      <c r="AB6" s="85"/>
      <c r="AC6" s="88" t="s">
        <v>260</v>
      </c>
      <c r="AD6" s="85"/>
      <c r="AE6" s="85" t="b">
        <v>0</v>
      </c>
      <c r="AF6" s="85">
        <v>0</v>
      </c>
      <c r="AG6" s="88" t="s">
        <v>274</v>
      </c>
      <c r="AH6" s="85" t="b">
        <v>0</v>
      </c>
      <c r="AI6" s="85" t="s">
        <v>280</v>
      </c>
      <c r="AJ6" s="85"/>
      <c r="AK6" s="88" t="s">
        <v>274</v>
      </c>
      <c r="AL6" s="85" t="b">
        <v>0</v>
      </c>
      <c r="AM6" s="85">
        <v>1</v>
      </c>
      <c r="AN6" s="88" t="s">
        <v>259</v>
      </c>
      <c r="AO6" s="88" t="s">
        <v>285</v>
      </c>
      <c r="AP6" s="85" t="b">
        <v>0</v>
      </c>
      <c r="AQ6" s="88" t="s">
        <v>259</v>
      </c>
      <c r="AR6" s="85" t="s">
        <v>176</v>
      </c>
      <c r="AS6" s="85">
        <v>0</v>
      </c>
      <c r="AT6" s="85">
        <v>0</v>
      </c>
      <c r="AU6" s="85"/>
      <c r="AV6" s="85"/>
      <c r="AW6" s="85"/>
      <c r="AX6" s="85"/>
      <c r="AY6" s="85"/>
      <c r="AZ6" s="85"/>
      <c r="BA6" s="85"/>
      <c r="BB6" s="85"/>
      <c r="BC6">
        <v>1</v>
      </c>
      <c r="BD6" s="84" t="str">
        <f>REPLACE(INDEX(GroupVertices[Group],MATCH(Edges[[#This Row],[Vertex 1]],GroupVertices[Vertex],0)),1,1,"")</f>
        <v>5</v>
      </c>
      <c r="BE6" s="84" t="str">
        <f>REPLACE(INDEX(GroupVertices[Group],MATCH(Edges[[#This Row],[Vertex 2]],GroupVertices[Vertex],0)),1,1,"")</f>
        <v>5</v>
      </c>
    </row>
    <row r="7" spans="1:57" ht="45">
      <c r="A7" s="83" t="s">
        <v>216</v>
      </c>
      <c r="B7" s="83" t="s">
        <v>215</v>
      </c>
      <c r="C7" s="54" t="s">
        <v>442</v>
      </c>
      <c r="D7" s="55">
        <v>3</v>
      </c>
      <c r="E7" s="67" t="s">
        <v>132</v>
      </c>
      <c r="F7" s="56">
        <v>35</v>
      </c>
      <c r="G7" s="54"/>
      <c r="H7" s="58"/>
      <c r="I7" s="57"/>
      <c r="J7" s="57"/>
      <c r="K7" s="36" t="s">
        <v>65</v>
      </c>
      <c r="L7" s="82">
        <v>7</v>
      </c>
      <c r="M7" s="82"/>
      <c r="N7" s="64"/>
      <c r="O7" s="85" t="s">
        <v>233</v>
      </c>
      <c r="P7" s="87">
        <v>44601.357986111114</v>
      </c>
      <c r="Q7" s="85" t="s">
        <v>237</v>
      </c>
      <c r="R7" s="85"/>
      <c r="S7" s="85"/>
      <c r="T7" s="88" t="s">
        <v>246</v>
      </c>
      <c r="U7" s="85"/>
      <c r="V7" s="89" t="str">
        <f>HYPERLINK("http://pbs.twimg.com/profile_images/918213290437828608/aHBP57Ac_normal.jpg")</f>
        <v>http://pbs.twimg.com/profile_images/918213290437828608/aHBP57Ac_normal.jpg</v>
      </c>
      <c r="W7" s="87">
        <v>44601.357986111114</v>
      </c>
      <c r="X7" s="92">
        <v>44601</v>
      </c>
      <c r="Y7" s="88" t="s">
        <v>249</v>
      </c>
      <c r="Z7" s="89" t="str">
        <f>HYPERLINK("https://twitter.com/#!/dexter_danilo/status/1491329899197464576")</f>
        <v>https://twitter.com/#!/dexter_danilo/status/1491329899197464576</v>
      </c>
      <c r="AA7" s="85"/>
      <c r="AB7" s="85"/>
      <c r="AC7" s="88" t="s">
        <v>260</v>
      </c>
      <c r="AD7" s="85"/>
      <c r="AE7" s="85" t="b">
        <v>0</v>
      </c>
      <c r="AF7" s="85">
        <v>0</v>
      </c>
      <c r="AG7" s="88" t="s">
        <v>274</v>
      </c>
      <c r="AH7" s="85" t="b">
        <v>0</v>
      </c>
      <c r="AI7" s="85" t="s">
        <v>280</v>
      </c>
      <c r="AJ7" s="85"/>
      <c r="AK7" s="88" t="s">
        <v>274</v>
      </c>
      <c r="AL7" s="85" t="b">
        <v>0</v>
      </c>
      <c r="AM7" s="85">
        <v>1</v>
      </c>
      <c r="AN7" s="88" t="s">
        <v>259</v>
      </c>
      <c r="AO7" s="88" t="s">
        <v>285</v>
      </c>
      <c r="AP7" s="85" t="b">
        <v>0</v>
      </c>
      <c r="AQ7" s="88" t="s">
        <v>259</v>
      </c>
      <c r="AR7" s="85" t="s">
        <v>176</v>
      </c>
      <c r="AS7" s="85">
        <v>0</v>
      </c>
      <c r="AT7" s="85">
        <v>0</v>
      </c>
      <c r="AU7" s="85"/>
      <c r="AV7" s="85"/>
      <c r="AW7" s="85"/>
      <c r="AX7" s="85"/>
      <c r="AY7" s="85"/>
      <c r="AZ7" s="85"/>
      <c r="BA7" s="85"/>
      <c r="BB7" s="85"/>
      <c r="BC7">
        <v>1</v>
      </c>
      <c r="BD7" s="84" t="str">
        <f>REPLACE(INDEX(GroupVertices[Group],MATCH(Edges[[#This Row],[Vertex 1]],GroupVertices[Vertex],0)),1,1,"")</f>
        <v>5</v>
      </c>
      <c r="BE7" s="84" t="str">
        <f>REPLACE(INDEX(GroupVertices[Group],MATCH(Edges[[#This Row],[Vertex 2]],GroupVertices[Vertex],0)),1,1,"")</f>
        <v>5</v>
      </c>
    </row>
    <row r="8" spans="1:57" ht="45">
      <c r="A8" s="83" t="s">
        <v>217</v>
      </c>
      <c r="B8" s="83" t="s">
        <v>226</v>
      </c>
      <c r="C8" s="54" t="s">
        <v>442</v>
      </c>
      <c r="D8" s="55">
        <v>3</v>
      </c>
      <c r="E8" s="67" t="s">
        <v>132</v>
      </c>
      <c r="F8" s="56">
        <v>35</v>
      </c>
      <c r="G8" s="54"/>
      <c r="H8" s="58"/>
      <c r="I8" s="57"/>
      <c r="J8" s="57"/>
      <c r="K8" s="36" t="s">
        <v>65</v>
      </c>
      <c r="L8" s="82">
        <v>8</v>
      </c>
      <c r="M8" s="82"/>
      <c r="N8" s="64"/>
      <c r="O8" s="85" t="s">
        <v>231</v>
      </c>
      <c r="P8" s="87">
        <v>44601.750601851854</v>
      </c>
      <c r="Q8" s="85" t="s">
        <v>238</v>
      </c>
      <c r="R8" s="85"/>
      <c r="S8" s="85"/>
      <c r="T8" s="85"/>
      <c r="U8" s="85"/>
      <c r="V8" s="89" t="str">
        <f>HYPERLINK("http://pbs.twimg.com/profile_images/1488876807386402817/bQWzfL6y_normal.jpg")</f>
        <v>http://pbs.twimg.com/profile_images/1488876807386402817/bQWzfL6y_normal.jpg</v>
      </c>
      <c r="W8" s="87">
        <v>44601.750601851854</v>
      </c>
      <c r="X8" s="92">
        <v>44601</v>
      </c>
      <c r="Y8" s="88" t="s">
        <v>250</v>
      </c>
      <c r="Z8" s="89" t="str">
        <f>HYPERLINK("https://twitter.com/#!/longaway__/status/1491472179955142656")</f>
        <v>https://twitter.com/#!/longaway__/status/1491472179955142656</v>
      </c>
      <c r="AA8" s="85"/>
      <c r="AB8" s="85"/>
      <c r="AC8" s="88" t="s">
        <v>261</v>
      </c>
      <c r="AD8" s="88" t="s">
        <v>270</v>
      </c>
      <c r="AE8" s="85" t="b">
        <v>0</v>
      </c>
      <c r="AF8" s="85">
        <v>0</v>
      </c>
      <c r="AG8" s="88" t="s">
        <v>275</v>
      </c>
      <c r="AH8" s="85" t="b">
        <v>0</v>
      </c>
      <c r="AI8" s="85" t="s">
        <v>281</v>
      </c>
      <c r="AJ8" s="85"/>
      <c r="AK8" s="88" t="s">
        <v>274</v>
      </c>
      <c r="AL8" s="85" t="b">
        <v>0</v>
      </c>
      <c r="AM8" s="85">
        <v>0</v>
      </c>
      <c r="AN8" s="88" t="s">
        <v>274</v>
      </c>
      <c r="AO8" s="88" t="s">
        <v>285</v>
      </c>
      <c r="AP8" s="85" t="b">
        <v>0</v>
      </c>
      <c r="AQ8" s="88" t="s">
        <v>270</v>
      </c>
      <c r="AR8" s="85" t="s">
        <v>176</v>
      </c>
      <c r="AS8" s="85">
        <v>0</v>
      </c>
      <c r="AT8" s="85">
        <v>0</v>
      </c>
      <c r="AU8" s="85"/>
      <c r="AV8" s="85"/>
      <c r="AW8" s="85"/>
      <c r="AX8" s="85"/>
      <c r="AY8" s="85"/>
      <c r="AZ8" s="85"/>
      <c r="BA8" s="85"/>
      <c r="BB8" s="85"/>
      <c r="BC8">
        <v>1</v>
      </c>
      <c r="BD8" s="84" t="str">
        <f>REPLACE(INDEX(GroupVertices[Group],MATCH(Edges[[#This Row],[Vertex 1]],GroupVertices[Vertex],0)),1,1,"")</f>
        <v>4</v>
      </c>
      <c r="BE8" s="84" t="str">
        <f>REPLACE(INDEX(GroupVertices[Group],MATCH(Edges[[#This Row],[Vertex 2]],GroupVertices[Vertex],0)),1,1,"")</f>
        <v>4</v>
      </c>
    </row>
    <row r="9" spans="1:57" ht="45">
      <c r="A9" s="83" t="s">
        <v>218</v>
      </c>
      <c r="B9" s="83" t="s">
        <v>218</v>
      </c>
      <c r="C9" s="54" t="s">
        <v>442</v>
      </c>
      <c r="D9" s="55">
        <v>3</v>
      </c>
      <c r="E9" s="67" t="s">
        <v>132</v>
      </c>
      <c r="F9" s="56">
        <v>35</v>
      </c>
      <c r="G9" s="54"/>
      <c r="H9" s="58"/>
      <c r="I9" s="57"/>
      <c r="J9" s="57"/>
      <c r="K9" s="36" t="s">
        <v>65</v>
      </c>
      <c r="L9" s="82">
        <v>9</v>
      </c>
      <c r="M9" s="82"/>
      <c r="N9" s="64"/>
      <c r="O9" s="85" t="s">
        <v>176</v>
      </c>
      <c r="P9" s="87">
        <v>44602.747465277775</v>
      </c>
      <c r="Q9" s="85" t="s">
        <v>239</v>
      </c>
      <c r="R9" s="85"/>
      <c r="S9" s="85"/>
      <c r="T9" s="85"/>
      <c r="U9" s="85"/>
      <c r="V9" s="89" t="str">
        <f>HYPERLINK("http://pbs.twimg.com/profile_images/1407818938046631944/IkZKnpVy_normal.jpg")</f>
        <v>http://pbs.twimg.com/profile_images/1407818938046631944/IkZKnpVy_normal.jpg</v>
      </c>
      <c r="W9" s="87">
        <v>44602.747465277775</v>
      </c>
      <c r="X9" s="92">
        <v>44602</v>
      </c>
      <c r="Y9" s="88" t="s">
        <v>251</v>
      </c>
      <c r="Z9" s="89" t="str">
        <f>HYPERLINK("https://twitter.com/#!/arab_intel/status/1491833430409101314")</f>
        <v>https://twitter.com/#!/arab_intel/status/1491833430409101314</v>
      </c>
      <c r="AA9" s="85"/>
      <c r="AB9" s="85"/>
      <c r="AC9" s="88" t="s">
        <v>262</v>
      </c>
      <c r="AD9" s="85"/>
      <c r="AE9" s="85" t="b">
        <v>0</v>
      </c>
      <c r="AF9" s="85">
        <v>8</v>
      </c>
      <c r="AG9" s="88" t="s">
        <v>274</v>
      </c>
      <c r="AH9" s="85" t="b">
        <v>0</v>
      </c>
      <c r="AI9" s="85" t="s">
        <v>282</v>
      </c>
      <c r="AJ9" s="85"/>
      <c r="AK9" s="88" t="s">
        <v>274</v>
      </c>
      <c r="AL9" s="85" t="b">
        <v>0</v>
      </c>
      <c r="AM9" s="85">
        <v>0</v>
      </c>
      <c r="AN9" s="88" t="s">
        <v>274</v>
      </c>
      <c r="AO9" s="88" t="s">
        <v>285</v>
      </c>
      <c r="AP9" s="85" t="b">
        <v>0</v>
      </c>
      <c r="AQ9" s="88" t="s">
        <v>262</v>
      </c>
      <c r="AR9" s="85" t="s">
        <v>176</v>
      </c>
      <c r="AS9" s="85">
        <v>0</v>
      </c>
      <c r="AT9" s="85">
        <v>0</v>
      </c>
      <c r="AU9" s="85"/>
      <c r="AV9" s="85"/>
      <c r="AW9" s="85"/>
      <c r="AX9" s="85"/>
      <c r="AY9" s="85"/>
      <c r="AZ9" s="85"/>
      <c r="BA9" s="85"/>
      <c r="BB9" s="85"/>
      <c r="BC9">
        <v>1</v>
      </c>
      <c r="BD9" s="84" t="str">
        <f>REPLACE(INDEX(GroupVertices[Group],MATCH(Edges[[#This Row],[Vertex 1]],GroupVertices[Vertex],0)),1,1,"")</f>
        <v>8</v>
      </c>
      <c r="BE9" s="84" t="str">
        <f>REPLACE(INDEX(GroupVertices[Group],MATCH(Edges[[#This Row],[Vertex 2]],GroupVertices[Vertex],0)),1,1,"")</f>
        <v>8</v>
      </c>
    </row>
    <row r="10" spans="1:57" ht="45">
      <c r="A10" s="83" t="s">
        <v>219</v>
      </c>
      <c r="B10" s="83" t="s">
        <v>221</v>
      </c>
      <c r="C10" s="54" t="s">
        <v>442</v>
      </c>
      <c r="D10" s="55">
        <v>3</v>
      </c>
      <c r="E10" s="67" t="s">
        <v>132</v>
      </c>
      <c r="F10" s="56">
        <v>35</v>
      </c>
      <c r="G10" s="54"/>
      <c r="H10" s="58"/>
      <c r="I10" s="57"/>
      <c r="J10" s="57"/>
      <c r="K10" s="36" t="s">
        <v>65</v>
      </c>
      <c r="L10" s="82">
        <v>10</v>
      </c>
      <c r="M10" s="82"/>
      <c r="N10" s="64"/>
      <c r="O10" s="85" t="s">
        <v>232</v>
      </c>
      <c r="P10" s="87">
        <v>44605.67340277778</v>
      </c>
      <c r="Q10" s="85" t="s">
        <v>240</v>
      </c>
      <c r="R10" s="85"/>
      <c r="S10" s="85"/>
      <c r="T10" s="85"/>
      <c r="U10" s="85"/>
      <c r="V10" s="89" t="str">
        <f>HYPERLINK("http://pbs.twimg.com/profile_images/1248961169672593410/FKNL1ElZ_normal.jpg")</f>
        <v>http://pbs.twimg.com/profile_images/1248961169672593410/FKNL1ElZ_normal.jpg</v>
      </c>
      <c r="W10" s="87">
        <v>44605.67340277778</v>
      </c>
      <c r="X10" s="92">
        <v>44605</v>
      </c>
      <c r="Y10" s="88" t="s">
        <v>252</v>
      </c>
      <c r="Z10" s="89" t="str">
        <f>HYPERLINK("https://twitter.com/#!/ansch_1/status/1492893754851840004")</f>
        <v>https://twitter.com/#!/ansch_1/status/1492893754851840004</v>
      </c>
      <c r="AA10" s="85"/>
      <c r="AB10" s="85"/>
      <c r="AC10" s="88" t="s">
        <v>263</v>
      </c>
      <c r="AD10" s="85"/>
      <c r="AE10" s="85" t="b">
        <v>0</v>
      </c>
      <c r="AF10" s="85">
        <v>0</v>
      </c>
      <c r="AG10" s="88" t="s">
        <v>274</v>
      </c>
      <c r="AH10" s="85" t="b">
        <v>0</v>
      </c>
      <c r="AI10" s="85" t="s">
        <v>280</v>
      </c>
      <c r="AJ10" s="85"/>
      <c r="AK10" s="88" t="s">
        <v>274</v>
      </c>
      <c r="AL10" s="85" t="b">
        <v>0</v>
      </c>
      <c r="AM10" s="85">
        <v>1</v>
      </c>
      <c r="AN10" s="88" t="s">
        <v>265</v>
      </c>
      <c r="AO10" s="88" t="s">
        <v>284</v>
      </c>
      <c r="AP10" s="85" t="b">
        <v>0</v>
      </c>
      <c r="AQ10" s="88" t="s">
        <v>265</v>
      </c>
      <c r="AR10" s="85" t="s">
        <v>176</v>
      </c>
      <c r="AS10" s="85">
        <v>0</v>
      </c>
      <c r="AT10" s="85">
        <v>0</v>
      </c>
      <c r="AU10" s="85"/>
      <c r="AV10" s="85"/>
      <c r="AW10" s="85"/>
      <c r="AX10" s="85"/>
      <c r="AY10" s="85"/>
      <c r="AZ10" s="85"/>
      <c r="BA10" s="85"/>
      <c r="BB10" s="85"/>
      <c r="BC10">
        <v>1</v>
      </c>
      <c r="BD10" s="84" t="str">
        <f>REPLACE(INDEX(GroupVertices[Group],MATCH(Edges[[#This Row],[Vertex 1]],GroupVertices[Vertex],0)),1,1,"")</f>
        <v>2</v>
      </c>
      <c r="BE10" s="84" t="str">
        <f>REPLACE(INDEX(GroupVertices[Group],MATCH(Edges[[#This Row],[Vertex 2]],GroupVertices[Vertex],0)),1,1,"")</f>
        <v>2</v>
      </c>
    </row>
    <row r="11" spans="1:57" ht="45">
      <c r="A11" s="83" t="s">
        <v>219</v>
      </c>
      <c r="B11" s="83" t="s">
        <v>221</v>
      </c>
      <c r="C11" s="54" t="s">
        <v>442</v>
      </c>
      <c r="D11" s="55">
        <v>3</v>
      </c>
      <c r="E11" s="67" t="s">
        <v>132</v>
      </c>
      <c r="F11" s="56">
        <v>35</v>
      </c>
      <c r="G11" s="54"/>
      <c r="H11" s="58"/>
      <c r="I11" s="57"/>
      <c r="J11" s="57"/>
      <c r="K11" s="36" t="s">
        <v>65</v>
      </c>
      <c r="L11" s="82">
        <v>11</v>
      </c>
      <c r="M11" s="82"/>
      <c r="N11" s="64"/>
      <c r="O11" s="85" t="s">
        <v>233</v>
      </c>
      <c r="P11" s="87">
        <v>44605.67340277778</v>
      </c>
      <c r="Q11" s="85" t="s">
        <v>240</v>
      </c>
      <c r="R11" s="85"/>
      <c r="S11" s="85"/>
      <c r="T11" s="85"/>
      <c r="U11" s="85"/>
      <c r="V11" s="89" t="str">
        <f>HYPERLINK("http://pbs.twimg.com/profile_images/1248961169672593410/FKNL1ElZ_normal.jpg")</f>
        <v>http://pbs.twimg.com/profile_images/1248961169672593410/FKNL1ElZ_normal.jpg</v>
      </c>
      <c r="W11" s="87">
        <v>44605.67340277778</v>
      </c>
      <c r="X11" s="92">
        <v>44605</v>
      </c>
      <c r="Y11" s="88" t="s">
        <v>252</v>
      </c>
      <c r="Z11" s="89" t="str">
        <f>HYPERLINK("https://twitter.com/#!/ansch_1/status/1492893754851840004")</f>
        <v>https://twitter.com/#!/ansch_1/status/1492893754851840004</v>
      </c>
      <c r="AA11" s="85"/>
      <c r="AB11" s="85"/>
      <c r="AC11" s="88" t="s">
        <v>263</v>
      </c>
      <c r="AD11" s="85"/>
      <c r="AE11" s="85" t="b">
        <v>0</v>
      </c>
      <c r="AF11" s="85">
        <v>0</v>
      </c>
      <c r="AG11" s="88" t="s">
        <v>274</v>
      </c>
      <c r="AH11" s="85" t="b">
        <v>0</v>
      </c>
      <c r="AI11" s="85" t="s">
        <v>280</v>
      </c>
      <c r="AJ11" s="85"/>
      <c r="AK11" s="88" t="s">
        <v>274</v>
      </c>
      <c r="AL11" s="85" t="b">
        <v>0</v>
      </c>
      <c r="AM11" s="85">
        <v>1</v>
      </c>
      <c r="AN11" s="88" t="s">
        <v>265</v>
      </c>
      <c r="AO11" s="88" t="s">
        <v>284</v>
      </c>
      <c r="AP11" s="85" t="b">
        <v>0</v>
      </c>
      <c r="AQ11" s="88" t="s">
        <v>265</v>
      </c>
      <c r="AR11" s="85" t="s">
        <v>176</v>
      </c>
      <c r="AS11" s="85">
        <v>0</v>
      </c>
      <c r="AT11" s="85">
        <v>0</v>
      </c>
      <c r="AU11" s="85"/>
      <c r="AV11" s="85"/>
      <c r="AW11" s="85"/>
      <c r="AX11" s="85"/>
      <c r="AY11" s="85"/>
      <c r="AZ11" s="85"/>
      <c r="BA11" s="85"/>
      <c r="BB11" s="85"/>
      <c r="BC11">
        <v>1</v>
      </c>
      <c r="BD11" s="84" t="str">
        <f>REPLACE(INDEX(GroupVertices[Group],MATCH(Edges[[#This Row],[Vertex 1]],GroupVertices[Vertex],0)),1,1,"")</f>
        <v>2</v>
      </c>
      <c r="BE11" s="84" t="str">
        <f>REPLACE(INDEX(GroupVertices[Group],MATCH(Edges[[#This Row],[Vertex 2]],GroupVertices[Vertex],0)),1,1,"")</f>
        <v>2</v>
      </c>
    </row>
    <row r="12" spans="1:57" ht="45">
      <c r="A12" s="83" t="s">
        <v>220</v>
      </c>
      <c r="B12" s="83" t="s">
        <v>227</v>
      </c>
      <c r="C12" s="54" t="s">
        <v>442</v>
      </c>
      <c r="D12" s="55">
        <v>3</v>
      </c>
      <c r="E12" s="67" t="s">
        <v>132</v>
      </c>
      <c r="F12" s="56">
        <v>35</v>
      </c>
      <c r="G12" s="54"/>
      <c r="H12" s="58"/>
      <c r="I12" s="57"/>
      <c r="J12" s="57"/>
      <c r="K12" s="36" t="s">
        <v>65</v>
      </c>
      <c r="L12" s="82">
        <v>12</v>
      </c>
      <c r="M12" s="82"/>
      <c r="N12" s="64"/>
      <c r="O12" s="85" t="s">
        <v>231</v>
      </c>
      <c r="P12" s="87">
        <v>44606.0327662037</v>
      </c>
      <c r="Q12" s="85" t="s">
        <v>241</v>
      </c>
      <c r="R12" s="85"/>
      <c r="S12" s="85"/>
      <c r="T12" s="85"/>
      <c r="U12" s="85"/>
      <c r="V12" s="89" t="str">
        <f>HYPERLINK("http://pbs.twimg.com/profile_images/1490135948801290245/N-xhuIvN_normal.jpg")</f>
        <v>http://pbs.twimg.com/profile_images/1490135948801290245/N-xhuIvN_normal.jpg</v>
      </c>
      <c r="W12" s="87">
        <v>44606.0327662037</v>
      </c>
      <c r="X12" s="92">
        <v>44606</v>
      </c>
      <c r="Y12" s="88" t="s">
        <v>253</v>
      </c>
      <c r="Z12" s="89" t="str">
        <f>HYPERLINK("https://twitter.com/#!/milss_00/status/1493023984434266112")</f>
        <v>https://twitter.com/#!/milss_00/status/1493023984434266112</v>
      </c>
      <c r="AA12" s="85"/>
      <c r="AB12" s="85"/>
      <c r="AC12" s="88" t="s">
        <v>264</v>
      </c>
      <c r="AD12" s="88" t="s">
        <v>271</v>
      </c>
      <c r="AE12" s="85" t="b">
        <v>0</v>
      </c>
      <c r="AF12" s="85">
        <v>0</v>
      </c>
      <c r="AG12" s="88" t="s">
        <v>276</v>
      </c>
      <c r="AH12" s="85" t="b">
        <v>0</v>
      </c>
      <c r="AI12" s="85" t="s">
        <v>282</v>
      </c>
      <c r="AJ12" s="85"/>
      <c r="AK12" s="88" t="s">
        <v>274</v>
      </c>
      <c r="AL12" s="85" t="b">
        <v>0</v>
      </c>
      <c r="AM12" s="85">
        <v>0</v>
      </c>
      <c r="AN12" s="88" t="s">
        <v>274</v>
      </c>
      <c r="AO12" s="88" t="s">
        <v>283</v>
      </c>
      <c r="AP12" s="85" t="b">
        <v>0</v>
      </c>
      <c r="AQ12" s="88" t="s">
        <v>271</v>
      </c>
      <c r="AR12" s="85" t="s">
        <v>176</v>
      </c>
      <c r="AS12" s="85">
        <v>0</v>
      </c>
      <c r="AT12" s="85">
        <v>0</v>
      </c>
      <c r="AU12" s="85"/>
      <c r="AV12" s="85"/>
      <c r="AW12" s="85"/>
      <c r="AX12" s="85"/>
      <c r="AY12" s="85"/>
      <c r="AZ12" s="85"/>
      <c r="BA12" s="85"/>
      <c r="BB12" s="85"/>
      <c r="BC12">
        <v>1</v>
      </c>
      <c r="BD12" s="84" t="str">
        <f>REPLACE(INDEX(GroupVertices[Group],MATCH(Edges[[#This Row],[Vertex 1]],GroupVertices[Vertex],0)),1,1,"")</f>
        <v>3</v>
      </c>
      <c r="BE12" s="84" t="str">
        <f>REPLACE(INDEX(GroupVertices[Group],MATCH(Edges[[#This Row],[Vertex 2]],GroupVertices[Vertex],0)),1,1,"")</f>
        <v>3</v>
      </c>
    </row>
    <row r="13" spans="1:57" ht="45">
      <c r="A13" s="83" t="s">
        <v>221</v>
      </c>
      <c r="B13" s="83" t="s">
        <v>221</v>
      </c>
      <c r="C13" s="54" t="s">
        <v>442</v>
      </c>
      <c r="D13" s="55">
        <v>3</v>
      </c>
      <c r="E13" s="67" t="s">
        <v>132</v>
      </c>
      <c r="F13" s="56">
        <v>35</v>
      </c>
      <c r="G13" s="54"/>
      <c r="H13" s="58"/>
      <c r="I13" s="57"/>
      <c r="J13" s="57"/>
      <c r="K13" s="36" t="s">
        <v>65</v>
      </c>
      <c r="L13" s="82">
        <v>13</v>
      </c>
      <c r="M13" s="82"/>
      <c r="N13" s="64"/>
      <c r="O13" s="85" t="s">
        <v>176</v>
      </c>
      <c r="P13" s="87">
        <v>44605.66247685185</v>
      </c>
      <c r="Q13" s="85" t="s">
        <v>242</v>
      </c>
      <c r="R13" s="85"/>
      <c r="S13" s="85"/>
      <c r="T13" s="85"/>
      <c r="U13" s="89" t="str">
        <f>HYPERLINK("https://pbs.twimg.com/media/FLfPVfzXsAEKIjt.jpg")</f>
        <v>https://pbs.twimg.com/media/FLfPVfzXsAEKIjt.jpg</v>
      </c>
      <c r="V13" s="89" t="str">
        <f>HYPERLINK("https://pbs.twimg.com/media/FLfPVfzXsAEKIjt.jpg")</f>
        <v>https://pbs.twimg.com/media/FLfPVfzXsAEKIjt.jpg</v>
      </c>
      <c r="W13" s="87">
        <v>44605.66247685185</v>
      </c>
      <c r="X13" s="92">
        <v>44605</v>
      </c>
      <c r="Y13" s="88" t="s">
        <v>254</v>
      </c>
      <c r="Z13" s="89" t="str">
        <f>HYPERLINK("https://twitter.com/#!/palmyrenevoices/status/1492889796414476290")</f>
        <v>https://twitter.com/#!/palmyrenevoices/status/1492889796414476290</v>
      </c>
      <c r="AA13" s="85"/>
      <c r="AB13" s="85"/>
      <c r="AC13" s="88" t="s">
        <v>265</v>
      </c>
      <c r="AD13" s="85"/>
      <c r="AE13" s="85" t="b">
        <v>0</v>
      </c>
      <c r="AF13" s="85">
        <v>0</v>
      </c>
      <c r="AG13" s="88" t="s">
        <v>274</v>
      </c>
      <c r="AH13" s="85" t="b">
        <v>0</v>
      </c>
      <c r="AI13" s="85" t="s">
        <v>280</v>
      </c>
      <c r="AJ13" s="85"/>
      <c r="AK13" s="88" t="s">
        <v>274</v>
      </c>
      <c r="AL13" s="85" t="b">
        <v>0</v>
      </c>
      <c r="AM13" s="85">
        <v>1</v>
      </c>
      <c r="AN13" s="88" t="s">
        <v>274</v>
      </c>
      <c r="AO13" s="88" t="s">
        <v>284</v>
      </c>
      <c r="AP13" s="85" t="b">
        <v>0</v>
      </c>
      <c r="AQ13" s="88" t="s">
        <v>265</v>
      </c>
      <c r="AR13" s="85" t="s">
        <v>176</v>
      </c>
      <c r="AS13" s="85">
        <v>0</v>
      </c>
      <c r="AT13" s="85">
        <v>0</v>
      </c>
      <c r="AU13" s="85"/>
      <c r="AV13" s="85"/>
      <c r="AW13" s="85"/>
      <c r="AX13" s="85"/>
      <c r="AY13" s="85"/>
      <c r="AZ13" s="85"/>
      <c r="BA13" s="85"/>
      <c r="BB13" s="85"/>
      <c r="BC13">
        <v>1</v>
      </c>
      <c r="BD13" s="84" t="str">
        <f>REPLACE(INDEX(GroupVertices[Group],MATCH(Edges[[#This Row],[Vertex 1]],GroupVertices[Vertex],0)),1,1,"")</f>
        <v>2</v>
      </c>
      <c r="BE13" s="84" t="str">
        <f>REPLACE(INDEX(GroupVertices[Group],MATCH(Edges[[#This Row],[Vertex 2]],GroupVertices[Vertex],0)),1,1,"")</f>
        <v>2</v>
      </c>
    </row>
    <row r="14" spans="1:57" ht="45">
      <c r="A14" s="83" t="s">
        <v>222</v>
      </c>
      <c r="B14" s="83" t="s">
        <v>221</v>
      </c>
      <c r="C14" s="54" t="s">
        <v>442</v>
      </c>
      <c r="D14" s="55">
        <v>3</v>
      </c>
      <c r="E14" s="67" t="s">
        <v>132</v>
      </c>
      <c r="F14" s="56">
        <v>35</v>
      </c>
      <c r="G14" s="54"/>
      <c r="H14" s="58"/>
      <c r="I14" s="57"/>
      <c r="J14" s="57"/>
      <c r="K14" s="36" t="s">
        <v>65</v>
      </c>
      <c r="L14" s="82">
        <v>14</v>
      </c>
      <c r="M14" s="82"/>
      <c r="N14" s="64"/>
      <c r="O14" s="85" t="s">
        <v>232</v>
      </c>
      <c r="P14" s="87">
        <v>44606.428090277775</v>
      </c>
      <c r="Q14" s="85" t="s">
        <v>240</v>
      </c>
      <c r="R14" s="85"/>
      <c r="S14" s="85"/>
      <c r="T14" s="85"/>
      <c r="U14" s="85"/>
      <c r="V14" s="89" t="str">
        <f>HYPERLINK("http://pbs.twimg.com/profile_images/1469402431398289425/hu9wRH3w_normal.jpg")</f>
        <v>http://pbs.twimg.com/profile_images/1469402431398289425/hu9wRH3w_normal.jpg</v>
      </c>
      <c r="W14" s="87">
        <v>44606.428090277775</v>
      </c>
      <c r="X14" s="92">
        <v>44606</v>
      </c>
      <c r="Y14" s="88" t="s">
        <v>255</v>
      </c>
      <c r="Z14" s="89" t="str">
        <f>HYPERLINK("https://twitter.com/#!/heritage4peace/status/1493167246478299139")</f>
        <v>https://twitter.com/#!/heritage4peace/status/1493167246478299139</v>
      </c>
      <c r="AA14" s="85"/>
      <c r="AB14" s="85"/>
      <c r="AC14" s="88" t="s">
        <v>266</v>
      </c>
      <c r="AD14" s="85"/>
      <c r="AE14" s="85" t="b">
        <v>0</v>
      </c>
      <c r="AF14" s="85">
        <v>0</v>
      </c>
      <c r="AG14" s="88" t="s">
        <v>274</v>
      </c>
      <c r="AH14" s="85" t="b">
        <v>0</v>
      </c>
      <c r="AI14" s="85" t="s">
        <v>280</v>
      </c>
      <c r="AJ14" s="85"/>
      <c r="AK14" s="88" t="s">
        <v>274</v>
      </c>
      <c r="AL14" s="85" t="b">
        <v>0</v>
      </c>
      <c r="AM14" s="85">
        <v>2</v>
      </c>
      <c r="AN14" s="88" t="s">
        <v>265</v>
      </c>
      <c r="AO14" s="88" t="s">
        <v>284</v>
      </c>
      <c r="AP14" s="85" t="b">
        <v>0</v>
      </c>
      <c r="AQ14" s="88" t="s">
        <v>265</v>
      </c>
      <c r="AR14" s="85" t="s">
        <v>176</v>
      </c>
      <c r="AS14" s="85">
        <v>0</v>
      </c>
      <c r="AT14" s="85">
        <v>0</v>
      </c>
      <c r="AU14" s="85"/>
      <c r="AV14" s="85"/>
      <c r="AW14" s="85"/>
      <c r="AX14" s="85"/>
      <c r="AY14" s="85"/>
      <c r="AZ14" s="85"/>
      <c r="BA14" s="85"/>
      <c r="BB14" s="85"/>
      <c r="BC14">
        <v>1</v>
      </c>
      <c r="BD14" s="84" t="str">
        <f>REPLACE(INDEX(GroupVertices[Group],MATCH(Edges[[#This Row],[Vertex 1]],GroupVertices[Vertex],0)),1,1,"")</f>
        <v>2</v>
      </c>
      <c r="BE14" s="84" t="str">
        <f>REPLACE(INDEX(GroupVertices[Group],MATCH(Edges[[#This Row],[Vertex 2]],GroupVertices[Vertex],0)),1,1,"")</f>
        <v>2</v>
      </c>
    </row>
    <row r="15" spans="1:57" ht="45">
      <c r="A15" s="83" t="s">
        <v>222</v>
      </c>
      <c r="B15" s="83" t="s">
        <v>221</v>
      </c>
      <c r="C15" s="54" t="s">
        <v>442</v>
      </c>
      <c r="D15" s="55">
        <v>3</v>
      </c>
      <c r="E15" s="67" t="s">
        <v>132</v>
      </c>
      <c r="F15" s="56">
        <v>35</v>
      </c>
      <c r="G15" s="54"/>
      <c r="H15" s="58"/>
      <c r="I15" s="57"/>
      <c r="J15" s="57"/>
      <c r="K15" s="36" t="s">
        <v>65</v>
      </c>
      <c r="L15" s="82">
        <v>15</v>
      </c>
      <c r="M15" s="82"/>
      <c r="N15" s="64"/>
      <c r="O15" s="85" t="s">
        <v>233</v>
      </c>
      <c r="P15" s="87">
        <v>44606.428090277775</v>
      </c>
      <c r="Q15" s="85" t="s">
        <v>240</v>
      </c>
      <c r="R15" s="85"/>
      <c r="S15" s="85"/>
      <c r="T15" s="85"/>
      <c r="U15" s="85"/>
      <c r="V15" s="89" t="str">
        <f>HYPERLINK("http://pbs.twimg.com/profile_images/1469402431398289425/hu9wRH3w_normal.jpg")</f>
        <v>http://pbs.twimg.com/profile_images/1469402431398289425/hu9wRH3w_normal.jpg</v>
      </c>
      <c r="W15" s="87">
        <v>44606.428090277775</v>
      </c>
      <c r="X15" s="92">
        <v>44606</v>
      </c>
      <c r="Y15" s="88" t="s">
        <v>255</v>
      </c>
      <c r="Z15" s="89" t="str">
        <f>HYPERLINK("https://twitter.com/#!/heritage4peace/status/1493167246478299139")</f>
        <v>https://twitter.com/#!/heritage4peace/status/1493167246478299139</v>
      </c>
      <c r="AA15" s="85"/>
      <c r="AB15" s="85"/>
      <c r="AC15" s="88" t="s">
        <v>266</v>
      </c>
      <c r="AD15" s="85"/>
      <c r="AE15" s="85" t="b">
        <v>0</v>
      </c>
      <c r="AF15" s="85">
        <v>0</v>
      </c>
      <c r="AG15" s="88" t="s">
        <v>274</v>
      </c>
      <c r="AH15" s="85" t="b">
        <v>0</v>
      </c>
      <c r="AI15" s="85" t="s">
        <v>280</v>
      </c>
      <c r="AJ15" s="85"/>
      <c r="AK15" s="88" t="s">
        <v>274</v>
      </c>
      <c r="AL15" s="85" t="b">
        <v>0</v>
      </c>
      <c r="AM15" s="85">
        <v>2</v>
      </c>
      <c r="AN15" s="88" t="s">
        <v>265</v>
      </c>
      <c r="AO15" s="88" t="s">
        <v>284</v>
      </c>
      <c r="AP15" s="85" t="b">
        <v>0</v>
      </c>
      <c r="AQ15" s="88" t="s">
        <v>265</v>
      </c>
      <c r="AR15" s="85" t="s">
        <v>176</v>
      </c>
      <c r="AS15" s="85">
        <v>0</v>
      </c>
      <c r="AT15" s="85">
        <v>0</v>
      </c>
      <c r="AU15" s="85"/>
      <c r="AV15" s="85"/>
      <c r="AW15" s="85"/>
      <c r="AX15" s="85"/>
      <c r="AY15" s="85"/>
      <c r="AZ15" s="85"/>
      <c r="BA15" s="85"/>
      <c r="BB15" s="85"/>
      <c r="BC15">
        <v>1</v>
      </c>
      <c r="BD15" s="84" t="str">
        <f>REPLACE(INDEX(GroupVertices[Group],MATCH(Edges[[#This Row],[Vertex 1]],GroupVertices[Vertex],0)),1,1,"")</f>
        <v>2</v>
      </c>
      <c r="BE15" s="84" t="str">
        <f>REPLACE(INDEX(GroupVertices[Group],MATCH(Edges[[#This Row],[Vertex 2]],GroupVertices[Vertex],0)),1,1,"")</f>
        <v>2</v>
      </c>
    </row>
    <row r="16" spans="1:57" ht="45">
      <c r="A16" s="83" t="s">
        <v>223</v>
      </c>
      <c r="B16" s="83" t="s">
        <v>228</v>
      </c>
      <c r="C16" s="54" t="s">
        <v>442</v>
      </c>
      <c r="D16" s="55">
        <v>3</v>
      </c>
      <c r="E16" s="67" t="s">
        <v>132</v>
      </c>
      <c r="F16" s="56">
        <v>35</v>
      </c>
      <c r="G16" s="54"/>
      <c r="H16" s="58"/>
      <c r="I16" s="57"/>
      <c r="J16" s="57"/>
      <c r="K16" s="36" t="s">
        <v>65</v>
      </c>
      <c r="L16" s="82">
        <v>16</v>
      </c>
      <c r="M16" s="82"/>
      <c r="N16" s="64"/>
      <c r="O16" s="85" t="s">
        <v>234</v>
      </c>
      <c r="P16" s="87">
        <v>44607.494988425926</v>
      </c>
      <c r="Q16" s="85" t="s">
        <v>243</v>
      </c>
      <c r="R16" s="85"/>
      <c r="S16" s="85"/>
      <c r="T16" s="85"/>
      <c r="U16" s="85"/>
      <c r="V16" s="89" t="str">
        <f>HYPERLINK("http://pbs.twimg.com/profile_images/1488165446880993280/v2xV3Ie7_normal.jpg")</f>
        <v>http://pbs.twimg.com/profile_images/1488165446880993280/v2xV3Ie7_normal.jpg</v>
      </c>
      <c r="W16" s="87">
        <v>44607.494988425926</v>
      </c>
      <c r="X16" s="92">
        <v>44607</v>
      </c>
      <c r="Y16" s="88" t="s">
        <v>256</v>
      </c>
      <c r="Z16" s="89" t="str">
        <f>HYPERLINK("https://twitter.com/#!/moondeleine/status/1493553873784815617")</f>
        <v>https://twitter.com/#!/moondeleine/status/1493553873784815617</v>
      </c>
      <c r="AA16" s="85"/>
      <c r="AB16" s="85"/>
      <c r="AC16" s="88" t="s">
        <v>267</v>
      </c>
      <c r="AD16" s="88" t="s">
        <v>272</v>
      </c>
      <c r="AE16" s="85" t="b">
        <v>0</v>
      </c>
      <c r="AF16" s="85">
        <v>0</v>
      </c>
      <c r="AG16" s="88" t="s">
        <v>277</v>
      </c>
      <c r="AH16" s="85" t="b">
        <v>0</v>
      </c>
      <c r="AI16" s="85" t="s">
        <v>281</v>
      </c>
      <c r="AJ16" s="85"/>
      <c r="AK16" s="88" t="s">
        <v>274</v>
      </c>
      <c r="AL16" s="85" t="b">
        <v>0</v>
      </c>
      <c r="AM16" s="85">
        <v>0</v>
      </c>
      <c r="AN16" s="88" t="s">
        <v>274</v>
      </c>
      <c r="AO16" s="88" t="s">
        <v>283</v>
      </c>
      <c r="AP16" s="85" t="b">
        <v>0</v>
      </c>
      <c r="AQ16" s="88" t="s">
        <v>272</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223</v>
      </c>
      <c r="B17" s="83" t="s">
        <v>229</v>
      </c>
      <c r="C17" s="54" t="s">
        <v>442</v>
      </c>
      <c r="D17" s="55">
        <v>3</v>
      </c>
      <c r="E17" s="67" t="s">
        <v>132</v>
      </c>
      <c r="F17" s="56">
        <v>35</v>
      </c>
      <c r="G17" s="54"/>
      <c r="H17" s="58"/>
      <c r="I17" s="57"/>
      <c r="J17" s="57"/>
      <c r="K17" s="36" t="s">
        <v>65</v>
      </c>
      <c r="L17" s="82">
        <v>17</v>
      </c>
      <c r="M17" s="82"/>
      <c r="N17" s="64"/>
      <c r="O17" s="85" t="s">
        <v>231</v>
      </c>
      <c r="P17" s="87">
        <v>44607.494988425926</v>
      </c>
      <c r="Q17" s="85" t="s">
        <v>243</v>
      </c>
      <c r="R17" s="85"/>
      <c r="S17" s="85"/>
      <c r="T17" s="85"/>
      <c r="U17" s="85"/>
      <c r="V17" s="89" t="str">
        <f>HYPERLINK("http://pbs.twimg.com/profile_images/1488165446880993280/v2xV3Ie7_normal.jpg")</f>
        <v>http://pbs.twimg.com/profile_images/1488165446880993280/v2xV3Ie7_normal.jpg</v>
      </c>
      <c r="W17" s="87">
        <v>44607.494988425926</v>
      </c>
      <c r="X17" s="92">
        <v>44607</v>
      </c>
      <c r="Y17" s="88" t="s">
        <v>256</v>
      </c>
      <c r="Z17" s="89" t="str">
        <f>HYPERLINK("https://twitter.com/#!/moondeleine/status/1493553873784815617")</f>
        <v>https://twitter.com/#!/moondeleine/status/1493553873784815617</v>
      </c>
      <c r="AA17" s="85"/>
      <c r="AB17" s="85"/>
      <c r="AC17" s="88" t="s">
        <v>267</v>
      </c>
      <c r="AD17" s="88" t="s">
        <v>272</v>
      </c>
      <c r="AE17" s="85" t="b">
        <v>0</v>
      </c>
      <c r="AF17" s="85">
        <v>0</v>
      </c>
      <c r="AG17" s="88" t="s">
        <v>277</v>
      </c>
      <c r="AH17" s="85" t="b">
        <v>0</v>
      </c>
      <c r="AI17" s="85" t="s">
        <v>281</v>
      </c>
      <c r="AJ17" s="85"/>
      <c r="AK17" s="88" t="s">
        <v>274</v>
      </c>
      <c r="AL17" s="85" t="b">
        <v>0</v>
      </c>
      <c r="AM17" s="85">
        <v>0</v>
      </c>
      <c r="AN17" s="88" t="s">
        <v>274</v>
      </c>
      <c r="AO17" s="88" t="s">
        <v>283</v>
      </c>
      <c r="AP17" s="85" t="b">
        <v>0</v>
      </c>
      <c r="AQ17" s="88" t="s">
        <v>272</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434</v>
      </c>
      <c r="BB2" s="3"/>
      <c r="BC2" s="3"/>
    </row>
    <row r="3" spans="1:55" ht="15" customHeight="1">
      <c r="A3" s="50" t="s">
        <v>224</v>
      </c>
      <c r="B3" s="54"/>
      <c r="C3" s="54"/>
      <c r="D3" s="55"/>
      <c r="E3" s="56"/>
      <c r="F3" s="115" t="str">
        <f>HYPERLINK("http://pbs.twimg.com/profile_images/494128176403324928/X1WuOVJy_normal.jpeg")</f>
        <v>http://pbs.twimg.com/profile_images/494128176403324928/X1WuOVJy_normal.jpeg</v>
      </c>
      <c r="G3" s="54"/>
      <c r="H3" s="58" t="s">
        <v>224</v>
      </c>
      <c r="I3" s="57"/>
      <c r="J3" s="57"/>
      <c r="K3" s="117" t="s">
        <v>379</v>
      </c>
      <c r="L3" s="60"/>
      <c r="M3" s="61">
        <v>8342.1552734375</v>
      </c>
      <c r="N3" s="61">
        <v>8983.4765625</v>
      </c>
      <c r="O3" s="59"/>
      <c r="P3" s="62"/>
      <c r="Q3" s="62"/>
      <c r="R3" s="51"/>
      <c r="S3" s="51"/>
      <c r="T3" s="51"/>
      <c r="U3" s="51"/>
      <c r="V3" s="52"/>
      <c r="W3" s="52"/>
      <c r="X3" s="53"/>
      <c r="Y3" s="52"/>
      <c r="Z3" s="52"/>
      <c r="AA3" s="63">
        <v>3</v>
      </c>
      <c r="AB3" s="63"/>
      <c r="AC3" s="64"/>
      <c r="AD3" s="84" t="s">
        <v>324</v>
      </c>
      <c r="AE3" s="93" t="s">
        <v>336</v>
      </c>
      <c r="AF3" s="84">
        <v>379</v>
      </c>
      <c r="AG3" s="84">
        <v>36</v>
      </c>
      <c r="AH3" s="84">
        <v>87</v>
      </c>
      <c r="AI3" s="84">
        <v>29</v>
      </c>
      <c r="AJ3" s="84"/>
      <c r="AK3" s="84" t="s">
        <v>352</v>
      </c>
      <c r="AL3" s="84" t="s">
        <v>361</v>
      </c>
      <c r="AM3" s="84"/>
      <c r="AN3" s="84"/>
      <c r="AO3" s="86">
        <v>41814.59892361111</v>
      </c>
      <c r="AP3" s="90" t="str">
        <f>HYPERLINK("https://pbs.twimg.com/profile_banners/2585830866/1548743957")</f>
        <v>https://pbs.twimg.com/profile_banners/2585830866/1548743957</v>
      </c>
      <c r="AQ3" s="84" t="b">
        <v>1</v>
      </c>
      <c r="AR3" s="84" t="b">
        <v>0</v>
      </c>
      <c r="AS3" s="84" t="b">
        <v>1</v>
      </c>
      <c r="AT3" s="84"/>
      <c r="AU3" s="84">
        <v>0</v>
      </c>
      <c r="AV3" s="90" t="str">
        <f>HYPERLINK("http://abs.twimg.com/images/themes/theme1/bg.png")</f>
        <v>http://abs.twimg.com/images/themes/theme1/bg.png</v>
      </c>
      <c r="AW3" s="84" t="b">
        <v>0</v>
      </c>
      <c r="AX3" s="84" t="s">
        <v>362</v>
      </c>
      <c r="AY3" s="90" t="str">
        <f>HYPERLINK("https://twitter.com/mzizo1515")</f>
        <v>https://twitter.com/mzizo1515</v>
      </c>
      <c r="AZ3" s="84" t="s">
        <v>66</v>
      </c>
      <c r="BA3" s="84" t="str">
        <f>REPLACE(INDEX(GroupVertices[Group],MATCH(Vertices[[#This Row],[Vertex]],GroupVertices[Vertex],0)),1,1,"")</f>
        <v>7</v>
      </c>
      <c r="BB3" s="3"/>
      <c r="BC3" s="3"/>
    </row>
    <row r="4" spans="1:58" ht="15">
      <c r="A4" s="14" t="s">
        <v>230</v>
      </c>
      <c r="B4" s="15"/>
      <c r="C4" s="15"/>
      <c r="D4" s="94"/>
      <c r="E4" s="80"/>
      <c r="F4" s="115" t="str">
        <f>HYPERLINK("http://pbs.twimg.com/profile_images/1493506757867577346/ffdPMkru_normal.jpg")</f>
        <v>http://pbs.twimg.com/profile_images/1493506757867577346/ffdPMkru_normal.jpg</v>
      </c>
      <c r="G4" s="15"/>
      <c r="H4" s="16" t="s">
        <v>230</v>
      </c>
      <c r="I4" s="68"/>
      <c r="J4" s="68"/>
      <c r="K4" s="117" t="s">
        <v>363</v>
      </c>
      <c r="L4" s="95"/>
      <c r="M4" s="96">
        <v>8342.1552734375</v>
      </c>
      <c r="N4" s="96">
        <v>7281.34375</v>
      </c>
      <c r="O4" s="78"/>
      <c r="P4" s="97"/>
      <c r="Q4" s="97"/>
      <c r="R4" s="98"/>
      <c r="S4" s="98"/>
      <c r="T4" s="98"/>
      <c r="U4" s="98"/>
      <c r="V4" s="53"/>
      <c r="W4" s="53"/>
      <c r="X4" s="53"/>
      <c r="Y4" s="53"/>
      <c r="Z4" s="52"/>
      <c r="AA4" s="81">
        <v>4</v>
      </c>
      <c r="AB4" s="81"/>
      <c r="AC4" s="99"/>
      <c r="AD4" s="84" t="s">
        <v>308</v>
      </c>
      <c r="AE4" s="93" t="s">
        <v>278</v>
      </c>
      <c r="AF4" s="84">
        <v>5795</v>
      </c>
      <c r="AG4" s="84">
        <v>178262</v>
      </c>
      <c r="AH4" s="84">
        <v>327955</v>
      </c>
      <c r="AI4" s="84">
        <v>67</v>
      </c>
      <c r="AJ4" s="84"/>
      <c r="AK4" s="84" t="s">
        <v>337</v>
      </c>
      <c r="AL4" s="84" t="s">
        <v>353</v>
      </c>
      <c r="AM4" s="90" t="str">
        <f>HYPERLINK("https://t.co/1rHAHdMohM")</f>
        <v>https://t.co/1rHAHdMohM</v>
      </c>
      <c r="AN4" s="84"/>
      <c r="AO4" s="86">
        <v>40021.719826388886</v>
      </c>
      <c r="AP4" s="90" t="str">
        <f>HYPERLINK("https://pbs.twimg.com/profile_banners/60652335/1643827183")</f>
        <v>https://pbs.twimg.com/profile_banners/60652335/1643827183</v>
      </c>
      <c r="AQ4" s="84" t="b">
        <v>0</v>
      </c>
      <c r="AR4" s="84" t="b">
        <v>0</v>
      </c>
      <c r="AS4" s="84" t="b">
        <v>0</v>
      </c>
      <c r="AT4" s="84"/>
      <c r="AU4" s="84">
        <v>254</v>
      </c>
      <c r="AV4" s="90" t="str">
        <f>HYPERLINK("http://abs.twimg.com/images/themes/theme1/bg.png")</f>
        <v>http://abs.twimg.com/images/themes/theme1/bg.png</v>
      </c>
      <c r="AW4" s="84" t="b">
        <v>1</v>
      </c>
      <c r="AX4" s="84" t="s">
        <v>362</v>
      </c>
      <c r="AY4" s="90" t="str">
        <f>HYPERLINK("https://twitter.com/aramex")</f>
        <v>https://twitter.com/aramex</v>
      </c>
      <c r="AZ4" s="84" t="s">
        <v>65</v>
      </c>
      <c r="BA4" s="84" t="str">
        <f>REPLACE(INDEX(GroupVertices[Group],MATCH(Vertices[[#This Row],[Vertex]],GroupVertices[Vertex],0)),1,1,"")</f>
        <v>7</v>
      </c>
      <c r="BB4" s="2"/>
      <c r="BC4" s="3"/>
      <c r="BD4" s="3"/>
      <c r="BE4" s="3"/>
      <c r="BF4" s="3"/>
    </row>
    <row r="5" spans="1:58" ht="15">
      <c r="A5" s="14" t="s">
        <v>214</v>
      </c>
      <c r="B5" s="15"/>
      <c r="C5" s="15"/>
      <c r="D5" s="94"/>
      <c r="E5" s="80"/>
      <c r="F5" s="115" t="str">
        <f>HYPERLINK("http://pbs.twimg.com/profile_images/1486841136572690434/Rj7cLFoR_normal.jpg")</f>
        <v>http://pbs.twimg.com/profile_images/1486841136572690434/Rj7cLFoR_normal.jpg</v>
      </c>
      <c r="G5" s="15"/>
      <c r="H5" s="16" t="s">
        <v>214</v>
      </c>
      <c r="I5" s="68"/>
      <c r="J5" s="68"/>
      <c r="K5" s="117" t="s">
        <v>364</v>
      </c>
      <c r="L5" s="95"/>
      <c r="M5" s="96">
        <v>5144.3291015625</v>
      </c>
      <c r="N5" s="96">
        <v>8983.4765625</v>
      </c>
      <c r="O5" s="78"/>
      <c r="P5" s="97"/>
      <c r="Q5" s="97"/>
      <c r="R5" s="98"/>
      <c r="S5" s="98"/>
      <c r="T5" s="98"/>
      <c r="U5" s="98"/>
      <c r="V5" s="53"/>
      <c r="W5" s="53"/>
      <c r="X5" s="53"/>
      <c r="Y5" s="53"/>
      <c r="Z5" s="52"/>
      <c r="AA5" s="81">
        <v>5</v>
      </c>
      <c r="AB5" s="81"/>
      <c r="AC5" s="99"/>
      <c r="AD5" s="84" t="s">
        <v>309</v>
      </c>
      <c r="AE5" s="93" t="s">
        <v>325</v>
      </c>
      <c r="AF5" s="84">
        <v>25</v>
      </c>
      <c r="AG5" s="84">
        <v>71</v>
      </c>
      <c r="AH5" s="84">
        <v>460</v>
      </c>
      <c r="AI5" s="84">
        <v>52</v>
      </c>
      <c r="AJ5" s="84"/>
      <c r="AK5" s="84" t="s">
        <v>338</v>
      </c>
      <c r="AL5" s="84" t="s">
        <v>354</v>
      </c>
      <c r="AM5" s="90" t="str">
        <f>HYPERLINK("https://t.co/pOBt4ijMMH")</f>
        <v>https://t.co/pOBt4ijMMH</v>
      </c>
      <c r="AN5" s="84"/>
      <c r="AO5" s="86">
        <v>42361.57032407408</v>
      </c>
      <c r="AP5" s="90" t="str">
        <f>HYPERLINK("https://pbs.twimg.com/profile_banners/4637507306/1643325527")</f>
        <v>https://pbs.twimg.com/profile_banners/4637507306/1643325527</v>
      </c>
      <c r="AQ5" s="84" t="b">
        <v>0</v>
      </c>
      <c r="AR5" s="84" t="b">
        <v>0</v>
      </c>
      <c r="AS5" s="84" t="b">
        <v>0</v>
      </c>
      <c r="AT5" s="84"/>
      <c r="AU5" s="84">
        <v>0</v>
      </c>
      <c r="AV5" s="90" t="str">
        <f>HYPERLINK("http://abs.twimg.com/images/themes/theme16/bg.gif")</f>
        <v>http://abs.twimg.com/images/themes/theme16/bg.gif</v>
      </c>
      <c r="AW5" s="84" t="b">
        <v>0</v>
      </c>
      <c r="AX5" s="84" t="s">
        <v>362</v>
      </c>
      <c r="AY5" s="90" t="str">
        <f>HYPERLINK("https://twitter.com/iatteice")</f>
        <v>https://twitter.com/iatteice</v>
      </c>
      <c r="AZ5" s="84" t="s">
        <v>66</v>
      </c>
      <c r="BA5" s="84" t="str">
        <f>REPLACE(INDEX(GroupVertices[Group],MATCH(Vertices[[#This Row],[Vertex]],GroupVertices[Vertex],0)),1,1,"")</f>
        <v>6</v>
      </c>
      <c r="BB5" s="2"/>
      <c r="BC5" s="3"/>
      <c r="BD5" s="3"/>
      <c r="BE5" s="3"/>
      <c r="BF5" s="3"/>
    </row>
    <row r="6" spans="1:58" ht="15">
      <c r="A6" s="14" t="s">
        <v>225</v>
      </c>
      <c r="B6" s="15"/>
      <c r="C6" s="15"/>
      <c r="D6" s="94"/>
      <c r="E6" s="80"/>
      <c r="F6" s="115" t="str">
        <f>HYPERLINK("http://pbs.twimg.com/profile_images/1489803043357224961/LZpyGDY8_normal.jpg")</f>
        <v>http://pbs.twimg.com/profile_images/1489803043357224961/LZpyGDY8_normal.jpg</v>
      </c>
      <c r="G6" s="15"/>
      <c r="H6" s="16" t="s">
        <v>225</v>
      </c>
      <c r="I6" s="68"/>
      <c r="J6" s="68"/>
      <c r="K6" s="117" t="s">
        <v>365</v>
      </c>
      <c r="L6" s="95"/>
      <c r="M6" s="96">
        <v>5144.3291015625</v>
      </c>
      <c r="N6" s="96">
        <v>7281.34375</v>
      </c>
      <c r="O6" s="78"/>
      <c r="P6" s="97"/>
      <c r="Q6" s="97"/>
      <c r="R6" s="98"/>
      <c r="S6" s="98"/>
      <c r="T6" s="98"/>
      <c r="U6" s="98"/>
      <c r="V6" s="53"/>
      <c r="W6" s="53"/>
      <c r="X6" s="53"/>
      <c r="Y6" s="53"/>
      <c r="Z6" s="52"/>
      <c r="AA6" s="81">
        <v>6</v>
      </c>
      <c r="AB6" s="81"/>
      <c r="AC6" s="99"/>
      <c r="AD6" s="84" t="s">
        <v>310</v>
      </c>
      <c r="AE6" s="93" t="s">
        <v>273</v>
      </c>
      <c r="AF6" s="84">
        <v>77</v>
      </c>
      <c r="AG6" s="84">
        <v>43</v>
      </c>
      <c r="AH6" s="84">
        <v>5367</v>
      </c>
      <c r="AI6" s="84">
        <v>1525</v>
      </c>
      <c r="AJ6" s="84"/>
      <c r="AK6" s="84" t="s">
        <v>339</v>
      </c>
      <c r="AL6" s="84">
        <v>21</v>
      </c>
      <c r="AM6" s="84"/>
      <c r="AN6" s="84"/>
      <c r="AO6" s="86">
        <v>44227.48553240741</v>
      </c>
      <c r="AP6" s="90" t="str">
        <f>HYPERLINK("https://pbs.twimg.com/profile_banners/1355843012182597640/1641641254")</f>
        <v>https://pbs.twimg.com/profile_banners/1355843012182597640/1641641254</v>
      </c>
      <c r="AQ6" s="84" t="b">
        <v>1</v>
      </c>
      <c r="AR6" s="84" t="b">
        <v>0</v>
      </c>
      <c r="AS6" s="84" t="b">
        <v>0</v>
      </c>
      <c r="AT6" s="84"/>
      <c r="AU6" s="84">
        <v>0</v>
      </c>
      <c r="AV6" s="84"/>
      <c r="AW6" s="84" t="b">
        <v>0</v>
      </c>
      <c r="AX6" s="84" t="s">
        <v>362</v>
      </c>
      <c r="AY6" s="90" t="str">
        <f>HYPERLINK("https://twitter.com/doumqa")</f>
        <v>https://twitter.com/doumqa</v>
      </c>
      <c r="AZ6" s="84" t="s">
        <v>65</v>
      </c>
      <c r="BA6" s="84" t="str">
        <f>REPLACE(INDEX(GroupVertices[Group],MATCH(Vertices[[#This Row],[Vertex]],GroupVertices[Vertex],0)),1,1,"")</f>
        <v>6</v>
      </c>
      <c r="BB6" s="2"/>
      <c r="BC6" s="3"/>
      <c r="BD6" s="3"/>
      <c r="BE6" s="3"/>
      <c r="BF6" s="3"/>
    </row>
    <row r="7" spans="1:58" ht="15">
      <c r="A7" s="14" t="s">
        <v>215</v>
      </c>
      <c r="B7" s="15"/>
      <c r="C7" s="15"/>
      <c r="D7" s="94"/>
      <c r="E7" s="80"/>
      <c r="F7" s="115" t="str">
        <f>HYPERLINK("http://pbs.twimg.com/profile_images/1047815590847500288/fLPuW07Y_normal.jpg")</f>
        <v>http://pbs.twimg.com/profile_images/1047815590847500288/fLPuW07Y_normal.jpg</v>
      </c>
      <c r="G7" s="15"/>
      <c r="H7" s="16" t="s">
        <v>215</v>
      </c>
      <c r="I7" s="68"/>
      <c r="J7" s="68"/>
      <c r="K7" s="117" t="s">
        <v>366</v>
      </c>
      <c r="L7" s="95"/>
      <c r="M7" s="96">
        <v>5370.2626953125</v>
      </c>
      <c r="N7" s="96">
        <v>4033.313720703125</v>
      </c>
      <c r="O7" s="78"/>
      <c r="P7" s="97"/>
      <c r="Q7" s="97"/>
      <c r="R7" s="98"/>
      <c r="S7" s="98"/>
      <c r="T7" s="98"/>
      <c r="U7" s="98"/>
      <c r="V7" s="53"/>
      <c r="W7" s="53"/>
      <c r="X7" s="53"/>
      <c r="Y7" s="53"/>
      <c r="Z7" s="52"/>
      <c r="AA7" s="81">
        <v>7</v>
      </c>
      <c r="AB7" s="81"/>
      <c r="AC7" s="99"/>
      <c r="AD7" s="84" t="s">
        <v>311</v>
      </c>
      <c r="AE7" s="93" t="s">
        <v>326</v>
      </c>
      <c r="AF7" s="84">
        <v>22</v>
      </c>
      <c r="AG7" s="84">
        <v>132</v>
      </c>
      <c r="AH7" s="84">
        <v>713</v>
      </c>
      <c r="AI7" s="84">
        <v>88</v>
      </c>
      <c r="AJ7" s="84"/>
      <c r="AK7" s="84"/>
      <c r="AL7" s="84"/>
      <c r="AM7" s="84"/>
      <c r="AN7" s="84"/>
      <c r="AO7" s="86">
        <v>42305.48185185185</v>
      </c>
      <c r="AP7" s="90" t="str">
        <f>HYPERLINK("https://pbs.twimg.com/profile_banners/4060235661/1570284121")</f>
        <v>https://pbs.twimg.com/profile_banners/4060235661/1570284121</v>
      </c>
      <c r="AQ7" s="84" t="b">
        <v>1</v>
      </c>
      <c r="AR7" s="84" t="b">
        <v>0</v>
      </c>
      <c r="AS7" s="84" t="b">
        <v>1</v>
      </c>
      <c r="AT7" s="84"/>
      <c r="AU7" s="84">
        <v>1</v>
      </c>
      <c r="AV7" s="90" t="str">
        <f>HYPERLINK("http://abs.twimg.com/images/themes/theme1/bg.png")</f>
        <v>http://abs.twimg.com/images/themes/theme1/bg.png</v>
      </c>
      <c r="AW7" s="84" t="b">
        <v>0</v>
      </c>
      <c r="AX7" s="84" t="s">
        <v>362</v>
      </c>
      <c r="AY7" s="90" t="str">
        <f>HYPERLINK("https://twitter.com/aafiyatpa")</f>
        <v>https://twitter.com/aafiyatpa</v>
      </c>
      <c r="AZ7" s="84" t="s">
        <v>66</v>
      </c>
      <c r="BA7" s="84" t="str">
        <f>REPLACE(INDEX(GroupVertices[Group],MATCH(Vertices[[#This Row],[Vertex]],GroupVertices[Vertex],0)),1,1,"")</f>
        <v>5</v>
      </c>
      <c r="BB7" s="2"/>
      <c r="BC7" s="3"/>
      <c r="BD7" s="3"/>
      <c r="BE7" s="3"/>
      <c r="BF7" s="3"/>
    </row>
    <row r="8" spans="1:58" ht="15">
      <c r="A8" s="14" t="s">
        <v>216</v>
      </c>
      <c r="B8" s="15"/>
      <c r="C8" s="15"/>
      <c r="D8" s="94"/>
      <c r="E8" s="80"/>
      <c r="F8" s="115" t="str">
        <f>HYPERLINK("http://pbs.twimg.com/profile_images/918213290437828608/aHBP57Ac_normal.jpg")</f>
        <v>http://pbs.twimg.com/profile_images/918213290437828608/aHBP57Ac_normal.jpg</v>
      </c>
      <c r="G8" s="15"/>
      <c r="H8" s="16" t="s">
        <v>216</v>
      </c>
      <c r="I8" s="68"/>
      <c r="J8" s="68"/>
      <c r="K8" s="117" t="s">
        <v>367</v>
      </c>
      <c r="L8" s="95"/>
      <c r="M8" s="96">
        <v>5370.2626953125</v>
      </c>
      <c r="N8" s="96">
        <v>5521.65185546875</v>
      </c>
      <c r="O8" s="78"/>
      <c r="P8" s="97"/>
      <c r="Q8" s="97"/>
      <c r="R8" s="98"/>
      <c r="S8" s="98"/>
      <c r="T8" s="98"/>
      <c r="U8" s="98"/>
      <c r="V8" s="53"/>
      <c r="W8" s="53"/>
      <c r="X8" s="53"/>
      <c r="Y8" s="53"/>
      <c r="Z8" s="52"/>
      <c r="AA8" s="81">
        <v>8</v>
      </c>
      <c r="AB8" s="81"/>
      <c r="AC8" s="99"/>
      <c r="AD8" s="84" t="s">
        <v>312</v>
      </c>
      <c r="AE8" s="93" t="s">
        <v>327</v>
      </c>
      <c r="AF8" s="84">
        <v>221</v>
      </c>
      <c r="AG8" s="84">
        <v>44</v>
      </c>
      <c r="AH8" s="84">
        <v>3821</v>
      </c>
      <c r="AI8" s="84">
        <v>4245</v>
      </c>
      <c r="AJ8" s="84"/>
      <c r="AK8" s="84" t="s">
        <v>340</v>
      </c>
      <c r="AL8" s="84" t="s">
        <v>355</v>
      </c>
      <c r="AM8" s="84"/>
      <c r="AN8" s="84"/>
      <c r="AO8" s="86">
        <v>43018.85375</v>
      </c>
      <c r="AP8" s="84"/>
      <c r="AQ8" s="84" t="b">
        <v>1</v>
      </c>
      <c r="AR8" s="84" t="b">
        <v>0</v>
      </c>
      <c r="AS8" s="84" t="b">
        <v>0</v>
      </c>
      <c r="AT8" s="84"/>
      <c r="AU8" s="84">
        <v>0</v>
      </c>
      <c r="AV8" s="84"/>
      <c r="AW8" s="84" t="b">
        <v>0</v>
      </c>
      <c r="AX8" s="84" t="s">
        <v>362</v>
      </c>
      <c r="AY8" s="90" t="str">
        <f>HYPERLINK("https://twitter.com/dexter_danilo")</f>
        <v>https://twitter.com/dexter_danilo</v>
      </c>
      <c r="AZ8" s="84" t="s">
        <v>66</v>
      </c>
      <c r="BA8" s="84" t="str">
        <f>REPLACE(INDEX(GroupVertices[Group],MATCH(Vertices[[#This Row],[Vertex]],GroupVertices[Vertex],0)),1,1,"")</f>
        <v>5</v>
      </c>
      <c r="BB8" s="2"/>
      <c r="BC8" s="3"/>
      <c r="BD8" s="3"/>
      <c r="BE8" s="3"/>
      <c r="BF8" s="3"/>
    </row>
    <row r="9" spans="1:58" ht="15">
      <c r="A9" s="14" t="s">
        <v>217</v>
      </c>
      <c r="B9" s="15"/>
      <c r="C9" s="15"/>
      <c r="D9" s="94"/>
      <c r="E9" s="80"/>
      <c r="F9" s="115" t="str">
        <f>HYPERLINK("http://pbs.twimg.com/profile_images/1488876807386402817/bQWzfL6y_normal.jpg")</f>
        <v>http://pbs.twimg.com/profile_images/1488876807386402817/bQWzfL6y_normal.jpg</v>
      </c>
      <c r="G9" s="15"/>
      <c r="H9" s="16" t="s">
        <v>217</v>
      </c>
      <c r="I9" s="68"/>
      <c r="J9" s="68"/>
      <c r="K9" s="117" t="s">
        <v>368</v>
      </c>
      <c r="L9" s="95"/>
      <c r="M9" s="96">
        <v>8568.0888671875</v>
      </c>
      <c r="N9" s="96">
        <v>5262.63134765625</v>
      </c>
      <c r="O9" s="78"/>
      <c r="P9" s="97"/>
      <c r="Q9" s="97"/>
      <c r="R9" s="98"/>
      <c r="S9" s="98"/>
      <c r="T9" s="98"/>
      <c r="U9" s="98"/>
      <c r="V9" s="53"/>
      <c r="W9" s="53"/>
      <c r="X9" s="53"/>
      <c r="Y9" s="53"/>
      <c r="Z9" s="52"/>
      <c r="AA9" s="81">
        <v>9</v>
      </c>
      <c r="AB9" s="81"/>
      <c r="AC9" s="99"/>
      <c r="AD9" s="84" t="s">
        <v>313</v>
      </c>
      <c r="AE9" s="93" t="s">
        <v>328</v>
      </c>
      <c r="AF9" s="84">
        <v>190</v>
      </c>
      <c r="AG9" s="84">
        <v>125</v>
      </c>
      <c r="AH9" s="84">
        <v>1365</v>
      </c>
      <c r="AI9" s="84">
        <v>1330</v>
      </c>
      <c r="AJ9" s="84"/>
      <c r="AK9" s="84" t="s">
        <v>341</v>
      </c>
      <c r="AL9" s="84"/>
      <c r="AM9" s="90" t="str">
        <f>HYPERLINK("https://t.co/8gFz8pFtE1")</f>
        <v>https://t.co/8gFz8pFtE1</v>
      </c>
      <c r="AN9" s="84"/>
      <c r="AO9" s="86">
        <v>43835.521678240744</v>
      </c>
      <c r="AP9" s="90" t="str">
        <f>HYPERLINK("https://pbs.twimg.com/profile_banners/1213800071982043136/1643908490")</f>
        <v>https://pbs.twimg.com/profile_banners/1213800071982043136/1643908490</v>
      </c>
      <c r="AQ9" s="84" t="b">
        <v>1</v>
      </c>
      <c r="AR9" s="84" t="b">
        <v>0</v>
      </c>
      <c r="AS9" s="84" t="b">
        <v>1</v>
      </c>
      <c r="AT9" s="84"/>
      <c r="AU9" s="84">
        <v>0</v>
      </c>
      <c r="AV9" s="84"/>
      <c r="AW9" s="84" t="b">
        <v>0</v>
      </c>
      <c r="AX9" s="84" t="s">
        <v>362</v>
      </c>
      <c r="AY9" s="90" t="str">
        <f>HYPERLINK("https://twitter.com/longaway__")</f>
        <v>https://twitter.com/longaway__</v>
      </c>
      <c r="AZ9" s="84" t="s">
        <v>66</v>
      </c>
      <c r="BA9" s="84" t="str">
        <f>REPLACE(INDEX(GroupVertices[Group],MATCH(Vertices[[#This Row],[Vertex]],GroupVertices[Vertex],0)),1,1,"")</f>
        <v>4</v>
      </c>
      <c r="BB9" s="2"/>
      <c r="BC9" s="3"/>
      <c r="BD9" s="3"/>
      <c r="BE9" s="3"/>
      <c r="BF9" s="3"/>
    </row>
    <row r="10" spans="1:58" ht="15">
      <c r="A10" s="14" t="s">
        <v>226</v>
      </c>
      <c r="B10" s="15"/>
      <c r="C10" s="15"/>
      <c r="D10" s="94"/>
      <c r="E10" s="80"/>
      <c r="F10" s="115" t="str">
        <f>HYPERLINK("http://pbs.twimg.com/profile_images/1314507496548048896/XkjOkuUZ_normal.jpg")</f>
        <v>http://pbs.twimg.com/profile_images/1314507496548048896/XkjOkuUZ_normal.jpg</v>
      </c>
      <c r="G10" s="15"/>
      <c r="H10" s="16" t="s">
        <v>226</v>
      </c>
      <c r="I10" s="68"/>
      <c r="J10" s="68"/>
      <c r="K10" s="117" t="s">
        <v>369</v>
      </c>
      <c r="L10" s="95"/>
      <c r="M10" s="96">
        <v>8568.0888671875</v>
      </c>
      <c r="N10" s="96">
        <v>3256.253173828125</v>
      </c>
      <c r="O10" s="78"/>
      <c r="P10" s="97"/>
      <c r="Q10" s="97"/>
      <c r="R10" s="98"/>
      <c r="S10" s="98"/>
      <c r="T10" s="98"/>
      <c r="U10" s="98"/>
      <c r="V10" s="53"/>
      <c r="W10" s="53"/>
      <c r="X10" s="53"/>
      <c r="Y10" s="53"/>
      <c r="Z10" s="52"/>
      <c r="AA10" s="81">
        <v>10</v>
      </c>
      <c r="AB10" s="81"/>
      <c r="AC10" s="99"/>
      <c r="AD10" s="84" t="s">
        <v>314</v>
      </c>
      <c r="AE10" s="93" t="s">
        <v>275</v>
      </c>
      <c r="AF10" s="84">
        <v>433</v>
      </c>
      <c r="AG10" s="84">
        <v>304267</v>
      </c>
      <c r="AH10" s="84">
        <v>72568</v>
      </c>
      <c r="AI10" s="84">
        <v>0</v>
      </c>
      <c r="AJ10" s="84"/>
      <c r="AK10" s="84" t="s">
        <v>342</v>
      </c>
      <c r="AL10" s="84" t="s">
        <v>356</v>
      </c>
      <c r="AM10" s="90" t="str">
        <f>HYPERLINK("https://t.co/6SSaIYCO3X")</f>
        <v>https://t.co/6SSaIYCO3X</v>
      </c>
      <c r="AN10" s="84"/>
      <c r="AO10" s="86">
        <v>39975.65630787037</v>
      </c>
      <c r="AP10" s="90" t="str">
        <f>HYPERLINK("https://pbs.twimg.com/profile_banners/46414779/1623112607")</f>
        <v>https://pbs.twimg.com/profile_banners/46414779/1623112607</v>
      </c>
      <c r="AQ10" s="84" t="b">
        <v>0</v>
      </c>
      <c r="AR10" s="84" t="b">
        <v>0</v>
      </c>
      <c r="AS10" s="84" t="b">
        <v>1</v>
      </c>
      <c r="AT10" s="84"/>
      <c r="AU10" s="84">
        <v>444</v>
      </c>
      <c r="AV10" s="90" t="str">
        <f>HYPERLINK("http://abs.twimg.com/images/themes/theme1/bg.png")</f>
        <v>http://abs.twimg.com/images/themes/theme1/bg.png</v>
      </c>
      <c r="AW10" s="84" t="b">
        <v>1</v>
      </c>
      <c r="AX10" s="84" t="s">
        <v>362</v>
      </c>
      <c r="AY10" s="90" t="str">
        <f>HYPERLINK("https://twitter.com/chelseaindo")</f>
        <v>https://twitter.com/chelseaindo</v>
      </c>
      <c r="AZ10" s="84" t="s">
        <v>65</v>
      </c>
      <c r="BA10" s="84" t="str">
        <f>REPLACE(INDEX(GroupVertices[Group],MATCH(Vertices[[#This Row],[Vertex]],GroupVertices[Vertex],0)),1,1,"")</f>
        <v>4</v>
      </c>
      <c r="BB10" s="2"/>
      <c r="BC10" s="3"/>
      <c r="BD10" s="3"/>
      <c r="BE10" s="3"/>
      <c r="BF10" s="3"/>
    </row>
    <row r="11" spans="1:58" ht="15">
      <c r="A11" s="14" t="s">
        <v>218</v>
      </c>
      <c r="B11" s="15"/>
      <c r="C11" s="15"/>
      <c r="D11" s="94"/>
      <c r="E11" s="80"/>
      <c r="F11" s="115" t="str">
        <f>HYPERLINK("http://pbs.twimg.com/profile_images/1407818938046631944/IkZKnpVy_normal.jpg")</f>
        <v>http://pbs.twimg.com/profile_images/1407818938046631944/IkZKnpVy_normal.jpg</v>
      </c>
      <c r="G11" s="15"/>
      <c r="H11" s="16" t="s">
        <v>218</v>
      </c>
      <c r="I11" s="68"/>
      <c r="J11" s="68"/>
      <c r="K11" s="117" t="s">
        <v>370</v>
      </c>
      <c r="L11" s="95"/>
      <c r="M11" s="96">
        <v>8568.0888671875</v>
      </c>
      <c r="N11" s="96">
        <v>1126.5321044921875</v>
      </c>
      <c r="O11" s="78"/>
      <c r="P11" s="97"/>
      <c r="Q11" s="97"/>
      <c r="R11" s="98"/>
      <c r="S11" s="98"/>
      <c r="T11" s="98"/>
      <c r="U11" s="98"/>
      <c r="V11" s="53"/>
      <c r="W11" s="53"/>
      <c r="X11" s="53"/>
      <c r="Y11" s="53"/>
      <c r="Z11" s="52"/>
      <c r="AA11" s="81">
        <v>11</v>
      </c>
      <c r="AB11" s="81"/>
      <c r="AC11" s="99"/>
      <c r="AD11" s="84" t="s">
        <v>315</v>
      </c>
      <c r="AE11" s="93" t="s">
        <v>329</v>
      </c>
      <c r="AF11" s="84">
        <v>26</v>
      </c>
      <c r="AG11" s="84">
        <v>8516</v>
      </c>
      <c r="AH11" s="84">
        <v>11484</v>
      </c>
      <c r="AI11" s="84">
        <v>1375</v>
      </c>
      <c r="AJ11" s="84"/>
      <c r="AK11" s="84" t="s">
        <v>343</v>
      </c>
      <c r="AL11" s="84" t="s">
        <v>357</v>
      </c>
      <c r="AM11" s="90" t="str">
        <f>HYPERLINK("https://t.co/fZiJNEaShO")</f>
        <v>https://t.co/fZiJNEaShO</v>
      </c>
      <c r="AN11" s="84"/>
      <c r="AO11" s="86">
        <v>43912.84861111111</v>
      </c>
      <c r="AP11" s="90" t="str">
        <f>HYPERLINK("https://pbs.twimg.com/profile_banners/1241822412464930816/1636715270")</f>
        <v>https://pbs.twimg.com/profile_banners/1241822412464930816/1636715270</v>
      </c>
      <c r="AQ11" s="84" t="b">
        <v>1</v>
      </c>
      <c r="AR11" s="84" t="b">
        <v>0</v>
      </c>
      <c r="AS11" s="84" t="b">
        <v>0</v>
      </c>
      <c r="AT11" s="84"/>
      <c r="AU11" s="84">
        <v>61</v>
      </c>
      <c r="AV11" s="84"/>
      <c r="AW11" s="84" t="b">
        <v>0</v>
      </c>
      <c r="AX11" s="84" t="s">
        <v>362</v>
      </c>
      <c r="AY11" s="90" t="str">
        <f>HYPERLINK("https://twitter.com/arab_intel")</f>
        <v>https://twitter.com/arab_intel</v>
      </c>
      <c r="AZ11" s="84" t="s">
        <v>66</v>
      </c>
      <c r="BA11" s="84" t="str">
        <f>REPLACE(INDEX(GroupVertices[Group],MATCH(Vertices[[#This Row],[Vertex]],GroupVertices[Vertex],0)),1,1,"")</f>
        <v>8</v>
      </c>
      <c r="BB11" s="2"/>
      <c r="BC11" s="3"/>
      <c r="BD11" s="3"/>
      <c r="BE11" s="3"/>
      <c r="BF11" s="3"/>
    </row>
    <row r="12" spans="1:58" ht="15">
      <c r="A12" s="14" t="s">
        <v>219</v>
      </c>
      <c r="B12" s="15"/>
      <c r="C12" s="15"/>
      <c r="D12" s="94"/>
      <c r="E12" s="80"/>
      <c r="F12" s="115" t="str">
        <f>HYPERLINK("http://pbs.twimg.com/profile_images/1248961169672593410/FKNL1ElZ_normal.jpg")</f>
        <v>http://pbs.twimg.com/profile_images/1248961169672593410/FKNL1ElZ_normal.jpg</v>
      </c>
      <c r="G12" s="15"/>
      <c r="H12" s="16" t="s">
        <v>219</v>
      </c>
      <c r="I12" s="68"/>
      <c r="J12" s="68"/>
      <c r="K12" s="117" t="s">
        <v>371</v>
      </c>
      <c r="L12" s="95"/>
      <c r="M12" s="96">
        <v>3487.484375</v>
      </c>
      <c r="N12" s="96">
        <v>9834.54296875</v>
      </c>
      <c r="O12" s="78"/>
      <c r="P12" s="97"/>
      <c r="Q12" s="97"/>
      <c r="R12" s="98"/>
      <c r="S12" s="98"/>
      <c r="T12" s="98"/>
      <c r="U12" s="98"/>
      <c r="V12" s="53"/>
      <c r="W12" s="53"/>
      <c r="X12" s="53"/>
      <c r="Y12" s="53"/>
      <c r="Z12" s="52"/>
      <c r="AA12" s="81">
        <v>12</v>
      </c>
      <c r="AB12" s="81"/>
      <c r="AC12" s="99"/>
      <c r="AD12" s="84" t="s">
        <v>316</v>
      </c>
      <c r="AE12" s="93" t="s">
        <v>330</v>
      </c>
      <c r="AF12" s="84">
        <v>357</v>
      </c>
      <c r="AG12" s="84">
        <v>301</v>
      </c>
      <c r="AH12" s="84">
        <v>1124</v>
      </c>
      <c r="AI12" s="84">
        <v>347</v>
      </c>
      <c r="AJ12" s="84"/>
      <c r="AK12" s="84" t="s">
        <v>344</v>
      </c>
      <c r="AL12" s="84"/>
      <c r="AM12" s="90" t="str">
        <f>HYPERLINK("https://t.co/68QlIhAtMk")</f>
        <v>https://t.co/68QlIhAtMk</v>
      </c>
      <c r="AN12" s="84"/>
      <c r="AO12" s="86">
        <v>43932.54078703704</v>
      </c>
      <c r="AP12" s="90" t="str">
        <f>HYPERLINK("https://pbs.twimg.com/profile_banners/1248958438799036417/1586611773")</f>
        <v>https://pbs.twimg.com/profile_banners/1248958438799036417/1586611773</v>
      </c>
      <c r="AQ12" s="84" t="b">
        <v>1</v>
      </c>
      <c r="AR12" s="84" t="b">
        <v>0</v>
      </c>
      <c r="AS12" s="84" t="b">
        <v>0</v>
      </c>
      <c r="AT12" s="84"/>
      <c r="AU12" s="84">
        <v>7</v>
      </c>
      <c r="AV12" s="84"/>
      <c r="AW12" s="84" t="b">
        <v>0</v>
      </c>
      <c r="AX12" s="84" t="s">
        <v>362</v>
      </c>
      <c r="AY12" s="90" t="str">
        <f>HYPERLINK("https://twitter.com/ansch_1")</f>
        <v>https://twitter.com/ansch_1</v>
      </c>
      <c r="AZ12" s="84" t="s">
        <v>66</v>
      </c>
      <c r="BA12" s="84" t="str">
        <f>REPLACE(INDEX(GroupVertices[Group],MATCH(Vertices[[#This Row],[Vertex]],GroupVertices[Vertex],0)),1,1,"")</f>
        <v>2</v>
      </c>
      <c r="BB12" s="2"/>
      <c r="BC12" s="3"/>
      <c r="BD12" s="3"/>
      <c r="BE12" s="3"/>
      <c r="BF12" s="3"/>
    </row>
    <row r="13" spans="1:58" ht="15">
      <c r="A13" s="14" t="s">
        <v>221</v>
      </c>
      <c r="B13" s="15"/>
      <c r="C13" s="15"/>
      <c r="D13" s="94"/>
      <c r="E13" s="80"/>
      <c r="F13" s="115" t="str">
        <f>HYPERLINK("http://pbs.twimg.com/profile_images/1414846739614478337/uMIAe3hX_normal.jpg")</f>
        <v>http://pbs.twimg.com/profile_images/1414846739614478337/uMIAe3hX_normal.jpg</v>
      </c>
      <c r="G13" s="15"/>
      <c r="H13" s="16" t="s">
        <v>221</v>
      </c>
      <c r="I13" s="68"/>
      <c r="J13" s="68"/>
      <c r="K13" s="117" t="s">
        <v>372</v>
      </c>
      <c r="L13" s="95"/>
      <c r="M13" s="96">
        <v>1813.7537841796875</v>
      </c>
      <c r="N13" s="96">
        <v>7456.43359375</v>
      </c>
      <c r="O13" s="78"/>
      <c r="P13" s="97"/>
      <c r="Q13" s="97"/>
      <c r="R13" s="98"/>
      <c r="S13" s="98"/>
      <c r="T13" s="98"/>
      <c r="U13" s="98"/>
      <c r="V13" s="53"/>
      <c r="W13" s="53"/>
      <c r="X13" s="53"/>
      <c r="Y13" s="53"/>
      <c r="Z13" s="52"/>
      <c r="AA13" s="81">
        <v>13</v>
      </c>
      <c r="AB13" s="81"/>
      <c r="AC13" s="99"/>
      <c r="AD13" s="84" t="s">
        <v>317</v>
      </c>
      <c r="AE13" s="93" t="s">
        <v>331</v>
      </c>
      <c r="AF13" s="84">
        <v>13</v>
      </c>
      <c r="AG13" s="84">
        <v>11</v>
      </c>
      <c r="AH13" s="84">
        <v>31</v>
      </c>
      <c r="AI13" s="84">
        <v>3</v>
      </c>
      <c r="AJ13" s="84"/>
      <c r="AK13" s="84" t="s">
        <v>345</v>
      </c>
      <c r="AL13" s="84"/>
      <c r="AM13" s="84"/>
      <c r="AN13" s="84"/>
      <c r="AO13" s="86">
        <v>44288.58184027778</v>
      </c>
      <c r="AP13" s="90" t="str">
        <f>HYPERLINK("https://pbs.twimg.com/profile_banners/1377983549220003845/1617599419")</f>
        <v>https://pbs.twimg.com/profile_banners/1377983549220003845/1617599419</v>
      </c>
      <c r="AQ13" s="84" t="b">
        <v>1</v>
      </c>
      <c r="AR13" s="84" t="b">
        <v>0</v>
      </c>
      <c r="AS13" s="84" t="b">
        <v>0</v>
      </c>
      <c r="AT13" s="84"/>
      <c r="AU13" s="84">
        <v>0</v>
      </c>
      <c r="AV13" s="84"/>
      <c r="AW13" s="84" t="b">
        <v>0</v>
      </c>
      <c r="AX13" s="84" t="s">
        <v>362</v>
      </c>
      <c r="AY13" s="90" t="str">
        <f>HYPERLINK("https://twitter.com/palmyrenevoices")</f>
        <v>https://twitter.com/palmyrenevoices</v>
      </c>
      <c r="AZ13" s="84" t="s">
        <v>66</v>
      </c>
      <c r="BA13" s="84" t="str">
        <f>REPLACE(INDEX(GroupVertices[Group],MATCH(Vertices[[#This Row],[Vertex]],GroupVertices[Vertex],0)),1,1,"")</f>
        <v>2</v>
      </c>
      <c r="BB13" s="2"/>
      <c r="BC13" s="3"/>
      <c r="BD13" s="3"/>
      <c r="BE13" s="3"/>
      <c r="BF13" s="3"/>
    </row>
    <row r="14" spans="1:58" ht="15">
      <c r="A14" s="14" t="s">
        <v>220</v>
      </c>
      <c r="B14" s="15"/>
      <c r="C14" s="15"/>
      <c r="D14" s="94"/>
      <c r="E14" s="80"/>
      <c r="F14" s="115" t="str">
        <f>HYPERLINK("http://pbs.twimg.com/profile_images/1490135948801290245/N-xhuIvN_normal.jpg")</f>
        <v>http://pbs.twimg.com/profile_images/1490135948801290245/N-xhuIvN_normal.jpg</v>
      </c>
      <c r="G14" s="15"/>
      <c r="H14" s="16" t="s">
        <v>220</v>
      </c>
      <c r="I14" s="68"/>
      <c r="J14" s="68"/>
      <c r="K14" s="117" t="s">
        <v>373</v>
      </c>
      <c r="L14" s="95"/>
      <c r="M14" s="96">
        <v>5370.2626953125</v>
      </c>
      <c r="N14" s="96">
        <v>2384.6298828125</v>
      </c>
      <c r="O14" s="78"/>
      <c r="P14" s="97"/>
      <c r="Q14" s="97"/>
      <c r="R14" s="98"/>
      <c r="S14" s="98"/>
      <c r="T14" s="98"/>
      <c r="U14" s="98"/>
      <c r="V14" s="53"/>
      <c r="W14" s="53"/>
      <c r="X14" s="53"/>
      <c r="Y14" s="53"/>
      <c r="Z14" s="52"/>
      <c r="AA14" s="81">
        <v>14</v>
      </c>
      <c r="AB14" s="81"/>
      <c r="AC14" s="99"/>
      <c r="AD14" s="84" t="s">
        <v>318</v>
      </c>
      <c r="AE14" s="93" t="s">
        <v>332</v>
      </c>
      <c r="AF14" s="84">
        <v>2320</v>
      </c>
      <c r="AG14" s="84">
        <v>3144</v>
      </c>
      <c r="AH14" s="84">
        <v>61276</v>
      </c>
      <c r="AI14" s="84">
        <v>43926</v>
      </c>
      <c r="AJ14" s="84"/>
      <c r="AK14" s="84" t="s">
        <v>346</v>
      </c>
      <c r="AL14" s="84" t="s">
        <v>358</v>
      </c>
      <c r="AM14" s="84"/>
      <c r="AN14" s="84"/>
      <c r="AO14" s="86">
        <v>43693.90982638889</v>
      </c>
      <c r="AP14" s="90" t="str">
        <f>HYPERLINK("https://pbs.twimg.com/profile_banners/1162481620672270337/1643933604")</f>
        <v>https://pbs.twimg.com/profile_banners/1162481620672270337/1643933604</v>
      </c>
      <c r="AQ14" s="84" t="b">
        <v>1</v>
      </c>
      <c r="AR14" s="84" t="b">
        <v>0</v>
      </c>
      <c r="AS14" s="84" t="b">
        <v>0</v>
      </c>
      <c r="AT14" s="84"/>
      <c r="AU14" s="84">
        <v>6</v>
      </c>
      <c r="AV14" s="84"/>
      <c r="AW14" s="84" t="b">
        <v>0</v>
      </c>
      <c r="AX14" s="84" t="s">
        <v>362</v>
      </c>
      <c r="AY14" s="90" t="str">
        <f>HYPERLINK("https://twitter.com/milss_00")</f>
        <v>https://twitter.com/milss_00</v>
      </c>
      <c r="AZ14" s="84" t="s">
        <v>66</v>
      </c>
      <c r="BA14" s="84" t="str">
        <f>REPLACE(INDEX(GroupVertices[Group],MATCH(Vertices[[#This Row],[Vertex]],GroupVertices[Vertex],0)),1,1,"")</f>
        <v>3</v>
      </c>
      <c r="BB14" s="2"/>
      <c r="BC14" s="3"/>
      <c r="BD14" s="3"/>
      <c r="BE14" s="3"/>
      <c r="BF14" s="3"/>
    </row>
    <row r="15" spans="1:58" ht="15">
      <c r="A15" s="14" t="s">
        <v>227</v>
      </c>
      <c r="B15" s="15"/>
      <c r="C15" s="15"/>
      <c r="D15" s="94"/>
      <c r="E15" s="80"/>
      <c r="F15" s="115" t="str">
        <f>HYPERLINK("http://pbs.twimg.com/profile_images/1439265006898622478/g0QrGimk_normal.jpg")</f>
        <v>http://pbs.twimg.com/profile_images/1439265006898622478/g0QrGimk_normal.jpg</v>
      </c>
      <c r="G15" s="15"/>
      <c r="H15" s="16" t="s">
        <v>227</v>
      </c>
      <c r="I15" s="68"/>
      <c r="J15" s="68"/>
      <c r="K15" s="117" t="s">
        <v>374</v>
      </c>
      <c r="L15" s="95"/>
      <c r="M15" s="96">
        <v>5370.2626953125</v>
      </c>
      <c r="N15" s="96">
        <v>904.5148315429688</v>
      </c>
      <c r="O15" s="78"/>
      <c r="P15" s="97"/>
      <c r="Q15" s="97"/>
      <c r="R15" s="98"/>
      <c r="S15" s="98"/>
      <c r="T15" s="98"/>
      <c r="U15" s="98"/>
      <c r="V15" s="53"/>
      <c r="W15" s="53"/>
      <c r="X15" s="53"/>
      <c r="Y15" s="53"/>
      <c r="Z15" s="52"/>
      <c r="AA15" s="81">
        <v>15</v>
      </c>
      <c r="AB15" s="81"/>
      <c r="AC15" s="99"/>
      <c r="AD15" s="84" t="s">
        <v>319</v>
      </c>
      <c r="AE15" s="93" t="s">
        <v>276</v>
      </c>
      <c r="AF15" s="84">
        <v>571</v>
      </c>
      <c r="AG15" s="84">
        <v>2055</v>
      </c>
      <c r="AH15" s="84">
        <v>55861</v>
      </c>
      <c r="AI15" s="84">
        <v>108860</v>
      </c>
      <c r="AJ15" s="84"/>
      <c r="AK15" s="84" t="s">
        <v>347</v>
      </c>
      <c r="AL15" s="84" t="s">
        <v>358</v>
      </c>
      <c r="AM15" s="84"/>
      <c r="AN15" s="84"/>
      <c r="AO15" s="86">
        <v>41769.64092592592</v>
      </c>
      <c r="AP15" s="90" t="str">
        <f>HYPERLINK("https://pbs.twimg.com/profile_banners/2539230874/1626221794")</f>
        <v>https://pbs.twimg.com/profile_banners/2539230874/1626221794</v>
      </c>
      <c r="AQ15" s="84" t="b">
        <v>1</v>
      </c>
      <c r="AR15" s="84" t="b">
        <v>0</v>
      </c>
      <c r="AS15" s="84" t="b">
        <v>1</v>
      </c>
      <c r="AT15" s="84"/>
      <c r="AU15" s="84">
        <v>4</v>
      </c>
      <c r="AV15" s="90" t="str">
        <f>HYPERLINK("http://abs.twimg.com/images/themes/theme1/bg.png")</f>
        <v>http://abs.twimg.com/images/themes/theme1/bg.png</v>
      </c>
      <c r="AW15" s="84" t="b">
        <v>0</v>
      </c>
      <c r="AX15" s="84" t="s">
        <v>362</v>
      </c>
      <c r="AY15" s="90" t="str">
        <f>HYPERLINK("https://twitter.com/bilalidr")</f>
        <v>https://twitter.com/bilalidr</v>
      </c>
      <c r="AZ15" s="84" t="s">
        <v>65</v>
      </c>
      <c r="BA15" s="84" t="str">
        <f>REPLACE(INDEX(GroupVertices[Group],MATCH(Vertices[[#This Row],[Vertex]],GroupVertices[Vertex],0)),1,1,"")</f>
        <v>3</v>
      </c>
      <c r="BB15" s="2"/>
      <c r="BC15" s="3"/>
      <c r="BD15" s="3"/>
      <c r="BE15" s="3"/>
      <c r="BF15" s="3"/>
    </row>
    <row r="16" spans="1:58" ht="15">
      <c r="A16" s="14" t="s">
        <v>222</v>
      </c>
      <c r="B16" s="15"/>
      <c r="C16" s="15"/>
      <c r="D16" s="94"/>
      <c r="E16" s="80"/>
      <c r="F16" s="115" t="str">
        <f>HYPERLINK("http://pbs.twimg.com/profile_images/1469402431398289425/hu9wRH3w_normal.jpg")</f>
        <v>http://pbs.twimg.com/profile_images/1469402431398289425/hu9wRH3w_normal.jpg</v>
      </c>
      <c r="G16" s="15"/>
      <c r="H16" s="16" t="s">
        <v>222</v>
      </c>
      <c r="I16" s="68"/>
      <c r="J16" s="68"/>
      <c r="K16" s="117" t="s">
        <v>375</v>
      </c>
      <c r="L16" s="95"/>
      <c r="M16" s="96">
        <v>115.86326599121094</v>
      </c>
      <c r="N16" s="96">
        <v>5081.728515625</v>
      </c>
      <c r="O16" s="78"/>
      <c r="P16" s="97"/>
      <c r="Q16" s="97"/>
      <c r="R16" s="98"/>
      <c r="S16" s="98"/>
      <c r="T16" s="98"/>
      <c r="U16" s="98"/>
      <c r="V16" s="53"/>
      <c r="W16" s="53"/>
      <c r="X16" s="53"/>
      <c r="Y16" s="53"/>
      <c r="Z16" s="52"/>
      <c r="AA16" s="81">
        <v>16</v>
      </c>
      <c r="AB16" s="81"/>
      <c r="AC16" s="99"/>
      <c r="AD16" s="84" t="s">
        <v>320</v>
      </c>
      <c r="AE16" s="93" t="s">
        <v>333</v>
      </c>
      <c r="AF16" s="84">
        <v>280</v>
      </c>
      <c r="AG16" s="84">
        <v>698</v>
      </c>
      <c r="AH16" s="84">
        <v>1188</v>
      </c>
      <c r="AI16" s="84">
        <v>751</v>
      </c>
      <c r="AJ16" s="84"/>
      <c r="AK16" s="84" t="s">
        <v>348</v>
      </c>
      <c r="AL16" s="84"/>
      <c r="AM16" s="90" t="str">
        <f>HYPERLINK("https://t.co/O3DI5kYlr5")</f>
        <v>https://t.co/O3DI5kYlr5</v>
      </c>
      <c r="AN16" s="84"/>
      <c r="AO16" s="86">
        <v>42146.40392361111</v>
      </c>
      <c r="AP16" s="90" t="str">
        <f>HYPERLINK("https://pbs.twimg.com/profile_banners/3293836625/1447686740")</f>
        <v>https://pbs.twimg.com/profile_banners/3293836625/1447686740</v>
      </c>
      <c r="AQ16" s="84" t="b">
        <v>0</v>
      </c>
      <c r="AR16" s="84" t="b">
        <v>0</v>
      </c>
      <c r="AS16" s="84" t="b">
        <v>0</v>
      </c>
      <c r="AT16" s="84"/>
      <c r="AU16" s="84">
        <v>15</v>
      </c>
      <c r="AV16" s="90" t="str">
        <f>HYPERLINK("http://abs.twimg.com/images/themes/theme1/bg.png")</f>
        <v>http://abs.twimg.com/images/themes/theme1/bg.png</v>
      </c>
      <c r="AW16" s="84" t="b">
        <v>0</v>
      </c>
      <c r="AX16" s="84" t="s">
        <v>362</v>
      </c>
      <c r="AY16" s="90" t="str">
        <f>HYPERLINK("https://twitter.com/heritage4peace")</f>
        <v>https://twitter.com/heritage4peace</v>
      </c>
      <c r="AZ16" s="84" t="s">
        <v>66</v>
      </c>
      <c r="BA16" s="84" t="str">
        <f>REPLACE(INDEX(GroupVertices[Group],MATCH(Vertices[[#This Row],[Vertex]],GroupVertices[Vertex],0)),1,1,"")</f>
        <v>2</v>
      </c>
      <c r="BB16" s="2"/>
      <c r="BC16" s="3"/>
      <c r="BD16" s="3"/>
      <c r="BE16" s="3"/>
      <c r="BF16" s="3"/>
    </row>
    <row r="17" spans="1:58" ht="15">
      <c r="A17" s="14" t="s">
        <v>223</v>
      </c>
      <c r="B17" s="15"/>
      <c r="C17" s="15"/>
      <c r="D17" s="94"/>
      <c r="E17" s="80"/>
      <c r="F17" s="115" t="str">
        <f>HYPERLINK("http://pbs.twimg.com/profile_images/1488165446880993280/v2xV3Ie7_normal.jpg")</f>
        <v>http://pbs.twimg.com/profile_images/1488165446880993280/v2xV3Ie7_normal.jpg</v>
      </c>
      <c r="G17" s="15"/>
      <c r="H17" s="16" t="s">
        <v>223</v>
      </c>
      <c r="I17" s="68"/>
      <c r="J17" s="68"/>
      <c r="K17" s="117" t="s">
        <v>376</v>
      </c>
      <c r="L17" s="95"/>
      <c r="M17" s="96">
        <v>958.7685546875</v>
      </c>
      <c r="N17" s="96">
        <v>3729.06787109375</v>
      </c>
      <c r="O17" s="78"/>
      <c r="P17" s="97"/>
      <c r="Q17" s="97"/>
      <c r="R17" s="98"/>
      <c r="S17" s="98"/>
      <c r="T17" s="98"/>
      <c r="U17" s="98"/>
      <c r="V17" s="53"/>
      <c r="W17" s="53"/>
      <c r="X17" s="53"/>
      <c r="Y17" s="53"/>
      <c r="Z17" s="52"/>
      <c r="AA17" s="81">
        <v>17</v>
      </c>
      <c r="AB17" s="81"/>
      <c r="AC17" s="99"/>
      <c r="AD17" s="84" t="s">
        <v>321</v>
      </c>
      <c r="AE17" s="93" t="s">
        <v>334</v>
      </c>
      <c r="AF17" s="84">
        <v>1096</v>
      </c>
      <c r="AG17" s="84">
        <v>1879</v>
      </c>
      <c r="AH17" s="84">
        <v>38639</v>
      </c>
      <c r="AI17" s="84">
        <v>3608</v>
      </c>
      <c r="AJ17" s="84"/>
      <c r="AK17" s="84" t="s">
        <v>349</v>
      </c>
      <c r="AL17" s="84"/>
      <c r="AM17" s="84"/>
      <c r="AN17" s="84"/>
      <c r="AO17" s="86">
        <v>44146.30368055555</v>
      </c>
      <c r="AP17" s="90" t="str">
        <f>HYPERLINK("https://pbs.twimg.com/profile_banners/1326423641966452738/1643647915")</f>
        <v>https://pbs.twimg.com/profile_banners/1326423641966452738/1643647915</v>
      </c>
      <c r="AQ17" s="84" t="b">
        <v>1</v>
      </c>
      <c r="AR17" s="84" t="b">
        <v>0</v>
      </c>
      <c r="AS17" s="84" t="b">
        <v>1</v>
      </c>
      <c r="AT17" s="84"/>
      <c r="AU17" s="84">
        <v>2</v>
      </c>
      <c r="AV17" s="84"/>
      <c r="AW17" s="84" t="b">
        <v>0</v>
      </c>
      <c r="AX17" s="84" t="s">
        <v>362</v>
      </c>
      <c r="AY17" s="90" t="str">
        <f>HYPERLINK("https://twitter.com/moondeleine")</f>
        <v>https://twitter.com/moondeleine</v>
      </c>
      <c r="AZ17" s="84" t="s">
        <v>66</v>
      </c>
      <c r="BA17" s="84" t="str">
        <f>REPLACE(INDEX(GroupVertices[Group],MATCH(Vertices[[#This Row],[Vertex]],GroupVertices[Vertex],0)),1,1,"")</f>
        <v>1</v>
      </c>
      <c r="BB17" s="2"/>
      <c r="BC17" s="3"/>
      <c r="BD17" s="3"/>
      <c r="BE17" s="3"/>
      <c r="BF17" s="3"/>
    </row>
    <row r="18" spans="1:58" ht="15">
      <c r="A18" s="14" t="s">
        <v>228</v>
      </c>
      <c r="B18" s="15"/>
      <c r="C18" s="15"/>
      <c r="D18" s="94"/>
      <c r="E18" s="80"/>
      <c r="F18" s="115" t="str">
        <f>HYPERLINK("http://pbs.twimg.com/profile_images/1418197430999257091/Y_Uq25r__normal.jpg")</f>
        <v>http://pbs.twimg.com/profile_images/1418197430999257091/Y_Uq25r__normal.jpg</v>
      </c>
      <c r="G18" s="15"/>
      <c r="H18" s="16" t="s">
        <v>228</v>
      </c>
      <c r="I18" s="68"/>
      <c r="J18" s="68"/>
      <c r="K18" s="117" t="s">
        <v>377</v>
      </c>
      <c r="L18" s="95"/>
      <c r="M18" s="96">
        <v>958.7685546875</v>
      </c>
      <c r="N18" s="96">
        <v>1352.6607666015625</v>
      </c>
      <c r="O18" s="78"/>
      <c r="P18" s="97"/>
      <c r="Q18" s="97"/>
      <c r="R18" s="98"/>
      <c r="S18" s="98"/>
      <c r="T18" s="98"/>
      <c r="U18" s="98"/>
      <c r="V18" s="53"/>
      <c r="W18" s="53"/>
      <c r="X18" s="53"/>
      <c r="Y18" s="53"/>
      <c r="Z18" s="52"/>
      <c r="AA18" s="81">
        <v>18</v>
      </c>
      <c r="AB18" s="81"/>
      <c r="AC18" s="99"/>
      <c r="AD18" s="84" t="s">
        <v>322</v>
      </c>
      <c r="AE18" s="93" t="s">
        <v>335</v>
      </c>
      <c r="AF18" s="84">
        <v>3995</v>
      </c>
      <c r="AG18" s="84">
        <v>64244</v>
      </c>
      <c r="AH18" s="84">
        <v>95075</v>
      </c>
      <c r="AI18" s="84">
        <v>9</v>
      </c>
      <c r="AJ18" s="84"/>
      <c r="AK18" s="84" t="s">
        <v>350</v>
      </c>
      <c r="AL18" s="84" t="s">
        <v>359</v>
      </c>
      <c r="AM18" s="84"/>
      <c r="AN18" s="84"/>
      <c r="AO18" s="86">
        <v>43930.821805555555</v>
      </c>
      <c r="AP18" s="90" t="str">
        <f>HYPERLINK("https://pbs.twimg.com/profile_banners/1248335621988311041/1626943736")</f>
        <v>https://pbs.twimg.com/profile_banners/1248335621988311041/1626943736</v>
      </c>
      <c r="AQ18" s="84" t="b">
        <v>1</v>
      </c>
      <c r="AR18" s="84" t="b">
        <v>0</v>
      </c>
      <c r="AS18" s="84" t="b">
        <v>0</v>
      </c>
      <c r="AT18" s="84"/>
      <c r="AU18" s="84">
        <v>258</v>
      </c>
      <c r="AV18" s="84"/>
      <c r="AW18" s="84" t="b">
        <v>0</v>
      </c>
      <c r="AX18" s="84" t="s">
        <v>362</v>
      </c>
      <c r="AY18" s="90" t="str">
        <f>HYPERLINK("https://twitter.com/bdngfess")</f>
        <v>https://twitter.com/bdngfess</v>
      </c>
      <c r="AZ18" s="84" t="s">
        <v>65</v>
      </c>
      <c r="BA18" s="84" t="str">
        <f>REPLACE(INDEX(GroupVertices[Group],MATCH(Vertices[[#This Row],[Vertex]],GroupVertices[Vertex],0)),1,1,"")</f>
        <v>1</v>
      </c>
      <c r="BB18" s="2"/>
      <c r="BC18" s="3"/>
      <c r="BD18" s="3"/>
      <c r="BE18" s="3"/>
      <c r="BF18" s="3"/>
    </row>
    <row r="19" spans="1:58" ht="15">
      <c r="A19" s="100" t="s">
        <v>229</v>
      </c>
      <c r="B19" s="101"/>
      <c r="C19" s="101"/>
      <c r="D19" s="102"/>
      <c r="E19" s="103"/>
      <c r="F19" s="116" t="str">
        <f>HYPERLINK("http://pbs.twimg.com/profile_images/1380482333552168962/ShjhWZK7_normal.jpg")</f>
        <v>http://pbs.twimg.com/profile_images/1380482333552168962/ShjhWZK7_normal.jpg</v>
      </c>
      <c r="G19" s="101"/>
      <c r="H19" s="104" t="s">
        <v>229</v>
      </c>
      <c r="I19" s="105"/>
      <c r="J19" s="105"/>
      <c r="K19" s="118" t="s">
        <v>378</v>
      </c>
      <c r="L19" s="106"/>
      <c r="M19" s="107">
        <v>2644.5791015625</v>
      </c>
      <c r="N19" s="107">
        <v>3729.06787109375</v>
      </c>
      <c r="O19" s="108"/>
      <c r="P19" s="109"/>
      <c r="Q19" s="109"/>
      <c r="R19" s="110"/>
      <c r="S19" s="110"/>
      <c r="T19" s="110"/>
      <c r="U19" s="110"/>
      <c r="V19" s="111"/>
      <c r="W19" s="111"/>
      <c r="X19" s="111"/>
      <c r="Y19" s="111"/>
      <c r="Z19" s="112"/>
      <c r="AA19" s="113">
        <v>19</v>
      </c>
      <c r="AB19" s="113"/>
      <c r="AC19" s="114"/>
      <c r="AD19" s="84" t="s">
        <v>323</v>
      </c>
      <c r="AE19" s="93" t="s">
        <v>277</v>
      </c>
      <c r="AF19" s="84">
        <v>680</v>
      </c>
      <c r="AG19" s="84">
        <v>1077</v>
      </c>
      <c r="AH19" s="84">
        <v>48628</v>
      </c>
      <c r="AI19" s="84">
        <v>11892</v>
      </c>
      <c r="AJ19" s="84"/>
      <c r="AK19" s="84" t="s">
        <v>351</v>
      </c>
      <c r="AL19" s="84" t="s">
        <v>360</v>
      </c>
      <c r="AM19" s="90" t="str">
        <f>HYPERLINK("https://secreto.site/19462567")</f>
        <v>https://secreto.site/19462567</v>
      </c>
      <c r="AN19" s="84"/>
      <c r="AO19" s="86">
        <v>40777.10618055556</v>
      </c>
      <c r="AP19" s="90" t="str">
        <f>HYPERLINK("https://pbs.twimg.com/profile_banners/359730398/1611707574")</f>
        <v>https://pbs.twimg.com/profile_banners/359730398/1611707574</v>
      </c>
      <c r="AQ19" s="84" t="b">
        <v>0</v>
      </c>
      <c r="AR19" s="84" t="b">
        <v>0</v>
      </c>
      <c r="AS19" s="84" t="b">
        <v>1</v>
      </c>
      <c r="AT19" s="84"/>
      <c r="AU19" s="84">
        <v>2</v>
      </c>
      <c r="AV19" s="90" t="str">
        <f>HYPERLINK("http://abs.twimg.com/images/themes/theme11/bg.gif")</f>
        <v>http://abs.twimg.com/images/themes/theme11/bg.gif</v>
      </c>
      <c r="AW19" s="84" t="b">
        <v>0</v>
      </c>
      <c r="AX19" s="84" t="s">
        <v>362</v>
      </c>
      <c r="AY19" s="90" t="str">
        <f>HYPERLINK("https://twitter.com/kadalbuntunc")</f>
        <v>https://twitter.com/kadalbuntunc</v>
      </c>
      <c r="AZ19" s="84" t="s">
        <v>65</v>
      </c>
      <c r="BA19" s="84" t="str">
        <f>REPLACE(INDEX(GroupVertices[Group],MATCH(Vertices[[#This Row],[Vertex]],GroupVertices[Vertex],0)),1,1,"")</f>
        <v>1</v>
      </c>
      <c r="BB19" s="2"/>
      <c r="BC19" s="3"/>
      <c r="BD19" s="3"/>
      <c r="BE19" s="3"/>
      <c r="BF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438</v>
      </c>
    </row>
    <row r="3" spans="1:25" ht="15">
      <c r="A3" s="83" t="s">
        <v>418</v>
      </c>
      <c r="B3" s="121" t="s">
        <v>426</v>
      </c>
      <c r="C3" s="121" t="s">
        <v>56</v>
      </c>
      <c r="D3" s="119"/>
      <c r="E3" s="15"/>
      <c r="F3" s="16" t="s">
        <v>418</v>
      </c>
      <c r="G3" s="78"/>
      <c r="H3" s="78"/>
      <c r="I3" s="120">
        <v>3</v>
      </c>
      <c r="J3" s="65"/>
      <c r="K3" s="51">
        <v>3</v>
      </c>
      <c r="L3" s="51">
        <v>2</v>
      </c>
      <c r="M3" s="51">
        <v>0</v>
      </c>
      <c r="N3" s="51">
        <v>2</v>
      </c>
      <c r="O3" s="51">
        <v>0</v>
      </c>
      <c r="P3" s="52">
        <v>0</v>
      </c>
      <c r="Q3" s="52">
        <v>0</v>
      </c>
      <c r="R3" s="51">
        <v>1</v>
      </c>
      <c r="S3" s="51">
        <v>0</v>
      </c>
      <c r="T3" s="51">
        <v>3</v>
      </c>
      <c r="U3" s="51">
        <v>2</v>
      </c>
      <c r="V3" s="51">
        <v>2</v>
      </c>
      <c r="W3" s="52">
        <v>0.888889</v>
      </c>
      <c r="X3" s="52">
        <v>0.3333333333333333</v>
      </c>
      <c r="Y3" s="84"/>
    </row>
    <row r="4" spans="1:25" ht="15">
      <c r="A4" s="83" t="s">
        <v>419</v>
      </c>
      <c r="B4" s="121" t="s">
        <v>427</v>
      </c>
      <c r="C4" s="121" t="s">
        <v>56</v>
      </c>
      <c r="D4" s="119"/>
      <c r="E4" s="15"/>
      <c r="F4" s="16" t="s">
        <v>419</v>
      </c>
      <c r="G4" s="78"/>
      <c r="H4" s="78"/>
      <c r="I4" s="120">
        <v>4</v>
      </c>
      <c r="J4" s="81"/>
      <c r="K4" s="51">
        <v>3</v>
      </c>
      <c r="L4" s="51">
        <v>1</v>
      </c>
      <c r="M4" s="51">
        <v>4</v>
      </c>
      <c r="N4" s="51">
        <v>5</v>
      </c>
      <c r="O4" s="51">
        <v>1</v>
      </c>
      <c r="P4" s="52">
        <v>0</v>
      </c>
      <c r="Q4" s="52">
        <v>0</v>
      </c>
      <c r="R4" s="51">
        <v>1</v>
      </c>
      <c r="S4" s="51">
        <v>0</v>
      </c>
      <c r="T4" s="51">
        <v>3</v>
      </c>
      <c r="U4" s="51">
        <v>5</v>
      </c>
      <c r="V4" s="51">
        <v>2</v>
      </c>
      <c r="W4" s="52">
        <v>0.888889</v>
      </c>
      <c r="X4" s="52">
        <v>0.3333333333333333</v>
      </c>
      <c r="Y4" s="84"/>
    </row>
    <row r="5" spans="1:25" ht="15">
      <c r="A5" s="83" t="s">
        <v>420</v>
      </c>
      <c r="B5" s="121" t="s">
        <v>428</v>
      </c>
      <c r="C5" s="121" t="s">
        <v>56</v>
      </c>
      <c r="D5" s="119"/>
      <c r="E5" s="15"/>
      <c r="F5" s="16" t="s">
        <v>420</v>
      </c>
      <c r="G5" s="78"/>
      <c r="H5" s="78"/>
      <c r="I5" s="120">
        <v>5</v>
      </c>
      <c r="J5" s="81"/>
      <c r="K5" s="51">
        <v>2</v>
      </c>
      <c r="L5" s="51">
        <v>1</v>
      </c>
      <c r="M5" s="51">
        <v>0</v>
      </c>
      <c r="N5" s="51">
        <v>1</v>
      </c>
      <c r="O5" s="51">
        <v>0</v>
      </c>
      <c r="P5" s="52">
        <v>0</v>
      </c>
      <c r="Q5" s="52">
        <v>0</v>
      </c>
      <c r="R5" s="51">
        <v>1</v>
      </c>
      <c r="S5" s="51">
        <v>0</v>
      </c>
      <c r="T5" s="51">
        <v>2</v>
      </c>
      <c r="U5" s="51">
        <v>1</v>
      </c>
      <c r="V5" s="51">
        <v>1</v>
      </c>
      <c r="W5" s="52">
        <v>0.5</v>
      </c>
      <c r="X5" s="52">
        <v>0.5</v>
      </c>
      <c r="Y5" s="84"/>
    </row>
    <row r="6" spans="1:25" ht="15">
      <c r="A6" s="83" t="s">
        <v>421</v>
      </c>
      <c r="B6" s="121" t="s">
        <v>429</v>
      </c>
      <c r="C6" s="121" t="s">
        <v>56</v>
      </c>
      <c r="D6" s="119"/>
      <c r="E6" s="15"/>
      <c r="F6" s="16" t="s">
        <v>421</v>
      </c>
      <c r="G6" s="78"/>
      <c r="H6" s="78"/>
      <c r="I6" s="120">
        <v>6</v>
      </c>
      <c r="J6" s="81"/>
      <c r="K6" s="51">
        <v>2</v>
      </c>
      <c r="L6" s="51">
        <v>1</v>
      </c>
      <c r="M6" s="51">
        <v>0</v>
      </c>
      <c r="N6" s="51">
        <v>1</v>
      </c>
      <c r="O6" s="51">
        <v>0</v>
      </c>
      <c r="P6" s="52">
        <v>0</v>
      </c>
      <c r="Q6" s="52">
        <v>0</v>
      </c>
      <c r="R6" s="51">
        <v>1</v>
      </c>
      <c r="S6" s="51">
        <v>0</v>
      </c>
      <c r="T6" s="51">
        <v>2</v>
      </c>
      <c r="U6" s="51">
        <v>1</v>
      </c>
      <c r="V6" s="51">
        <v>1</v>
      </c>
      <c r="W6" s="52">
        <v>0.5</v>
      </c>
      <c r="X6" s="52">
        <v>0.5</v>
      </c>
      <c r="Y6" s="84"/>
    </row>
    <row r="7" spans="1:25" ht="15">
      <c r="A7" s="83" t="s">
        <v>422</v>
      </c>
      <c r="B7" s="121" t="s">
        <v>430</v>
      </c>
      <c r="C7" s="121" t="s">
        <v>56</v>
      </c>
      <c r="D7" s="119"/>
      <c r="E7" s="15"/>
      <c r="F7" s="16" t="s">
        <v>422</v>
      </c>
      <c r="G7" s="78"/>
      <c r="H7" s="78"/>
      <c r="I7" s="120">
        <v>7</v>
      </c>
      <c r="J7" s="81"/>
      <c r="K7" s="51">
        <v>2</v>
      </c>
      <c r="L7" s="51">
        <v>1</v>
      </c>
      <c r="M7" s="51">
        <v>2</v>
      </c>
      <c r="N7" s="51">
        <v>3</v>
      </c>
      <c r="O7" s="51">
        <v>1</v>
      </c>
      <c r="P7" s="52">
        <v>0</v>
      </c>
      <c r="Q7" s="52">
        <v>0</v>
      </c>
      <c r="R7" s="51">
        <v>1</v>
      </c>
      <c r="S7" s="51">
        <v>0</v>
      </c>
      <c r="T7" s="51">
        <v>2</v>
      </c>
      <c r="U7" s="51">
        <v>3</v>
      </c>
      <c r="V7" s="51">
        <v>1</v>
      </c>
      <c r="W7" s="52">
        <v>0.5</v>
      </c>
      <c r="X7" s="52">
        <v>0.5</v>
      </c>
      <c r="Y7" s="84"/>
    </row>
    <row r="8" spans="1:25" ht="15">
      <c r="A8" s="83" t="s">
        <v>423</v>
      </c>
      <c r="B8" s="121" t="s">
        <v>431</v>
      </c>
      <c r="C8" s="121" t="s">
        <v>56</v>
      </c>
      <c r="D8" s="119"/>
      <c r="E8" s="15"/>
      <c r="F8" s="16" t="s">
        <v>423</v>
      </c>
      <c r="G8" s="78"/>
      <c r="H8" s="78"/>
      <c r="I8" s="120">
        <v>8</v>
      </c>
      <c r="J8" s="81"/>
      <c r="K8" s="51">
        <v>2</v>
      </c>
      <c r="L8" s="51">
        <v>1</v>
      </c>
      <c r="M8" s="51">
        <v>0</v>
      </c>
      <c r="N8" s="51">
        <v>1</v>
      </c>
      <c r="O8" s="51">
        <v>0</v>
      </c>
      <c r="P8" s="52">
        <v>0</v>
      </c>
      <c r="Q8" s="52">
        <v>0</v>
      </c>
      <c r="R8" s="51">
        <v>1</v>
      </c>
      <c r="S8" s="51">
        <v>0</v>
      </c>
      <c r="T8" s="51">
        <v>2</v>
      </c>
      <c r="U8" s="51">
        <v>1</v>
      </c>
      <c r="V8" s="51">
        <v>1</v>
      </c>
      <c r="W8" s="52">
        <v>0.5</v>
      </c>
      <c r="X8" s="52">
        <v>0.5</v>
      </c>
      <c r="Y8" s="84"/>
    </row>
    <row r="9" spans="1:25" ht="15">
      <c r="A9" s="83" t="s">
        <v>424</v>
      </c>
      <c r="B9" s="121" t="s">
        <v>432</v>
      </c>
      <c r="C9" s="121" t="s">
        <v>56</v>
      </c>
      <c r="D9" s="119"/>
      <c r="E9" s="15"/>
      <c r="F9" s="16" t="s">
        <v>424</v>
      </c>
      <c r="G9" s="78"/>
      <c r="H9" s="78"/>
      <c r="I9" s="120">
        <v>9</v>
      </c>
      <c r="J9" s="81"/>
      <c r="K9" s="51">
        <v>2</v>
      </c>
      <c r="L9" s="51">
        <v>1</v>
      </c>
      <c r="M9" s="51">
        <v>0</v>
      </c>
      <c r="N9" s="51">
        <v>1</v>
      </c>
      <c r="O9" s="51">
        <v>0</v>
      </c>
      <c r="P9" s="52">
        <v>0</v>
      </c>
      <c r="Q9" s="52">
        <v>0</v>
      </c>
      <c r="R9" s="51">
        <v>1</v>
      </c>
      <c r="S9" s="51">
        <v>0</v>
      </c>
      <c r="T9" s="51">
        <v>2</v>
      </c>
      <c r="U9" s="51">
        <v>1</v>
      </c>
      <c r="V9" s="51">
        <v>1</v>
      </c>
      <c r="W9" s="52">
        <v>0.5</v>
      </c>
      <c r="X9" s="52">
        <v>0.5</v>
      </c>
      <c r="Y9" s="84"/>
    </row>
    <row r="10" spans="1:25" ht="14.25" customHeight="1">
      <c r="A10" s="83" t="s">
        <v>425</v>
      </c>
      <c r="B10" s="121" t="s">
        <v>433</v>
      </c>
      <c r="C10" s="121" t="s">
        <v>56</v>
      </c>
      <c r="D10" s="119"/>
      <c r="E10" s="15"/>
      <c r="F10" s="16" t="s">
        <v>425</v>
      </c>
      <c r="G10" s="78"/>
      <c r="H10" s="78"/>
      <c r="I10" s="120">
        <v>10</v>
      </c>
      <c r="J10" s="81"/>
      <c r="K10" s="51">
        <v>1</v>
      </c>
      <c r="L10" s="51">
        <v>1</v>
      </c>
      <c r="M10" s="51">
        <v>0</v>
      </c>
      <c r="N10" s="51">
        <v>1</v>
      </c>
      <c r="O10" s="51">
        <v>1</v>
      </c>
      <c r="P10" s="52" t="s">
        <v>437</v>
      </c>
      <c r="Q10" s="52" t="s">
        <v>437</v>
      </c>
      <c r="R10" s="51">
        <v>1</v>
      </c>
      <c r="S10" s="51">
        <v>1</v>
      </c>
      <c r="T10" s="51">
        <v>1</v>
      </c>
      <c r="U10" s="51">
        <v>1</v>
      </c>
      <c r="V10" s="51">
        <v>0</v>
      </c>
      <c r="W10" s="52">
        <v>0</v>
      </c>
      <c r="X10" s="52" t="s">
        <v>437</v>
      </c>
      <c r="Y10" s="84"/>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418</v>
      </c>
      <c r="B2" s="93" t="s">
        <v>223</v>
      </c>
      <c r="C2" s="84">
        <f>VLOOKUP(GroupVertices[[#This Row],[Vertex]],Vertices[],MATCH("ID",Vertices[[#Headers],[Vertex]:[Vertex Group]],0),FALSE)</f>
        <v>17</v>
      </c>
    </row>
    <row r="3" spans="1:3" ht="15">
      <c r="A3" s="85" t="s">
        <v>418</v>
      </c>
      <c r="B3" s="93" t="s">
        <v>229</v>
      </c>
      <c r="C3" s="84">
        <f>VLOOKUP(GroupVertices[[#This Row],[Vertex]],Vertices[],MATCH("ID",Vertices[[#Headers],[Vertex]:[Vertex Group]],0),FALSE)</f>
        <v>19</v>
      </c>
    </row>
    <row r="4" spans="1:3" ht="15">
      <c r="A4" s="85" t="s">
        <v>418</v>
      </c>
      <c r="B4" s="93" t="s">
        <v>228</v>
      </c>
      <c r="C4" s="84">
        <f>VLOOKUP(GroupVertices[[#This Row],[Vertex]],Vertices[],MATCH("ID",Vertices[[#Headers],[Vertex]:[Vertex Group]],0),FALSE)</f>
        <v>18</v>
      </c>
    </row>
    <row r="5" spans="1:3" ht="15">
      <c r="A5" s="85" t="s">
        <v>419</v>
      </c>
      <c r="B5" s="93" t="s">
        <v>222</v>
      </c>
      <c r="C5" s="84">
        <f>VLOOKUP(GroupVertices[[#This Row],[Vertex]],Vertices[],MATCH("ID",Vertices[[#Headers],[Vertex]:[Vertex Group]],0),FALSE)</f>
        <v>16</v>
      </c>
    </row>
    <row r="6" spans="1:3" ht="15">
      <c r="A6" s="85" t="s">
        <v>419</v>
      </c>
      <c r="B6" s="93" t="s">
        <v>221</v>
      </c>
      <c r="C6" s="84">
        <f>VLOOKUP(GroupVertices[[#This Row],[Vertex]],Vertices[],MATCH("ID",Vertices[[#Headers],[Vertex]:[Vertex Group]],0),FALSE)</f>
        <v>13</v>
      </c>
    </row>
    <row r="7" spans="1:3" ht="15">
      <c r="A7" s="85" t="s">
        <v>419</v>
      </c>
      <c r="B7" s="93" t="s">
        <v>219</v>
      </c>
      <c r="C7" s="84">
        <f>VLOOKUP(GroupVertices[[#This Row],[Vertex]],Vertices[],MATCH("ID",Vertices[[#Headers],[Vertex]:[Vertex Group]],0),FALSE)</f>
        <v>12</v>
      </c>
    </row>
    <row r="8" spans="1:3" ht="15">
      <c r="A8" s="85" t="s">
        <v>420</v>
      </c>
      <c r="B8" s="93" t="s">
        <v>220</v>
      </c>
      <c r="C8" s="84">
        <f>VLOOKUP(GroupVertices[[#This Row],[Vertex]],Vertices[],MATCH("ID",Vertices[[#Headers],[Vertex]:[Vertex Group]],0),FALSE)</f>
        <v>14</v>
      </c>
    </row>
    <row r="9" spans="1:3" ht="15">
      <c r="A9" s="85" t="s">
        <v>420</v>
      </c>
      <c r="B9" s="93" t="s">
        <v>227</v>
      </c>
      <c r="C9" s="84">
        <f>VLOOKUP(GroupVertices[[#This Row],[Vertex]],Vertices[],MATCH("ID",Vertices[[#Headers],[Vertex]:[Vertex Group]],0),FALSE)</f>
        <v>15</v>
      </c>
    </row>
    <row r="10" spans="1:3" ht="15">
      <c r="A10" s="85" t="s">
        <v>421</v>
      </c>
      <c r="B10" s="93" t="s">
        <v>217</v>
      </c>
      <c r="C10" s="84">
        <f>VLOOKUP(GroupVertices[[#This Row],[Vertex]],Vertices[],MATCH("ID",Vertices[[#Headers],[Vertex]:[Vertex Group]],0),FALSE)</f>
        <v>9</v>
      </c>
    </row>
    <row r="11" spans="1:3" ht="15">
      <c r="A11" s="85" t="s">
        <v>421</v>
      </c>
      <c r="B11" s="93" t="s">
        <v>226</v>
      </c>
      <c r="C11" s="84">
        <f>VLOOKUP(GroupVertices[[#This Row],[Vertex]],Vertices[],MATCH("ID",Vertices[[#Headers],[Vertex]:[Vertex Group]],0),FALSE)</f>
        <v>10</v>
      </c>
    </row>
    <row r="12" spans="1:3" ht="15">
      <c r="A12" s="85" t="s">
        <v>422</v>
      </c>
      <c r="B12" s="93" t="s">
        <v>216</v>
      </c>
      <c r="C12" s="84">
        <f>VLOOKUP(GroupVertices[[#This Row],[Vertex]],Vertices[],MATCH("ID",Vertices[[#Headers],[Vertex]:[Vertex Group]],0),FALSE)</f>
        <v>8</v>
      </c>
    </row>
    <row r="13" spans="1:3" ht="15">
      <c r="A13" s="85" t="s">
        <v>422</v>
      </c>
      <c r="B13" s="93" t="s">
        <v>215</v>
      </c>
      <c r="C13" s="84">
        <f>VLOOKUP(GroupVertices[[#This Row],[Vertex]],Vertices[],MATCH("ID",Vertices[[#Headers],[Vertex]:[Vertex Group]],0),FALSE)</f>
        <v>7</v>
      </c>
    </row>
    <row r="14" spans="1:3" ht="15">
      <c r="A14" s="85" t="s">
        <v>423</v>
      </c>
      <c r="B14" s="93" t="s">
        <v>214</v>
      </c>
      <c r="C14" s="84">
        <f>VLOOKUP(GroupVertices[[#This Row],[Vertex]],Vertices[],MATCH("ID",Vertices[[#Headers],[Vertex]:[Vertex Group]],0),FALSE)</f>
        <v>5</v>
      </c>
    </row>
    <row r="15" spans="1:3" ht="15">
      <c r="A15" s="85" t="s">
        <v>423</v>
      </c>
      <c r="B15" s="93" t="s">
        <v>225</v>
      </c>
      <c r="C15" s="84">
        <f>VLOOKUP(GroupVertices[[#This Row],[Vertex]],Vertices[],MATCH("ID",Vertices[[#Headers],[Vertex]:[Vertex Group]],0),FALSE)</f>
        <v>6</v>
      </c>
    </row>
    <row r="16" spans="1:3" ht="15">
      <c r="A16" s="85" t="s">
        <v>424</v>
      </c>
      <c r="B16" s="93" t="s">
        <v>224</v>
      </c>
      <c r="C16" s="84">
        <f>VLOOKUP(GroupVertices[[#This Row],[Vertex]],Vertices[],MATCH("ID",Vertices[[#Headers],[Vertex]:[Vertex Group]],0),FALSE)</f>
        <v>3</v>
      </c>
    </row>
    <row r="17" spans="1:3" ht="15">
      <c r="A17" s="85" t="s">
        <v>424</v>
      </c>
      <c r="B17" s="93" t="s">
        <v>230</v>
      </c>
      <c r="C17" s="84">
        <f>VLOOKUP(GroupVertices[[#This Row],[Vertex]],Vertices[],MATCH("ID",Vertices[[#Headers],[Vertex]:[Vertex Group]],0),FALSE)</f>
        <v>4</v>
      </c>
    </row>
    <row r="18" spans="1:3" ht="15">
      <c r="A18" s="85" t="s">
        <v>425</v>
      </c>
      <c r="B18" s="93" t="s">
        <v>218</v>
      </c>
      <c r="C18" s="84">
        <f>VLOOKUP(GroupVertices[[#This Row],[Vertex]],Vertices[],MATCH("ID",Vertices[[#Headers],[Vertex]:[Vertex Group]],0),FALSE)</f>
        <v>11</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435</v>
      </c>
      <c r="BE2" s="13" t="s">
        <v>436</v>
      </c>
    </row>
    <row r="3" spans="1:57" ht="15" customHeight="1">
      <c r="A3" s="83" t="s">
        <v>224</v>
      </c>
      <c r="B3" s="83" t="s">
        <v>230</v>
      </c>
      <c r="C3" s="54"/>
      <c r="D3" s="55"/>
      <c r="E3" s="67"/>
      <c r="F3" s="56"/>
      <c r="G3" s="54"/>
      <c r="H3" s="58"/>
      <c r="I3" s="57"/>
      <c r="J3" s="57"/>
      <c r="K3" s="36" t="s">
        <v>65</v>
      </c>
      <c r="L3" s="63">
        <v>3</v>
      </c>
      <c r="M3" s="63"/>
      <c r="N3" s="64"/>
      <c r="O3" s="84" t="s">
        <v>231</v>
      </c>
      <c r="P3" s="86">
        <v>44600.79153935185</v>
      </c>
      <c r="Q3" s="84" t="s">
        <v>244</v>
      </c>
      <c r="R3" s="84"/>
      <c r="S3" s="84"/>
      <c r="T3" s="84"/>
      <c r="U3" s="84"/>
      <c r="V3" s="90" t="str">
        <f>HYPERLINK("http://pbs.twimg.com/profile_images/494128176403324928/X1WuOVJy_normal.jpeg")</f>
        <v>http://pbs.twimg.com/profile_images/494128176403324928/X1WuOVJy_normal.jpeg</v>
      </c>
      <c r="W3" s="86">
        <v>44600.79153935185</v>
      </c>
      <c r="X3" s="91">
        <v>44600</v>
      </c>
      <c r="Y3" s="93" t="s">
        <v>257</v>
      </c>
      <c r="Z3" s="90" t="str">
        <f>HYPERLINK("https://twitter.com/#!/mzizo1515/status/1491124626885586945")</f>
        <v>https://twitter.com/#!/mzizo1515/status/1491124626885586945</v>
      </c>
      <c r="AA3" s="84"/>
      <c r="AB3" s="84"/>
      <c r="AC3" s="93" t="s">
        <v>268</v>
      </c>
      <c r="AD3" s="84"/>
      <c r="AE3" s="84" t="b">
        <v>0</v>
      </c>
      <c r="AF3" s="84">
        <v>0</v>
      </c>
      <c r="AG3" s="93" t="s">
        <v>278</v>
      </c>
      <c r="AH3" s="84" t="b">
        <v>0</v>
      </c>
      <c r="AI3" s="84" t="s">
        <v>280</v>
      </c>
      <c r="AJ3" s="84"/>
      <c r="AK3" s="93" t="s">
        <v>274</v>
      </c>
      <c r="AL3" s="84" t="b">
        <v>0</v>
      </c>
      <c r="AM3" s="84">
        <v>0</v>
      </c>
      <c r="AN3" s="93" t="s">
        <v>274</v>
      </c>
      <c r="AO3" s="93" t="s">
        <v>285</v>
      </c>
      <c r="AP3" s="84" t="b">
        <v>0</v>
      </c>
      <c r="AQ3" s="93" t="s">
        <v>268</v>
      </c>
      <c r="AR3" s="84" t="s">
        <v>176</v>
      </c>
      <c r="AS3" s="84">
        <v>0</v>
      </c>
      <c r="AT3" s="84">
        <v>0</v>
      </c>
      <c r="AU3" s="84"/>
      <c r="AV3" s="84"/>
      <c r="AW3" s="84"/>
      <c r="AX3" s="84"/>
      <c r="AY3" s="84"/>
      <c r="AZ3" s="84"/>
      <c r="BA3" s="84"/>
      <c r="BB3" s="84"/>
      <c r="BC3">
        <v>1</v>
      </c>
      <c r="BD3" s="84" t="str">
        <f>REPLACE(INDEX(GroupVertices[Group],MATCH(Edges11[[#This Row],[Vertex 1]],GroupVertices[Vertex],0)),1,1,"")</f>
        <v>7</v>
      </c>
      <c r="BE3" s="84" t="str">
        <f>REPLACE(INDEX(GroupVertices[Group],MATCH(Edges11[[#This Row],[Vertex 2]],GroupVertices[Vertex],0)),1,1,"")</f>
        <v>7</v>
      </c>
    </row>
    <row r="4" spans="1:57" ht="15" customHeight="1">
      <c r="A4" s="83" t="s">
        <v>214</v>
      </c>
      <c r="B4" s="83" t="s">
        <v>225</v>
      </c>
      <c r="C4" s="54"/>
      <c r="D4" s="55"/>
      <c r="E4" s="67"/>
      <c r="F4" s="56"/>
      <c r="G4" s="54"/>
      <c r="H4" s="58"/>
      <c r="I4" s="57"/>
      <c r="J4" s="57"/>
      <c r="K4" s="36" t="s">
        <v>65</v>
      </c>
      <c r="L4" s="82">
        <v>4</v>
      </c>
      <c r="M4" s="82"/>
      <c r="N4" s="64"/>
      <c r="O4" s="85" t="s">
        <v>231</v>
      </c>
      <c r="P4" s="87">
        <v>44601.26559027778</v>
      </c>
      <c r="Q4" s="85" t="s">
        <v>235</v>
      </c>
      <c r="R4" s="85"/>
      <c r="S4" s="85"/>
      <c r="T4" s="85"/>
      <c r="U4" s="85"/>
      <c r="V4" s="89" t="str">
        <f>HYPERLINK("http://pbs.twimg.com/profile_images/1486841136572690434/Rj7cLFoR_normal.jpg")</f>
        <v>http://pbs.twimg.com/profile_images/1486841136572690434/Rj7cLFoR_normal.jpg</v>
      </c>
      <c r="W4" s="87">
        <v>44601.26559027778</v>
      </c>
      <c r="X4" s="92">
        <v>44601</v>
      </c>
      <c r="Y4" s="88" t="s">
        <v>247</v>
      </c>
      <c r="Z4" s="89" t="str">
        <f>HYPERLINK("https://twitter.com/#!/iatteice/status/1491296418350665729")</f>
        <v>https://twitter.com/#!/iatteice/status/1491296418350665729</v>
      </c>
      <c r="AA4" s="85"/>
      <c r="AB4" s="85"/>
      <c r="AC4" s="88" t="s">
        <v>258</v>
      </c>
      <c r="AD4" s="88" t="s">
        <v>269</v>
      </c>
      <c r="AE4" s="85" t="b">
        <v>0</v>
      </c>
      <c r="AF4" s="85">
        <v>0</v>
      </c>
      <c r="AG4" s="88" t="s">
        <v>273</v>
      </c>
      <c r="AH4" s="85" t="b">
        <v>0</v>
      </c>
      <c r="AI4" s="85" t="s">
        <v>279</v>
      </c>
      <c r="AJ4" s="85"/>
      <c r="AK4" s="88" t="s">
        <v>274</v>
      </c>
      <c r="AL4" s="85" t="b">
        <v>0</v>
      </c>
      <c r="AM4" s="85">
        <v>0</v>
      </c>
      <c r="AN4" s="88" t="s">
        <v>274</v>
      </c>
      <c r="AO4" s="88" t="s">
        <v>283</v>
      </c>
      <c r="AP4" s="85" t="b">
        <v>0</v>
      </c>
      <c r="AQ4" s="88" t="s">
        <v>269</v>
      </c>
      <c r="AR4" s="85" t="s">
        <v>176</v>
      </c>
      <c r="AS4" s="85">
        <v>0</v>
      </c>
      <c r="AT4" s="85">
        <v>0</v>
      </c>
      <c r="AU4" s="85"/>
      <c r="AV4" s="85"/>
      <c r="AW4" s="85"/>
      <c r="AX4" s="85"/>
      <c r="AY4" s="85"/>
      <c r="AZ4" s="85"/>
      <c r="BA4" s="85"/>
      <c r="BB4" s="85"/>
      <c r="BC4">
        <v>1</v>
      </c>
      <c r="BD4" s="84" t="str">
        <f>REPLACE(INDEX(GroupVertices[Group],MATCH(Edges11[[#This Row],[Vertex 1]],GroupVertices[Vertex],0)),1,1,"")</f>
        <v>6</v>
      </c>
      <c r="BE4" s="84" t="str">
        <f>REPLACE(INDEX(GroupVertices[Group],MATCH(Edges11[[#This Row],[Vertex 2]],GroupVertices[Vertex],0)),1,1,"")</f>
        <v>6</v>
      </c>
    </row>
    <row r="5" spans="1:57" ht="15">
      <c r="A5" s="83" t="s">
        <v>215</v>
      </c>
      <c r="B5" s="83" t="s">
        <v>215</v>
      </c>
      <c r="C5" s="54"/>
      <c r="D5" s="55"/>
      <c r="E5" s="67"/>
      <c r="F5" s="56"/>
      <c r="G5" s="54"/>
      <c r="H5" s="58"/>
      <c r="I5" s="57"/>
      <c r="J5" s="57"/>
      <c r="K5" s="36" t="s">
        <v>65</v>
      </c>
      <c r="L5" s="82">
        <v>5</v>
      </c>
      <c r="M5" s="82"/>
      <c r="N5" s="64"/>
      <c r="O5" s="85" t="s">
        <v>176</v>
      </c>
      <c r="P5" s="87">
        <v>44599.48777777778</v>
      </c>
      <c r="Q5" s="85" t="s">
        <v>236</v>
      </c>
      <c r="R5" s="85"/>
      <c r="S5" s="85"/>
      <c r="T5" s="88" t="s">
        <v>245</v>
      </c>
      <c r="U5" s="89" t="str">
        <f>HYPERLINK("https://pbs.twimg.com/ext_tw_video_thumb/1490651940258082817/pu/img/ga1oqoQTYtqszdwQ.jpg")</f>
        <v>https://pbs.twimg.com/ext_tw_video_thumb/1490651940258082817/pu/img/ga1oqoQTYtqszdwQ.jpg</v>
      </c>
      <c r="V5" s="89" t="str">
        <f>HYPERLINK("https://pbs.twimg.com/ext_tw_video_thumb/1490651940258082817/pu/img/ga1oqoQTYtqszdwQ.jpg")</f>
        <v>https://pbs.twimg.com/ext_tw_video_thumb/1490651940258082817/pu/img/ga1oqoQTYtqszdwQ.jpg</v>
      </c>
      <c r="W5" s="87">
        <v>44599.48777777778</v>
      </c>
      <c r="X5" s="92">
        <v>44599</v>
      </c>
      <c r="Y5" s="88" t="s">
        <v>248</v>
      </c>
      <c r="Z5" s="89" t="str">
        <f>HYPERLINK("https://twitter.com/#!/aafiyatpa/status/1490652161373470721")</f>
        <v>https://twitter.com/#!/aafiyatpa/status/1490652161373470721</v>
      </c>
      <c r="AA5" s="85"/>
      <c r="AB5" s="85"/>
      <c r="AC5" s="88" t="s">
        <v>259</v>
      </c>
      <c r="AD5" s="85"/>
      <c r="AE5" s="85" t="b">
        <v>0</v>
      </c>
      <c r="AF5" s="85">
        <v>0</v>
      </c>
      <c r="AG5" s="88" t="s">
        <v>274</v>
      </c>
      <c r="AH5" s="85" t="b">
        <v>0</v>
      </c>
      <c r="AI5" s="85" t="s">
        <v>280</v>
      </c>
      <c r="AJ5" s="85"/>
      <c r="AK5" s="88" t="s">
        <v>274</v>
      </c>
      <c r="AL5" s="85" t="b">
        <v>0</v>
      </c>
      <c r="AM5" s="85">
        <v>0</v>
      </c>
      <c r="AN5" s="88" t="s">
        <v>274</v>
      </c>
      <c r="AO5" s="88" t="s">
        <v>284</v>
      </c>
      <c r="AP5" s="85" t="b">
        <v>0</v>
      </c>
      <c r="AQ5" s="88" t="s">
        <v>259</v>
      </c>
      <c r="AR5" s="85" t="s">
        <v>176</v>
      </c>
      <c r="AS5" s="85">
        <v>0</v>
      </c>
      <c r="AT5" s="85">
        <v>0</v>
      </c>
      <c r="AU5" s="85"/>
      <c r="AV5" s="85"/>
      <c r="AW5" s="85"/>
      <c r="AX5" s="85"/>
      <c r="AY5" s="85"/>
      <c r="AZ5" s="85"/>
      <c r="BA5" s="85"/>
      <c r="BB5" s="85"/>
      <c r="BC5">
        <v>1</v>
      </c>
      <c r="BD5" s="84" t="str">
        <f>REPLACE(INDEX(GroupVertices[Group],MATCH(Edges11[[#This Row],[Vertex 1]],GroupVertices[Vertex],0)),1,1,"")</f>
        <v>5</v>
      </c>
      <c r="BE5" s="84" t="str">
        <f>REPLACE(INDEX(GroupVertices[Group],MATCH(Edges11[[#This Row],[Vertex 2]],GroupVertices[Vertex],0)),1,1,"")</f>
        <v>5</v>
      </c>
    </row>
    <row r="6" spans="1:57" ht="15">
      <c r="A6" s="83" t="s">
        <v>216</v>
      </c>
      <c r="B6" s="83" t="s">
        <v>215</v>
      </c>
      <c r="C6" s="54"/>
      <c r="D6" s="55"/>
      <c r="E6" s="67"/>
      <c r="F6" s="56"/>
      <c r="G6" s="54"/>
      <c r="H6" s="58"/>
      <c r="I6" s="57"/>
      <c r="J6" s="57"/>
      <c r="K6" s="36" t="s">
        <v>65</v>
      </c>
      <c r="L6" s="82">
        <v>6</v>
      </c>
      <c r="M6" s="82"/>
      <c r="N6" s="64"/>
      <c r="O6" s="85" t="s">
        <v>232</v>
      </c>
      <c r="P6" s="87">
        <v>44601.357986111114</v>
      </c>
      <c r="Q6" s="85" t="s">
        <v>237</v>
      </c>
      <c r="R6" s="85"/>
      <c r="S6" s="85"/>
      <c r="T6" s="88" t="s">
        <v>246</v>
      </c>
      <c r="U6" s="85"/>
      <c r="V6" s="89" t="str">
        <f>HYPERLINK("http://pbs.twimg.com/profile_images/918213290437828608/aHBP57Ac_normal.jpg")</f>
        <v>http://pbs.twimg.com/profile_images/918213290437828608/aHBP57Ac_normal.jpg</v>
      </c>
      <c r="W6" s="87">
        <v>44601.357986111114</v>
      </c>
      <c r="X6" s="92">
        <v>44601</v>
      </c>
      <c r="Y6" s="88" t="s">
        <v>249</v>
      </c>
      <c r="Z6" s="89" t="str">
        <f>HYPERLINK("https://twitter.com/#!/dexter_danilo/status/1491329899197464576")</f>
        <v>https://twitter.com/#!/dexter_danilo/status/1491329899197464576</v>
      </c>
      <c r="AA6" s="85"/>
      <c r="AB6" s="85"/>
      <c r="AC6" s="88" t="s">
        <v>260</v>
      </c>
      <c r="AD6" s="85"/>
      <c r="AE6" s="85" t="b">
        <v>0</v>
      </c>
      <c r="AF6" s="85">
        <v>0</v>
      </c>
      <c r="AG6" s="88" t="s">
        <v>274</v>
      </c>
      <c r="AH6" s="85" t="b">
        <v>0</v>
      </c>
      <c r="AI6" s="85" t="s">
        <v>280</v>
      </c>
      <c r="AJ6" s="85"/>
      <c r="AK6" s="88" t="s">
        <v>274</v>
      </c>
      <c r="AL6" s="85" t="b">
        <v>0</v>
      </c>
      <c r="AM6" s="85">
        <v>1</v>
      </c>
      <c r="AN6" s="88" t="s">
        <v>259</v>
      </c>
      <c r="AO6" s="88" t="s">
        <v>285</v>
      </c>
      <c r="AP6" s="85" t="b">
        <v>0</v>
      </c>
      <c r="AQ6" s="88" t="s">
        <v>259</v>
      </c>
      <c r="AR6" s="85" t="s">
        <v>176</v>
      </c>
      <c r="AS6" s="85">
        <v>0</v>
      </c>
      <c r="AT6" s="85">
        <v>0</v>
      </c>
      <c r="AU6" s="85"/>
      <c r="AV6" s="85"/>
      <c r="AW6" s="85"/>
      <c r="AX6" s="85"/>
      <c r="AY6" s="85"/>
      <c r="AZ6" s="85"/>
      <c r="BA6" s="85"/>
      <c r="BB6" s="85"/>
      <c r="BC6">
        <v>1</v>
      </c>
      <c r="BD6" s="84" t="str">
        <f>REPLACE(INDEX(GroupVertices[Group],MATCH(Edges11[[#This Row],[Vertex 1]],GroupVertices[Vertex],0)),1,1,"")</f>
        <v>5</v>
      </c>
      <c r="BE6" s="84" t="str">
        <f>REPLACE(INDEX(GroupVertices[Group],MATCH(Edges11[[#This Row],[Vertex 2]],GroupVertices[Vertex],0)),1,1,"")</f>
        <v>5</v>
      </c>
    </row>
    <row r="7" spans="1:57" ht="15">
      <c r="A7" s="83" t="s">
        <v>216</v>
      </c>
      <c r="B7" s="83" t="s">
        <v>215</v>
      </c>
      <c r="C7" s="54"/>
      <c r="D7" s="55"/>
      <c r="E7" s="67"/>
      <c r="F7" s="56"/>
      <c r="G7" s="54"/>
      <c r="H7" s="58"/>
      <c r="I7" s="57"/>
      <c r="J7" s="57"/>
      <c r="K7" s="36" t="s">
        <v>65</v>
      </c>
      <c r="L7" s="82">
        <v>7</v>
      </c>
      <c r="M7" s="82"/>
      <c r="N7" s="64"/>
      <c r="O7" s="85" t="s">
        <v>233</v>
      </c>
      <c r="P7" s="87">
        <v>44601.357986111114</v>
      </c>
      <c r="Q7" s="85" t="s">
        <v>237</v>
      </c>
      <c r="R7" s="85"/>
      <c r="S7" s="85"/>
      <c r="T7" s="88" t="s">
        <v>246</v>
      </c>
      <c r="U7" s="85"/>
      <c r="V7" s="89" t="str">
        <f>HYPERLINK("http://pbs.twimg.com/profile_images/918213290437828608/aHBP57Ac_normal.jpg")</f>
        <v>http://pbs.twimg.com/profile_images/918213290437828608/aHBP57Ac_normal.jpg</v>
      </c>
      <c r="W7" s="87">
        <v>44601.357986111114</v>
      </c>
      <c r="X7" s="92">
        <v>44601</v>
      </c>
      <c r="Y7" s="88" t="s">
        <v>249</v>
      </c>
      <c r="Z7" s="89" t="str">
        <f>HYPERLINK("https://twitter.com/#!/dexter_danilo/status/1491329899197464576")</f>
        <v>https://twitter.com/#!/dexter_danilo/status/1491329899197464576</v>
      </c>
      <c r="AA7" s="85"/>
      <c r="AB7" s="85"/>
      <c r="AC7" s="88" t="s">
        <v>260</v>
      </c>
      <c r="AD7" s="85"/>
      <c r="AE7" s="85" t="b">
        <v>0</v>
      </c>
      <c r="AF7" s="85">
        <v>0</v>
      </c>
      <c r="AG7" s="88" t="s">
        <v>274</v>
      </c>
      <c r="AH7" s="85" t="b">
        <v>0</v>
      </c>
      <c r="AI7" s="85" t="s">
        <v>280</v>
      </c>
      <c r="AJ7" s="85"/>
      <c r="AK7" s="88" t="s">
        <v>274</v>
      </c>
      <c r="AL7" s="85" t="b">
        <v>0</v>
      </c>
      <c r="AM7" s="85">
        <v>1</v>
      </c>
      <c r="AN7" s="88" t="s">
        <v>259</v>
      </c>
      <c r="AO7" s="88" t="s">
        <v>285</v>
      </c>
      <c r="AP7" s="85" t="b">
        <v>0</v>
      </c>
      <c r="AQ7" s="88" t="s">
        <v>259</v>
      </c>
      <c r="AR7" s="85" t="s">
        <v>176</v>
      </c>
      <c r="AS7" s="85">
        <v>0</v>
      </c>
      <c r="AT7" s="85">
        <v>0</v>
      </c>
      <c r="AU7" s="85"/>
      <c r="AV7" s="85"/>
      <c r="AW7" s="85"/>
      <c r="AX7" s="85"/>
      <c r="AY7" s="85"/>
      <c r="AZ7" s="85"/>
      <c r="BA7" s="85"/>
      <c r="BB7" s="85"/>
      <c r="BC7">
        <v>1</v>
      </c>
      <c r="BD7" s="84" t="str">
        <f>REPLACE(INDEX(GroupVertices[Group],MATCH(Edges11[[#This Row],[Vertex 1]],GroupVertices[Vertex],0)),1,1,"")</f>
        <v>5</v>
      </c>
      <c r="BE7" s="84" t="str">
        <f>REPLACE(INDEX(GroupVertices[Group],MATCH(Edges11[[#This Row],[Vertex 2]],GroupVertices[Vertex],0)),1,1,"")</f>
        <v>5</v>
      </c>
    </row>
    <row r="8" spans="1:57" ht="15">
      <c r="A8" s="83" t="s">
        <v>217</v>
      </c>
      <c r="B8" s="83" t="s">
        <v>226</v>
      </c>
      <c r="C8" s="54"/>
      <c r="D8" s="55"/>
      <c r="E8" s="67"/>
      <c r="F8" s="56"/>
      <c r="G8" s="54"/>
      <c r="H8" s="58"/>
      <c r="I8" s="57"/>
      <c r="J8" s="57"/>
      <c r="K8" s="36" t="s">
        <v>65</v>
      </c>
      <c r="L8" s="82">
        <v>8</v>
      </c>
      <c r="M8" s="82"/>
      <c r="N8" s="64"/>
      <c r="O8" s="85" t="s">
        <v>231</v>
      </c>
      <c r="P8" s="87">
        <v>44601.750601851854</v>
      </c>
      <c r="Q8" s="85" t="s">
        <v>238</v>
      </c>
      <c r="R8" s="85"/>
      <c r="S8" s="85"/>
      <c r="T8" s="85"/>
      <c r="U8" s="85"/>
      <c r="V8" s="89" t="str">
        <f>HYPERLINK("http://pbs.twimg.com/profile_images/1488876807386402817/bQWzfL6y_normal.jpg")</f>
        <v>http://pbs.twimg.com/profile_images/1488876807386402817/bQWzfL6y_normal.jpg</v>
      </c>
      <c r="W8" s="87">
        <v>44601.750601851854</v>
      </c>
      <c r="X8" s="92">
        <v>44601</v>
      </c>
      <c r="Y8" s="88" t="s">
        <v>250</v>
      </c>
      <c r="Z8" s="89" t="str">
        <f>HYPERLINK("https://twitter.com/#!/longaway__/status/1491472179955142656")</f>
        <v>https://twitter.com/#!/longaway__/status/1491472179955142656</v>
      </c>
      <c r="AA8" s="85"/>
      <c r="AB8" s="85"/>
      <c r="AC8" s="88" t="s">
        <v>261</v>
      </c>
      <c r="AD8" s="88" t="s">
        <v>270</v>
      </c>
      <c r="AE8" s="85" t="b">
        <v>0</v>
      </c>
      <c r="AF8" s="85">
        <v>0</v>
      </c>
      <c r="AG8" s="88" t="s">
        <v>275</v>
      </c>
      <c r="AH8" s="85" t="b">
        <v>0</v>
      </c>
      <c r="AI8" s="85" t="s">
        <v>281</v>
      </c>
      <c r="AJ8" s="85"/>
      <c r="AK8" s="88" t="s">
        <v>274</v>
      </c>
      <c r="AL8" s="85" t="b">
        <v>0</v>
      </c>
      <c r="AM8" s="85">
        <v>0</v>
      </c>
      <c r="AN8" s="88" t="s">
        <v>274</v>
      </c>
      <c r="AO8" s="88" t="s">
        <v>285</v>
      </c>
      <c r="AP8" s="85" t="b">
        <v>0</v>
      </c>
      <c r="AQ8" s="88" t="s">
        <v>270</v>
      </c>
      <c r="AR8" s="85" t="s">
        <v>176</v>
      </c>
      <c r="AS8" s="85">
        <v>0</v>
      </c>
      <c r="AT8" s="85">
        <v>0</v>
      </c>
      <c r="AU8" s="85"/>
      <c r="AV8" s="85"/>
      <c r="AW8" s="85"/>
      <c r="AX8" s="85"/>
      <c r="AY8" s="85"/>
      <c r="AZ8" s="85"/>
      <c r="BA8" s="85"/>
      <c r="BB8" s="85"/>
      <c r="BC8">
        <v>1</v>
      </c>
      <c r="BD8" s="84" t="str">
        <f>REPLACE(INDEX(GroupVertices[Group],MATCH(Edges11[[#This Row],[Vertex 1]],GroupVertices[Vertex],0)),1,1,"")</f>
        <v>4</v>
      </c>
      <c r="BE8" s="84" t="str">
        <f>REPLACE(INDEX(GroupVertices[Group],MATCH(Edges11[[#This Row],[Vertex 2]],GroupVertices[Vertex],0)),1,1,"")</f>
        <v>4</v>
      </c>
    </row>
    <row r="9" spans="1:57" ht="15">
      <c r="A9" s="83" t="s">
        <v>218</v>
      </c>
      <c r="B9" s="83" t="s">
        <v>218</v>
      </c>
      <c r="C9" s="54"/>
      <c r="D9" s="55"/>
      <c r="E9" s="67"/>
      <c r="F9" s="56"/>
      <c r="G9" s="54"/>
      <c r="H9" s="58"/>
      <c r="I9" s="57"/>
      <c r="J9" s="57"/>
      <c r="K9" s="36" t="s">
        <v>65</v>
      </c>
      <c r="L9" s="82">
        <v>9</v>
      </c>
      <c r="M9" s="82"/>
      <c r="N9" s="64"/>
      <c r="O9" s="85" t="s">
        <v>176</v>
      </c>
      <c r="P9" s="87">
        <v>44602.747465277775</v>
      </c>
      <c r="Q9" s="85" t="s">
        <v>239</v>
      </c>
      <c r="R9" s="85"/>
      <c r="S9" s="85"/>
      <c r="T9" s="85"/>
      <c r="U9" s="85"/>
      <c r="V9" s="89" t="str">
        <f>HYPERLINK("http://pbs.twimg.com/profile_images/1407818938046631944/IkZKnpVy_normal.jpg")</f>
        <v>http://pbs.twimg.com/profile_images/1407818938046631944/IkZKnpVy_normal.jpg</v>
      </c>
      <c r="W9" s="87">
        <v>44602.747465277775</v>
      </c>
      <c r="X9" s="92">
        <v>44602</v>
      </c>
      <c r="Y9" s="88" t="s">
        <v>251</v>
      </c>
      <c r="Z9" s="89" t="str">
        <f>HYPERLINK("https://twitter.com/#!/arab_intel/status/1491833430409101314")</f>
        <v>https://twitter.com/#!/arab_intel/status/1491833430409101314</v>
      </c>
      <c r="AA9" s="85"/>
      <c r="AB9" s="85"/>
      <c r="AC9" s="88" t="s">
        <v>262</v>
      </c>
      <c r="AD9" s="85"/>
      <c r="AE9" s="85" t="b">
        <v>0</v>
      </c>
      <c r="AF9" s="85">
        <v>8</v>
      </c>
      <c r="AG9" s="88" t="s">
        <v>274</v>
      </c>
      <c r="AH9" s="85" t="b">
        <v>0</v>
      </c>
      <c r="AI9" s="85" t="s">
        <v>282</v>
      </c>
      <c r="AJ9" s="85"/>
      <c r="AK9" s="88" t="s">
        <v>274</v>
      </c>
      <c r="AL9" s="85" t="b">
        <v>0</v>
      </c>
      <c r="AM9" s="85">
        <v>0</v>
      </c>
      <c r="AN9" s="88" t="s">
        <v>274</v>
      </c>
      <c r="AO9" s="88" t="s">
        <v>285</v>
      </c>
      <c r="AP9" s="85" t="b">
        <v>0</v>
      </c>
      <c r="AQ9" s="88" t="s">
        <v>262</v>
      </c>
      <c r="AR9" s="85" t="s">
        <v>176</v>
      </c>
      <c r="AS9" s="85">
        <v>0</v>
      </c>
      <c r="AT9" s="85">
        <v>0</v>
      </c>
      <c r="AU9" s="85"/>
      <c r="AV9" s="85"/>
      <c r="AW9" s="85"/>
      <c r="AX9" s="85"/>
      <c r="AY9" s="85"/>
      <c r="AZ9" s="85"/>
      <c r="BA9" s="85"/>
      <c r="BB9" s="85"/>
      <c r="BC9">
        <v>1</v>
      </c>
      <c r="BD9" s="84" t="str">
        <f>REPLACE(INDEX(GroupVertices[Group],MATCH(Edges11[[#This Row],[Vertex 1]],GroupVertices[Vertex],0)),1,1,"")</f>
        <v>8</v>
      </c>
      <c r="BE9" s="84" t="str">
        <f>REPLACE(INDEX(GroupVertices[Group],MATCH(Edges11[[#This Row],[Vertex 2]],GroupVertices[Vertex],0)),1,1,"")</f>
        <v>8</v>
      </c>
    </row>
    <row r="10" spans="1:57" ht="15">
      <c r="A10" s="83" t="s">
        <v>219</v>
      </c>
      <c r="B10" s="83" t="s">
        <v>221</v>
      </c>
      <c r="C10" s="54"/>
      <c r="D10" s="55"/>
      <c r="E10" s="67"/>
      <c r="F10" s="56"/>
      <c r="G10" s="54"/>
      <c r="H10" s="58"/>
      <c r="I10" s="57"/>
      <c r="J10" s="57"/>
      <c r="K10" s="36" t="s">
        <v>65</v>
      </c>
      <c r="L10" s="82">
        <v>10</v>
      </c>
      <c r="M10" s="82"/>
      <c r="N10" s="64"/>
      <c r="O10" s="85" t="s">
        <v>232</v>
      </c>
      <c r="P10" s="87">
        <v>44605.67340277778</v>
      </c>
      <c r="Q10" s="85" t="s">
        <v>240</v>
      </c>
      <c r="R10" s="85"/>
      <c r="S10" s="85"/>
      <c r="T10" s="85"/>
      <c r="U10" s="85"/>
      <c r="V10" s="89" t="str">
        <f>HYPERLINK("http://pbs.twimg.com/profile_images/1248961169672593410/FKNL1ElZ_normal.jpg")</f>
        <v>http://pbs.twimg.com/profile_images/1248961169672593410/FKNL1ElZ_normal.jpg</v>
      </c>
      <c r="W10" s="87">
        <v>44605.67340277778</v>
      </c>
      <c r="X10" s="92">
        <v>44605</v>
      </c>
      <c r="Y10" s="88" t="s">
        <v>252</v>
      </c>
      <c r="Z10" s="89" t="str">
        <f>HYPERLINK("https://twitter.com/#!/ansch_1/status/1492893754851840004")</f>
        <v>https://twitter.com/#!/ansch_1/status/1492893754851840004</v>
      </c>
      <c r="AA10" s="85"/>
      <c r="AB10" s="85"/>
      <c r="AC10" s="88" t="s">
        <v>263</v>
      </c>
      <c r="AD10" s="85"/>
      <c r="AE10" s="85" t="b">
        <v>0</v>
      </c>
      <c r="AF10" s="85">
        <v>0</v>
      </c>
      <c r="AG10" s="88" t="s">
        <v>274</v>
      </c>
      <c r="AH10" s="85" t="b">
        <v>0</v>
      </c>
      <c r="AI10" s="85" t="s">
        <v>280</v>
      </c>
      <c r="AJ10" s="85"/>
      <c r="AK10" s="88" t="s">
        <v>274</v>
      </c>
      <c r="AL10" s="85" t="b">
        <v>0</v>
      </c>
      <c r="AM10" s="85">
        <v>1</v>
      </c>
      <c r="AN10" s="88" t="s">
        <v>265</v>
      </c>
      <c r="AO10" s="88" t="s">
        <v>284</v>
      </c>
      <c r="AP10" s="85" t="b">
        <v>0</v>
      </c>
      <c r="AQ10" s="88" t="s">
        <v>265</v>
      </c>
      <c r="AR10" s="85" t="s">
        <v>176</v>
      </c>
      <c r="AS10" s="85">
        <v>0</v>
      </c>
      <c r="AT10" s="85">
        <v>0</v>
      </c>
      <c r="AU10" s="85"/>
      <c r="AV10" s="85"/>
      <c r="AW10" s="85"/>
      <c r="AX10" s="85"/>
      <c r="AY10" s="85"/>
      <c r="AZ10" s="85"/>
      <c r="BA10" s="85"/>
      <c r="BB10" s="85"/>
      <c r="BC10">
        <v>1</v>
      </c>
      <c r="BD10" s="84" t="str">
        <f>REPLACE(INDEX(GroupVertices[Group],MATCH(Edges11[[#This Row],[Vertex 1]],GroupVertices[Vertex],0)),1,1,"")</f>
        <v>2</v>
      </c>
      <c r="BE10" s="84" t="str">
        <f>REPLACE(INDEX(GroupVertices[Group],MATCH(Edges11[[#This Row],[Vertex 2]],GroupVertices[Vertex],0)),1,1,"")</f>
        <v>2</v>
      </c>
    </row>
    <row r="11" spans="1:57" ht="15">
      <c r="A11" s="83" t="s">
        <v>219</v>
      </c>
      <c r="B11" s="83" t="s">
        <v>221</v>
      </c>
      <c r="C11" s="54"/>
      <c r="D11" s="55"/>
      <c r="E11" s="67"/>
      <c r="F11" s="56"/>
      <c r="G11" s="54"/>
      <c r="H11" s="58"/>
      <c r="I11" s="57"/>
      <c r="J11" s="57"/>
      <c r="K11" s="36" t="s">
        <v>65</v>
      </c>
      <c r="L11" s="82">
        <v>11</v>
      </c>
      <c r="M11" s="82"/>
      <c r="N11" s="64"/>
      <c r="O11" s="85" t="s">
        <v>233</v>
      </c>
      <c r="P11" s="87">
        <v>44605.67340277778</v>
      </c>
      <c r="Q11" s="85" t="s">
        <v>240</v>
      </c>
      <c r="R11" s="85"/>
      <c r="S11" s="85"/>
      <c r="T11" s="85"/>
      <c r="U11" s="85"/>
      <c r="V11" s="89" t="str">
        <f>HYPERLINK("http://pbs.twimg.com/profile_images/1248961169672593410/FKNL1ElZ_normal.jpg")</f>
        <v>http://pbs.twimg.com/profile_images/1248961169672593410/FKNL1ElZ_normal.jpg</v>
      </c>
      <c r="W11" s="87">
        <v>44605.67340277778</v>
      </c>
      <c r="X11" s="92">
        <v>44605</v>
      </c>
      <c r="Y11" s="88" t="s">
        <v>252</v>
      </c>
      <c r="Z11" s="89" t="str">
        <f>HYPERLINK("https://twitter.com/#!/ansch_1/status/1492893754851840004")</f>
        <v>https://twitter.com/#!/ansch_1/status/1492893754851840004</v>
      </c>
      <c r="AA11" s="85"/>
      <c r="AB11" s="85"/>
      <c r="AC11" s="88" t="s">
        <v>263</v>
      </c>
      <c r="AD11" s="85"/>
      <c r="AE11" s="85" t="b">
        <v>0</v>
      </c>
      <c r="AF11" s="85">
        <v>0</v>
      </c>
      <c r="AG11" s="88" t="s">
        <v>274</v>
      </c>
      <c r="AH11" s="85" t="b">
        <v>0</v>
      </c>
      <c r="AI11" s="85" t="s">
        <v>280</v>
      </c>
      <c r="AJ11" s="85"/>
      <c r="AK11" s="88" t="s">
        <v>274</v>
      </c>
      <c r="AL11" s="85" t="b">
        <v>0</v>
      </c>
      <c r="AM11" s="85">
        <v>1</v>
      </c>
      <c r="AN11" s="88" t="s">
        <v>265</v>
      </c>
      <c r="AO11" s="88" t="s">
        <v>284</v>
      </c>
      <c r="AP11" s="85" t="b">
        <v>0</v>
      </c>
      <c r="AQ11" s="88" t="s">
        <v>265</v>
      </c>
      <c r="AR11" s="85" t="s">
        <v>176</v>
      </c>
      <c r="AS11" s="85">
        <v>0</v>
      </c>
      <c r="AT11" s="85">
        <v>0</v>
      </c>
      <c r="AU11" s="85"/>
      <c r="AV11" s="85"/>
      <c r="AW11" s="85"/>
      <c r="AX11" s="85"/>
      <c r="AY11" s="85"/>
      <c r="AZ11" s="85"/>
      <c r="BA11" s="85"/>
      <c r="BB11" s="85"/>
      <c r="BC11">
        <v>1</v>
      </c>
      <c r="BD11" s="84" t="str">
        <f>REPLACE(INDEX(GroupVertices[Group],MATCH(Edges11[[#This Row],[Vertex 1]],GroupVertices[Vertex],0)),1,1,"")</f>
        <v>2</v>
      </c>
      <c r="BE11" s="84" t="str">
        <f>REPLACE(INDEX(GroupVertices[Group],MATCH(Edges11[[#This Row],[Vertex 2]],GroupVertices[Vertex],0)),1,1,"")</f>
        <v>2</v>
      </c>
    </row>
    <row r="12" spans="1:57" ht="15">
      <c r="A12" s="83" t="s">
        <v>220</v>
      </c>
      <c r="B12" s="83" t="s">
        <v>227</v>
      </c>
      <c r="C12" s="54"/>
      <c r="D12" s="55"/>
      <c r="E12" s="67"/>
      <c r="F12" s="56"/>
      <c r="G12" s="54"/>
      <c r="H12" s="58"/>
      <c r="I12" s="57"/>
      <c r="J12" s="57"/>
      <c r="K12" s="36" t="s">
        <v>65</v>
      </c>
      <c r="L12" s="82">
        <v>12</v>
      </c>
      <c r="M12" s="82"/>
      <c r="N12" s="64"/>
      <c r="O12" s="85" t="s">
        <v>231</v>
      </c>
      <c r="P12" s="87">
        <v>44606.0327662037</v>
      </c>
      <c r="Q12" s="85" t="s">
        <v>241</v>
      </c>
      <c r="R12" s="85"/>
      <c r="S12" s="85"/>
      <c r="T12" s="85"/>
      <c r="U12" s="85"/>
      <c r="V12" s="89" t="str">
        <f>HYPERLINK("http://pbs.twimg.com/profile_images/1490135948801290245/N-xhuIvN_normal.jpg")</f>
        <v>http://pbs.twimg.com/profile_images/1490135948801290245/N-xhuIvN_normal.jpg</v>
      </c>
      <c r="W12" s="87">
        <v>44606.0327662037</v>
      </c>
      <c r="X12" s="92">
        <v>44606</v>
      </c>
      <c r="Y12" s="88" t="s">
        <v>253</v>
      </c>
      <c r="Z12" s="89" t="str">
        <f>HYPERLINK("https://twitter.com/#!/milss_00/status/1493023984434266112")</f>
        <v>https://twitter.com/#!/milss_00/status/1493023984434266112</v>
      </c>
      <c r="AA12" s="85"/>
      <c r="AB12" s="85"/>
      <c r="AC12" s="88" t="s">
        <v>264</v>
      </c>
      <c r="AD12" s="88" t="s">
        <v>271</v>
      </c>
      <c r="AE12" s="85" t="b">
        <v>0</v>
      </c>
      <c r="AF12" s="85">
        <v>0</v>
      </c>
      <c r="AG12" s="88" t="s">
        <v>276</v>
      </c>
      <c r="AH12" s="85" t="b">
        <v>0</v>
      </c>
      <c r="AI12" s="85" t="s">
        <v>282</v>
      </c>
      <c r="AJ12" s="85"/>
      <c r="AK12" s="88" t="s">
        <v>274</v>
      </c>
      <c r="AL12" s="85" t="b">
        <v>0</v>
      </c>
      <c r="AM12" s="85">
        <v>0</v>
      </c>
      <c r="AN12" s="88" t="s">
        <v>274</v>
      </c>
      <c r="AO12" s="88" t="s">
        <v>283</v>
      </c>
      <c r="AP12" s="85" t="b">
        <v>0</v>
      </c>
      <c r="AQ12" s="88" t="s">
        <v>271</v>
      </c>
      <c r="AR12" s="85" t="s">
        <v>176</v>
      </c>
      <c r="AS12" s="85">
        <v>0</v>
      </c>
      <c r="AT12" s="85">
        <v>0</v>
      </c>
      <c r="AU12" s="85"/>
      <c r="AV12" s="85"/>
      <c r="AW12" s="85"/>
      <c r="AX12" s="85"/>
      <c r="AY12" s="85"/>
      <c r="AZ12" s="85"/>
      <c r="BA12" s="85"/>
      <c r="BB12" s="85"/>
      <c r="BC12">
        <v>1</v>
      </c>
      <c r="BD12" s="84" t="str">
        <f>REPLACE(INDEX(GroupVertices[Group],MATCH(Edges11[[#This Row],[Vertex 1]],GroupVertices[Vertex],0)),1,1,"")</f>
        <v>3</v>
      </c>
      <c r="BE12" s="84" t="str">
        <f>REPLACE(INDEX(GroupVertices[Group],MATCH(Edges11[[#This Row],[Vertex 2]],GroupVertices[Vertex],0)),1,1,"")</f>
        <v>3</v>
      </c>
    </row>
    <row r="13" spans="1:57" ht="15">
      <c r="A13" s="83" t="s">
        <v>221</v>
      </c>
      <c r="B13" s="83" t="s">
        <v>221</v>
      </c>
      <c r="C13" s="54"/>
      <c r="D13" s="55"/>
      <c r="E13" s="67"/>
      <c r="F13" s="56"/>
      <c r="G13" s="54"/>
      <c r="H13" s="58"/>
      <c r="I13" s="57"/>
      <c r="J13" s="57"/>
      <c r="K13" s="36" t="s">
        <v>65</v>
      </c>
      <c r="L13" s="82">
        <v>13</v>
      </c>
      <c r="M13" s="82"/>
      <c r="N13" s="64"/>
      <c r="O13" s="85" t="s">
        <v>176</v>
      </c>
      <c r="P13" s="87">
        <v>44605.66247685185</v>
      </c>
      <c r="Q13" s="85" t="s">
        <v>242</v>
      </c>
      <c r="R13" s="85"/>
      <c r="S13" s="85"/>
      <c r="T13" s="85"/>
      <c r="U13" s="89" t="str">
        <f>HYPERLINK("https://pbs.twimg.com/media/FLfPVfzXsAEKIjt.jpg")</f>
        <v>https://pbs.twimg.com/media/FLfPVfzXsAEKIjt.jpg</v>
      </c>
      <c r="V13" s="89" t="str">
        <f>HYPERLINK("https://pbs.twimg.com/media/FLfPVfzXsAEKIjt.jpg")</f>
        <v>https://pbs.twimg.com/media/FLfPVfzXsAEKIjt.jpg</v>
      </c>
      <c r="W13" s="87">
        <v>44605.66247685185</v>
      </c>
      <c r="X13" s="92">
        <v>44605</v>
      </c>
      <c r="Y13" s="88" t="s">
        <v>254</v>
      </c>
      <c r="Z13" s="89" t="str">
        <f>HYPERLINK("https://twitter.com/#!/palmyrenevoices/status/1492889796414476290")</f>
        <v>https://twitter.com/#!/palmyrenevoices/status/1492889796414476290</v>
      </c>
      <c r="AA13" s="85"/>
      <c r="AB13" s="85"/>
      <c r="AC13" s="88" t="s">
        <v>265</v>
      </c>
      <c r="AD13" s="85"/>
      <c r="AE13" s="85" t="b">
        <v>0</v>
      </c>
      <c r="AF13" s="85">
        <v>0</v>
      </c>
      <c r="AG13" s="88" t="s">
        <v>274</v>
      </c>
      <c r="AH13" s="85" t="b">
        <v>0</v>
      </c>
      <c r="AI13" s="85" t="s">
        <v>280</v>
      </c>
      <c r="AJ13" s="85"/>
      <c r="AK13" s="88" t="s">
        <v>274</v>
      </c>
      <c r="AL13" s="85" t="b">
        <v>0</v>
      </c>
      <c r="AM13" s="85">
        <v>1</v>
      </c>
      <c r="AN13" s="88" t="s">
        <v>274</v>
      </c>
      <c r="AO13" s="88" t="s">
        <v>284</v>
      </c>
      <c r="AP13" s="85" t="b">
        <v>0</v>
      </c>
      <c r="AQ13" s="88" t="s">
        <v>265</v>
      </c>
      <c r="AR13" s="85" t="s">
        <v>176</v>
      </c>
      <c r="AS13" s="85">
        <v>0</v>
      </c>
      <c r="AT13" s="85">
        <v>0</v>
      </c>
      <c r="AU13" s="85"/>
      <c r="AV13" s="85"/>
      <c r="AW13" s="85"/>
      <c r="AX13" s="85"/>
      <c r="AY13" s="85"/>
      <c r="AZ13" s="85"/>
      <c r="BA13" s="85"/>
      <c r="BB13" s="85"/>
      <c r="BC13">
        <v>1</v>
      </c>
      <c r="BD13" s="84" t="str">
        <f>REPLACE(INDEX(GroupVertices[Group],MATCH(Edges11[[#This Row],[Vertex 1]],GroupVertices[Vertex],0)),1,1,"")</f>
        <v>2</v>
      </c>
      <c r="BE13" s="84" t="str">
        <f>REPLACE(INDEX(GroupVertices[Group],MATCH(Edges11[[#This Row],[Vertex 2]],GroupVertices[Vertex],0)),1,1,"")</f>
        <v>2</v>
      </c>
    </row>
    <row r="14" spans="1:57" ht="15">
      <c r="A14" s="83" t="s">
        <v>222</v>
      </c>
      <c r="B14" s="83" t="s">
        <v>221</v>
      </c>
      <c r="C14" s="54"/>
      <c r="D14" s="55"/>
      <c r="E14" s="67"/>
      <c r="F14" s="56"/>
      <c r="G14" s="54"/>
      <c r="H14" s="58"/>
      <c r="I14" s="57"/>
      <c r="J14" s="57"/>
      <c r="K14" s="36" t="s">
        <v>65</v>
      </c>
      <c r="L14" s="82">
        <v>14</v>
      </c>
      <c r="M14" s="82"/>
      <c r="N14" s="64"/>
      <c r="O14" s="85" t="s">
        <v>232</v>
      </c>
      <c r="P14" s="87">
        <v>44606.428090277775</v>
      </c>
      <c r="Q14" s="85" t="s">
        <v>240</v>
      </c>
      <c r="R14" s="85"/>
      <c r="S14" s="85"/>
      <c r="T14" s="85"/>
      <c r="U14" s="85"/>
      <c r="V14" s="89" t="str">
        <f>HYPERLINK("http://pbs.twimg.com/profile_images/1469402431398289425/hu9wRH3w_normal.jpg")</f>
        <v>http://pbs.twimg.com/profile_images/1469402431398289425/hu9wRH3w_normal.jpg</v>
      </c>
      <c r="W14" s="87">
        <v>44606.428090277775</v>
      </c>
      <c r="X14" s="92">
        <v>44606</v>
      </c>
      <c r="Y14" s="88" t="s">
        <v>255</v>
      </c>
      <c r="Z14" s="89" t="str">
        <f>HYPERLINK("https://twitter.com/#!/heritage4peace/status/1493167246478299139")</f>
        <v>https://twitter.com/#!/heritage4peace/status/1493167246478299139</v>
      </c>
      <c r="AA14" s="85"/>
      <c r="AB14" s="85"/>
      <c r="AC14" s="88" t="s">
        <v>266</v>
      </c>
      <c r="AD14" s="85"/>
      <c r="AE14" s="85" t="b">
        <v>0</v>
      </c>
      <c r="AF14" s="85">
        <v>0</v>
      </c>
      <c r="AG14" s="88" t="s">
        <v>274</v>
      </c>
      <c r="AH14" s="85" t="b">
        <v>0</v>
      </c>
      <c r="AI14" s="85" t="s">
        <v>280</v>
      </c>
      <c r="AJ14" s="85"/>
      <c r="AK14" s="88" t="s">
        <v>274</v>
      </c>
      <c r="AL14" s="85" t="b">
        <v>0</v>
      </c>
      <c r="AM14" s="85">
        <v>2</v>
      </c>
      <c r="AN14" s="88" t="s">
        <v>265</v>
      </c>
      <c r="AO14" s="88" t="s">
        <v>284</v>
      </c>
      <c r="AP14" s="85" t="b">
        <v>0</v>
      </c>
      <c r="AQ14" s="88" t="s">
        <v>265</v>
      </c>
      <c r="AR14" s="85" t="s">
        <v>176</v>
      </c>
      <c r="AS14" s="85">
        <v>0</v>
      </c>
      <c r="AT14" s="85">
        <v>0</v>
      </c>
      <c r="AU14" s="85"/>
      <c r="AV14" s="85"/>
      <c r="AW14" s="85"/>
      <c r="AX14" s="85"/>
      <c r="AY14" s="85"/>
      <c r="AZ14" s="85"/>
      <c r="BA14" s="85"/>
      <c r="BB14" s="85"/>
      <c r="BC14">
        <v>1</v>
      </c>
      <c r="BD14" s="84" t="str">
        <f>REPLACE(INDEX(GroupVertices[Group],MATCH(Edges11[[#This Row],[Vertex 1]],GroupVertices[Vertex],0)),1,1,"")</f>
        <v>2</v>
      </c>
      <c r="BE14" s="84" t="str">
        <f>REPLACE(INDEX(GroupVertices[Group],MATCH(Edges11[[#This Row],[Vertex 2]],GroupVertices[Vertex],0)),1,1,"")</f>
        <v>2</v>
      </c>
    </row>
    <row r="15" spans="1:57" ht="15">
      <c r="A15" s="83" t="s">
        <v>222</v>
      </c>
      <c r="B15" s="83" t="s">
        <v>221</v>
      </c>
      <c r="C15" s="54"/>
      <c r="D15" s="55"/>
      <c r="E15" s="67"/>
      <c r="F15" s="56"/>
      <c r="G15" s="54"/>
      <c r="H15" s="58"/>
      <c r="I15" s="57"/>
      <c r="J15" s="57"/>
      <c r="K15" s="36" t="s">
        <v>65</v>
      </c>
      <c r="L15" s="82">
        <v>15</v>
      </c>
      <c r="M15" s="82"/>
      <c r="N15" s="64"/>
      <c r="O15" s="85" t="s">
        <v>233</v>
      </c>
      <c r="P15" s="87">
        <v>44606.428090277775</v>
      </c>
      <c r="Q15" s="85" t="s">
        <v>240</v>
      </c>
      <c r="R15" s="85"/>
      <c r="S15" s="85"/>
      <c r="T15" s="85"/>
      <c r="U15" s="85"/>
      <c r="V15" s="89" t="str">
        <f>HYPERLINK("http://pbs.twimg.com/profile_images/1469402431398289425/hu9wRH3w_normal.jpg")</f>
        <v>http://pbs.twimg.com/profile_images/1469402431398289425/hu9wRH3w_normal.jpg</v>
      </c>
      <c r="W15" s="87">
        <v>44606.428090277775</v>
      </c>
      <c r="X15" s="92">
        <v>44606</v>
      </c>
      <c r="Y15" s="88" t="s">
        <v>255</v>
      </c>
      <c r="Z15" s="89" t="str">
        <f>HYPERLINK("https://twitter.com/#!/heritage4peace/status/1493167246478299139")</f>
        <v>https://twitter.com/#!/heritage4peace/status/1493167246478299139</v>
      </c>
      <c r="AA15" s="85"/>
      <c r="AB15" s="85"/>
      <c r="AC15" s="88" t="s">
        <v>266</v>
      </c>
      <c r="AD15" s="85"/>
      <c r="AE15" s="85" t="b">
        <v>0</v>
      </c>
      <c r="AF15" s="85">
        <v>0</v>
      </c>
      <c r="AG15" s="88" t="s">
        <v>274</v>
      </c>
      <c r="AH15" s="85" t="b">
        <v>0</v>
      </c>
      <c r="AI15" s="85" t="s">
        <v>280</v>
      </c>
      <c r="AJ15" s="85"/>
      <c r="AK15" s="88" t="s">
        <v>274</v>
      </c>
      <c r="AL15" s="85" t="b">
        <v>0</v>
      </c>
      <c r="AM15" s="85">
        <v>2</v>
      </c>
      <c r="AN15" s="88" t="s">
        <v>265</v>
      </c>
      <c r="AO15" s="88" t="s">
        <v>284</v>
      </c>
      <c r="AP15" s="85" t="b">
        <v>0</v>
      </c>
      <c r="AQ15" s="88" t="s">
        <v>265</v>
      </c>
      <c r="AR15" s="85" t="s">
        <v>176</v>
      </c>
      <c r="AS15" s="85">
        <v>0</v>
      </c>
      <c r="AT15" s="85">
        <v>0</v>
      </c>
      <c r="AU15" s="85"/>
      <c r="AV15" s="85"/>
      <c r="AW15" s="85"/>
      <c r="AX15" s="85"/>
      <c r="AY15" s="85"/>
      <c r="AZ15" s="85"/>
      <c r="BA15" s="85"/>
      <c r="BB15" s="85"/>
      <c r="BC15">
        <v>1</v>
      </c>
      <c r="BD15" s="84" t="str">
        <f>REPLACE(INDEX(GroupVertices[Group],MATCH(Edges11[[#This Row],[Vertex 1]],GroupVertices[Vertex],0)),1,1,"")</f>
        <v>2</v>
      </c>
      <c r="BE15" s="84" t="str">
        <f>REPLACE(INDEX(GroupVertices[Group],MATCH(Edges11[[#This Row],[Vertex 2]],GroupVertices[Vertex],0)),1,1,"")</f>
        <v>2</v>
      </c>
    </row>
    <row r="16" spans="1:57" ht="15">
      <c r="A16" s="83" t="s">
        <v>223</v>
      </c>
      <c r="B16" s="83" t="s">
        <v>228</v>
      </c>
      <c r="C16" s="54"/>
      <c r="D16" s="55"/>
      <c r="E16" s="67"/>
      <c r="F16" s="56"/>
      <c r="G16" s="54"/>
      <c r="H16" s="58"/>
      <c r="I16" s="57"/>
      <c r="J16" s="57"/>
      <c r="K16" s="36" t="s">
        <v>65</v>
      </c>
      <c r="L16" s="82">
        <v>16</v>
      </c>
      <c r="M16" s="82"/>
      <c r="N16" s="64"/>
      <c r="O16" s="85" t="s">
        <v>234</v>
      </c>
      <c r="P16" s="87">
        <v>44607.494988425926</v>
      </c>
      <c r="Q16" s="85" t="s">
        <v>243</v>
      </c>
      <c r="R16" s="85"/>
      <c r="S16" s="85"/>
      <c r="T16" s="85"/>
      <c r="U16" s="85"/>
      <c r="V16" s="89" t="str">
        <f>HYPERLINK("http://pbs.twimg.com/profile_images/1488165446880993280/v2xV3Ie7_normal.jpg")</f>
        <v>http://pbs.twimg.com/profile_images/1488165446880993280/v2xV3Ie7_normal.jpg</v>
      </c>
      <c r="W16" s="87">
        <v>44607.494988425926</v>
      </c>
      <c r="X16" s="92">
        <v>44607</v>
      </c>
      <c r="Y16" s="88" t="s">
        <v>256</v>
      </c>
      <c r="Z16" s="89" t="str">
        <f>HYPERLINK("https://twitter.com/#!/moondeleine/status/1493553873784815617")</f>
        <v>https://twitter.com/#!/moondeleine/status/1493553873784815617</v>
      </c>
      <c r="AA16" s="85"/>
      <c r="AB16" s="85"/>
      <c r="AC16" s="88" t="s">
        <v>267</v>
      </c>
      <c r="AD16" s="88" t="s">
        <v>272</v>
      </c>
      <c r="AE16" s="85" t="b">
        <v>0</v>
      </c>
      <c r="AF16" s="85">
        <v>0</v>
      </c>
      <c r="AG16" s="88" t="s">
        <v>277</v>
      </c>
      <c r="AH16" s="85" t="b">
        <v>0</v>
      </c>
      <c r="AI16" s="85" t="s">
        <v>281</v>
      </c>
      <c r="AJ16" s="85"/>
      <c r="AK16" s="88" t="s">
        <v>274</v>
      </c>
      <c r="AL16" s="85" t="b">
        <v>0</v>
      </c>
      <c r="AM16" s="85">
        <v>0</v>
      </c>
      <c r="AN16" s="88" t="s">
        <v>274</v>
      </c>
      <c r="AO16" s="88" t="s">
        <v>283</v>
      </c>
      <c r="AP16" s="85" t="b">
        <v>0</v>
      </c>
      <c r="AQ16" s="88" t="s">
        <v>272</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223</v>
      </c>
      <c r="B17" s="83" t="s">
        <v>229</v>
      </c>
      <c r="C17" s="54"/>
      <c r="D17" s="55"/>
      <c r="E17" s="67"/>
      <c r="F17" s="56"/>
      <c r="G17" s="54"/>
      <c r="H17" s="58"/>
      <c r="I17" s="57"/>
      <c r="J17" s="57"/>
      <c r="K17" s="36" t="s">
        <v>65</v>
      </c>
      <c r="L17" s="82">
        <v>17</v>
      </c>
      <c r="M17" s="82"/>
      <c r="N17" s="64"/>
      <c r="O17" s="85" t="s">
        <v>231</v>
      </c>
      <c r="P17" s="87">
        <v>44607.494988425926</v>
      </c>
      <c r="Q17" s="85" t="s">
        <v>243</v>
      </c>
      <c r="R17" s="85"/>
      <c r="S17" s="85"/>
      <c r="T17" s="85"/>
      <c r="U17" s="85"/>
      <c r="V17" s="89" t="str">
        <f>HYPERLINK("http://pbs.twimg.com/profile_images/1488165446880993280/v2xV3Ie7_normal.jpg")</f>
        <v>http://pbs.twimg.com/profile_images/1488165446880993280/v2xV3Ie7_normal.jpg</v>
      </c>
      <c r="W17" s="87">
        <v>44607.494988425926</v>
      </c>
      <c r="X17" s="92">
        <v>44607</v>
      </c>
      <c r="Y17" s="88" t="s">
        <v>256</v>
      </c>
      <c r="Z17" s="89" t="str">
        <f>HYPERLINK("https://twitter.com/#!/moondeleine/status/1493553873784815617")</f>
        <v>https://twitter.com/#!/moondeleine/status/1493553873784815617</v>
      </c>
      <c r="AA17" s="85"/>
      <c r="AB17" s="85"/>
      <c r="AC17" s="88" t="s">
        <v>267</v>
      </c>
      <c r="AD17" s="88" t="s">
        <v>272</v>
      </c>
      <c r="AE17" s="85" t="b">
        <v>0</v>
      </c>
      <c r="AF17" s="85">
        <v>0</v>
      </c>
      <c r="AG17" s="88" t="s">
        <v>277</v>
      </c>
      <c r="AH17" s="85" t="b">
        <v>0</v>
      </c>
      <c r="AI17" s="85" t="s">
        <v>281</v>
      </c>
      <c r="AJ17" s="85"/>
      <c r="AK17" s="88" t="s">
        <v>274</v>
      </c>
      <c r="AL17" s="85" t="b">
        <v>0</v>
      </c>
      <c r="AM17" s="85">
        <v>0</v>
      </c>
      <c r="AN17" s="88" t="s">
        <v>274</v>
      </c>
      <c r="AO17" s="88" t="s">
        <v>283</v>
      </c>
      <c r="AP17" s="85" t="b">
        <v>0</v>
      </c>
      <c r="AQ17" s="88" t="s">
        <v>272</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446</v>
      </c>
    </row>
    <row r="24" spans="10:11" ht="409.5">
      <c r="J24" t="s">
        <v>415</v>
      </c>
      <c r="K24" s="13" t="s">
        <v>445</v>
      </c>
    </row>
    <row r="25" spans="10:11" ht="15">
      <c r="J25" t="s">
        <v>416</v>
      </c>
      <c r="K25" t="b">
        <v>0</v>
      </c>
    </row>
    <row r="26" spans="10:11" ht="15">
      <c r="J26" t="s">
        <v>443</v>
      </c>
      <c r="K26" t="s">
        <v>444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440</v>
      </c>
      <c r="B25" t="s">
        <v>439</v>
      </c>
    </row>
    <row r="26" spans="1:2" ht="15">
      <c r="A26" s="123">
        <v>44599.48777777778</v>
      </c>
      <c r="B26" s="3">
        <v>1</v>
      </c>
    </row>
    <row r="27" spans="1:2" ht="15">
      <c r="A27" s="123">
        <v>44600.79153935185</v>
      </c>
      <c r="B27" s="3">
        <v>1</v>
      </c>
    </row>
    <row r="28" spans="1:2" ht="15">
      <c r="A28" s="123">
        <v>44601.26559027778</v>
      </c>
      <c r="B28" s="3">
        <v>1</v>
      </c>
    </row>
    <row r="29" spans="1:2" ht="15">
      <c r="A29" s="123">
        <v>44601.357986111114</v>
      </c>
      <c r="B29" s="3">
        <v>2</v>
      </c>
    </row>
    <row r="30" spans="1:2" ht="15">
      <c r="A30" s="123">
        <v>44601.750601851854</v>
      </c>
      <c r="B30" s="3">
        <v>1</v>
      </c>
    </row>
    <row r="31" spans="1:2" ht="15">
      <c r="A31" s="123">
        <v>44602.747465277775</v>
      </c>
      <c r="B31" s="3">
        <v>1</v>
      </c>
    </row>
    <row r="32" spans="1:2" ht="15">
      <c r="A32" s="123">
        <v>44605.66247685185</v>
      </c>
      <c r="B32" s="3">
        <v>1</v>
      </c>
    </row>
    <row r="33" spans="1:2" ht="15">
      <c r="A33" s="123">
        <v>44605.67340277778</v>
      </c>
      <c r="B33" s="3">
        <v>2</v>
      </c>
    </row>
    <row r="34" spans="1:2" ht="15">
      <c r="A34" s="123">
        <v>44606.0327662037</v>
      </c>
      <c r="B34" s="3">
        <v>1</v>
      </c>
    </row>
    <row r="35" spans="1:2" ht="15">
      <c r="A35" s="123">
        <v>44606.428090277775</v>
      </c>
      <c r="B35" s="3">
        <v>2</v>
      </c>
    </row>
    <row r="36" spans="1:2" ht="15">
      <c r="A36" s="123">
        <v>44607.494988425926</v>
      </c>
      <c r="B36" s="3">
        <v>2</v>
      </c>
    </row>
    <row r="37" spans="1:2" ht="15">
      <c r="A37" s="123" t="s">
        <v>441</v>
      </c>
      <c r="B37"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2022-02-20T16:09:20Z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