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24" yWindow="744" windowWidth="23016" windowHeight="1221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<sst xmlns="http://schemas.openxmlformats.org/spreadsheetml/2006/main" count="29550" uniqueCount="4432">
  <si>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</si>
  <si>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</si>
  <si>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</si>
  <si>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</si>
  <si>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</si>
  <si>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</si>
  <si>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</si>
  <si>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</si>
  <si>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</si>
  <si>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</si>
  <si>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</si>
  <si>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</si>
  <si>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</si>
  <si>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</si>
  <si>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</si>
  <si>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</si>
  <si>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</si>
  <si>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</si>
  <si>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</si>
  <si>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</si>
  <si>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</si>
  <si>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</si>
  <si>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</si>
  <si>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</si>
  <si>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</si>
  <si>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</si>
  <si>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</si>
  <si>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</si>
  <si>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</si>
  <si>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</si>
  <si>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</si>
  <si>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</si>
  <si>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</si>
  <si>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</si>
  <si>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</si>
  <si>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</si>
  <si>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</si>
  <si>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</si>
  <si>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</si>
  <si>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</si>
  <si>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</si>
  <si>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</si>
  <si>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</si>
  <si>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</si>
  <si>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</si>
  <si>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</si>
  <si>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</si>
  <si>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</si>
  <si>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</si>
  <si>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</si>
  <si>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</si>
  <si>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</si>
  <si>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</si>
  <si>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</si>
  <si>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</si>
  <si>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</si>
  <si>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</si>
  <si>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</si>
  <si>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</si>
  <si>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</si>
  <si>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</si>
  <si>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</si>
  <si>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</si>
  <si>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</si>
  <si>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</si>
  <si>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</si>
  <si>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</si>
  <si>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</si>
  <si>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</si>
  <si>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</si>
  <si>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</si>
  <si>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</si>
  <si>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</si>
  <si>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</si>
  <si>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</si>
  <si>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</si>
  <si>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</si>
  <si>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</si>
  <si>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</si>
  <si>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</si>
  <si>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</si>
  <si>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</si>
  <si>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</si>
  <si>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</si>
  <si>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</si>
  <si>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</si>
  <si>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</si>
  <si>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</si>
  <si>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</si>
  <si>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</si>
  <si>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</si>
  <si>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</si>
  <si>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</si>
  <si>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</si>
  <si>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</si>
  <si>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</si>
  <si>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</si>
  <si>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</si>
  <si>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</si>
  <si>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</si>
  <si>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</si>
  <si>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</si>
  <si>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</si>
  <si>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</si>
  <si>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</si>
  <si>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</si>
  <si>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</si>
  <si>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</si>
  <si>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</si>
  <si>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</si>
  <si>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</si>
  <si>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</si>
  <si>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</si>
  <si>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</si>
  <si>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</si>
  <si>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</si>
  <si>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</si>
  <si>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</si>
  <si>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</si>
  <si>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</si>
  <si>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</si>
  <si>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</si>
  <si>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</si>
  <si>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</si>
  <si>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</si>
  <si>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</si>
  <si>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</si>
  <si>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</si>
  <si>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</si>
  <si>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</si>
  <si>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</si>
  <si>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</si>
  <si>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</si>
  <si>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</si>
  <si>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</si>
  <si>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</si>
  <si>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</si>
  <si>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</si>
  <si>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</si>
  <si>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</si>
  <si>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</si>
  <si>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</si>
  <si>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</si>
  <si>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</si>
  <si>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</si>
  <si>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</si>
  <si>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</si>
  <si>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</si>
  <si>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</si>
  <si>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</si>
  <si>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</si>
  <si>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</si>
  <si>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</si>
  <si>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</si>
  <si>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</si>
  <si>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</si>
  <si>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</si>
  <si>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</si>
  <si>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</si>
  <si>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</si>
  <si>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</si>
  <si>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</si>
  <si>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</si>
  <si>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</si>
  <si>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</si>
  <si>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</si>
  <si>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</si>
  <si>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</si>
  <si>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</si>
  <si>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</si>
  <si>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</si>
  <si>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</si>
  <si>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</si>
  <si>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</si>
  <si>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</si>
  <si>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</si>
  <si>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</si>
  <si>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</si>
  <si>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</si>
  <si>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</si>
  <si>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</si>
  <si>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</si>
  <si>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</si>
  <si>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</si>
  <si>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</si>
  <si>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</si>
  <si>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</si>
  <si>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</si>
  <si>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</si>
  <si>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</si>
  <si>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</si>
  <si>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</si>
  <si>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</si>
  <si>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</si>
  <si>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</si>
  <si>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</si>
  <si>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</si>
  <si>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</si>
  <si>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</si>
  <si>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</si>
  <si>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</si>
  <si>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</si>
  <si>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</si>
  <si>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</si>
  <si>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</si>
  <si>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</si>
  <si>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</si>
  <si>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</si>
  <si>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</si>
  <si>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</si>
  <si>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</si>
  <si>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</si>
  <si>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</si>
  <si>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</si>
  <si>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</si>
  <si>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</si>
  <si>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</si>
  <si>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</si>
  <si>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</si>
  <si>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</si>
  <si>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</si>
  <si>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</si>
  <si>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</si>
  <si>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</si>
  <si>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</si>
  <si>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ihdaltandigau</t>
  </si>
  <si>
    <t>jenongolongol</t>
  </si>
  <si>
    <t>nesteagg</t>
  </si>
  <si>
    <t>forcollecting</t>
  </si>
  <si>
    <t>cozyatoz</t>
  </si>
  <si>
    <t>leonchangkun</t>
  </si>
  <si>
    <t>gilangtamrin1</t>
  </si>
  <si>
    <t>inirpjk</t>
  </si>
  <si>
    <t>o_tiainen</t>
  </si>
  <si>
    <t>kallaslukka</t>
  </si>
  <si>
    <t>niko01650</t>
  </si>
  <si>
    <t>miemo</t>
  </si>
  <si>
    <t>npmatilainen</t>
  </si>
  <si>
    <t>tiiamaija</t>
  </si>
  <si>
    <t>kateellinenl</t>
  </si>
  <si>
    <t>ilmariwalker</t>
  </si>
  <si>
    <t>torlillqvist</t>
  </si>
  <si>
    <t>jannentnen</t>
  </si>
  <si>
    <t>rosamerilainen</t>
  </si>
  <si>
    <t>kimvais</t>
  </si>
  <si>
    <t>karrianttoni</t>
  </si>
  <si>
    <t>hikipediainfo</t>
  </si>
  <si>
    <t>goashem</t>
  </si>
  <si>
    <t>naururastas</t>
  </si>
  <si>
    <t>hirmutwiittaa</t>
  </si>
  <si>
    <t>kp_keto</t>
  </si>
  <si>
    <t>suurimies</t>
  </si>
  <si>
    <t>pekkalajanne</t>
  </si>
  <si>
    <t>sambateveridei</t>
  </si>
  <si>
    <t>jermulion</t>
  </si>
  <si>
    <t>anttiseppala</t>
  </si>
  <si>
    <t>ahaaparanta</t>
  </si>
  <si>
    <t>granstromolavi</t>
  </si>
  <si>
    <t>petripihko</t>
  </si>
  <si>
    <t>vesaukkonen</t>
  </si>
  <si>
    <t>tinkeliini</t>
  </si>
  <si>
    <t>jussisaarelma</t>
  </si>
  <si>
    <t>malaprade</t>
  </si>
  <si>
    <t>dumbopumba</t>
  </si>
  <si>
    <t>avaruushelmi</t>
  </si>
  <si>
    <t>rahina</t>
  </si>
  <si>
    <t>oleniusmatti</t>
  </si>
  <si>
    <t>gaiafinn</t>
  </si>
  <si>
    <t>mipelt</t>
  </si>
  <si>
    <t>chouchocolat</t>
  </si>
  <si>
    <t>samigabbouj</t>
  </si>
  <si>
    <t>junttipekka</t>
  </si>
  <si>
    <t>lottabacklund</t>
  </si>
  <si>
    <t>niinamuyau</t>
  </si>
  <si>
    <t>janiturku</t>
  </si>
  <si>
    <t>arnkil</t>
  </si>
  <si>
    <t>mikkohongisto</t>
  </si>
  <si>
    <t>castrenr</t>
  </si>
  <si>
    <t>jjjpellinen</t>
  </si>
  <si>
    <t>jpkajan</t>
  </si>
  <si>
    <t>samilaiho</t>
  </si>
  <si>
    <t>millscgh</t>
  </si>
  <si>
    <t>haraldhannelius</t>
  </si>
  <si>
    <t>tiinaripatti</t>
  </si>
  <si>
    <t>sinimarjah</t>
  </si>
  <si>
    <t>aaponyholm</t>
  </si>
  <si>
    <t>tallella2</t>
  </si>
  <si>
    <t>docjares</t>
  </si>
  <si>
    <t>koala79124457</t>
  </si>
  <si>
    <t>hamalainenster</t>
  </si>
  <si>
    <t>teemukorpiaho</t>
  </si>
  <si>
    <t>lauriloven</t>
  </si>
  <si>
    <t>sansincisor</t>
  </si>
  <si>
    <t>nekoliini</t>
  </si>
  <si>
    <t>ragzila</t>
  </si>
  <si>
    <t>9h0hm</t>
  </si>
  <si>
    <t>kapt_suolisolmu</t>
  </si>
  <si>
    <t>ks_rautalinko</t>
  </si>
  <si>
    <t>ohtmaa</t>
  </si>
  <si>
    <t>toukoq</t>
  </si>
  <si>
    <t>panuvatanen</t>
  </si>
  <si>
    <t>oonasofias</t>
  </si>
  <si>
    <t>renykdewi</t>
  </si>
  <si>
    <t>miccelsson</t>
  </si>
  <si>
    <t>tapoykko</t>
  </si>
  <si>
    <t>anttihaapala</t>
  </si>
  <si>
    <t>arielneulaniemi</t>
  </si>
  <si>
    <t>hs_visio</t>
  </si>
  <si>
    <t>vilpertt</t>
  </si>
  <si>
    <t>pekkarahko</t>
  </si>
  <si>
    <t>suomalainentyo</t>
  </si>
  <si>
    <t>designfromfinla</t>
  </si>
  <si>
    <t>yweuutiset</t>
  </si>
  <si>
    <t>veikkakuusisto</t>
  </si>
  <si>
    <t>jerej</t>
  </si>
  <si>
    <t>minnaruokonen1</t>
  </si>
  <si>
    <t>hannuhynonen</t>
  </si>
  <si>
    <t>teemu_lahtinen</t>
  </si>
  <si>
    <t>teijalarikka</t>
  </si>
  <si>
    <t>anttivan</t>
  </si>
  <si>
    <t>mikkostenlund</t>
  </si>
  <si>
    <t>elina_hjr</t>
  </si>
  <si>
    <t>timopennanen</t>
  </si>
  <si>
    <t>koomikkokivi</t>
  </si>
  <si>
    <t>symbaaliapina</t>
  </si>
  <si>
    <t>vesavee</t>
  </si>
  <si>
    <t>walmerigaming</t>
  </si>
  <si>
    <t>salmusami</t>
  </si>
  <si>
    <t>markosuomi</t>
  </si>
  <si>
    <t>makaliok</t>
  </si>
  <si>
    <t>jarnaerika</t>
  </si>
  <si>
    <t>johannahellste2</t>
  </si>
  <si>
    <t>tiinanev</t>
  </si>
  <si>
    <t>mitanaitanyon</t>
  </si>
  <si>
    <t>halereeni</t>
  </si>
  <si>
    <t>timokoivisto_</t>
  </si>
  <si>
    <t>joutsenikko</t>
  </si>
  <si>
    <t>pasikivioja</t>
  </si>
  <si>
    <t>jennijanakka</t>
  </si>
  <si>
    <t>mikaelhoo</t>
  </si>
  <si>
    <t>lassi_ylikojola</t>
  </si>
  <si>
    <t>turhaporu</t>
  </si>
  <si>
    <t>iirorantala</t>
  </si>
  <si>
    <t>juusojoo</t>
  </si>
  <si>
    <t>nightisnotday45</t>
  </si>
  <si>
    <t>piapihlaja</t>
  </si>
  <si>
    <t>pasiyliuntinen</t>
  </si>
  <si>
    <t>svuorikoski</t>
  </si>
  <si>
    <t>anttiparnanen</t>
  </si>
  <si>
    <t>panu</t>
  </si>
  <si>
    <t>joonaslinkola</t>
  </si>
  <si>
    <t>hsfi</t>
  </si>
  <si>
    <t>nnancycos</t>
  </si>
  <si>
    <t>kanerva_mari</t>
  </si>
  <si>
    <t>vapaamielinen</t>
  </si>
  <si>
    <t>elinalappalaine</t>
  </si>
  <si>
    <t>punainenbarbi</t>
  </si>
  <si>
    <t>hpmaatta</t>
  </si>
  <si>
    <t>toikkis78</t>
  </si>
  <si>
    <t>sara_peltola</t>
  </si>
  <si>
    <t>satuvennala</t>
  </si>
  <si>
    <t>martinpaasi</t>
  </si>
  <si>
    <t>nuusa_</t>
  </si>
  <si>
    <t>timoturt</t>
  </si>
  <si>
    <t>raisaharjuautti</t>
  </si>
  <si>
    <t>aksu09845728</t>
  </si>
  <si>
    <t>erkka</t>
  </si>
  <si>
    <t>nahuman</t>
  </si>
  <si>
    <t>pinja_l</t>
  </si>
  <si>
    <t>mhinkkanen</t>
  </si>
  <si>
    <t>aapojg</t>
  </si>
  <si>
    <t>marikarkkainen</t>
  </si>
  <si>
    <t>fillari_iska</t>
  </si>
  <si>
    <t>ooppaooppa</t>
  </si>
  <si>
    <t>akselilammi</t>
  </si>
  <si>
    <t>anna_ihminen</t>
  </si>
  <si>
    <t>idealacatariina</t>
  </si>
  <si>
    <t>merviemilia</t>
  </si>
  <si>
    <t>vsaarenketo</t>
  </si>
  <si>
    <t>kallixia</t>
  </si>
  <si>
    <t>elinaruoppa</t>
  </si>
  <si>
    <t>therealjosefi</t>
  </si>
  <si>
    <t>katriinapa</t>
  </si>
  <si>
    <t>pikkuhoo</t>
  </si>
  <si>
    <t>lpyokari</t>
  </si>
  <si>
    <t>pilvialopaeus</t>
  </si>
  <si>
    <t>airastuomas</t>
  </si>
  <si>
    <t>annkatarine</t>
  </si>
  <si>
    <t>jormakarvonen</t>
  </si>
  <si>
    <t>soilihietaniemi</t>
  </si>
  <si>
    <t>sannaruoho</t>
  </si>
  <si>
    <t>slam70</t>
  </si>
  <si>
    <t>ellupaljarvi</t>
  </si>
  <si>
    <t>leinovil</t>
  </si>
  <si>
    <t>juhokas</t>
  </si>
  <si>
    <t>mapaavon</t>
  </si>
  <si>
    <t>katjalappi</t>
  </si>
  <si>
    <t>tolkkitimo</t>
  </si>
  <si>
    <t>muumiainen</t>
  </si>
  <si>
    <t>auraotto</t>
  </si>
  <si>
    <t>petriwanner</t>
  </si>
  <si>
    <t>laineaki</t>
  </si>
  <si>
    <t>jkoskenkorva</t>
  </si>
  <si>
    <t>miianfaksi</t>
  </si>
  <si>
    <t>mariannejuntu</t>
  </si>
  <si>
    <t>m_simo</t>
  </si>
  <si>
    <t>jonnemi</t>
  </si>
  <si>
    <t>hannuverronen</t>
  </si>
  <si>
    <t>pave_ko</t>
  </si>
  <si>
    <t>sammyrajala</t>
  </si>
  <si>
    <t>kestinen</t>
  </si>
  <si>
    <t>pursiainenolli</t>
  </si>
  <si>
    <t>korrud</t>
  </si>
  <si>
    <t>ctikerpuu</t>
  </si>
  <si>
    <t>tarjuccia</t>
  </si>
  <si>
    <t>harhanuoli</t>
  </si>
  <si>
    <t>hvorne</t>
  </si>
  <si>
    <t>ninnu_n</t>
  </si>
  <si>
    <t>tiinarytky</t>
  </si>
  <si>
    <t>anniilaugh</t>
  </si>
  <si>
    <t>janileinospr</t>
  </si>
  <si>
    <t>teuvo_moisa</t>
  </si>
  <si>
    <t>riikkamarip</t>
  </si>
  <si>
    <t>holmesianna</t>
  </si>
  <si>
    <t>menchichannn</t>
  </si>
  <si>
    <t>kindly_anni</t>
  </si>
  <si>
    <t>jankoski15</t>
  </si>
  <si>
    <t>knifebackhouse</t>
  </si>
  <si>
    <t>mattimuukkonen</t>
  </si>
  <si>
    <t>suvirvainio</t>
  </si>
  <si>
    <t>aleksipahkala</t>
  </si>
  <si>
    <t>sakeranen</t>
  </si>
  <si>
    <t>apulkkis</t>
  </si>
  <si>
    <t>villekoivuniemi</t>
  </si>
  <si>
    <t>outigrusander</t>
  </si>
  <si>
    <t>koivumakiraine</t>
  </si>
  <si>
    <t>outikorpilahde</t>
  </si>
  <si>
    <t>deepsami</t>
  </si>
  <si>
    <t>oliver_loser</t>
  </si>
  <si>
    <t>hhoenak</t>
  </si>
  <si>
    <t>villeilvonen</t>
  </si>
  <si>
    <t>olliz_</t>
  </si>
  <si>
    <t>helenahulkko</t>
  </si>
  <si>
    <t>katsojana</t>
  </si>
  <si>
    <t>juha_penttinen</t>
  </si>
  <si>
    <t>mies15807389</t>
  </si>
  <si>
    <t>satuhujanen</t>
  </si>
  <si>
    <t>heinilamarika</t>
  </si>
  <si>
    <t>totentanzcomics</t>
  </si>
  <si>
    <t>pralinekaisa</t>
  </si>
  <si>
    <t>pasanen_satu</t>
  </si>
  <si>
    <t>seikkulansuvi</t>
  </si>
  <si>
    <t>mimosan78</t>
  </si>
  <si>
    <t>jjflehtinen</t>
  </si>
  <si>
    <t>mmurdvee</t>
  </si>
  <si>
    <t>ladadude</t>
  </si>
  <si>
    <t>panopti92236644</t>
  </si>
  <si>
    <t>j_makr</t>
  </si>
  <si>
    <t>kreusharri</t>
  </si>
  <si>
    <t>rokrollhr</t>
  </si>
  <si>
    <t>laplandbusiness</t>
  </si>
  <si>
    <t>jarkkod</t>
  </si>
  <si>
    <t>mustikkamunkki</t>
  </si>
  <si>
    <t>eilapertti</t>
  </si>
  <si>
    <t>lauraemiliait</t>
  </si>
  <si>
    <t>palloholisti</t>
  </si>
  <si>
    <t>peltolapeltsi</t>
  </si>
  <si>
    <t>wallellaa</t>
  </si>
  <si>
    <t>annakaisapirila</t>
  </si>
  <si>
    <t>rikupul</t>
  </si>
  <si>
    <t>joniaittola</t>
  </si>
  <si>
    <t>paakonhele</t>
  </si>
  <si>
    <t>jjrehn1</t>
  </si>
  <si>
    <t>jatkis</t>
  </si>
  <si>
    <t>maaninkavaara</t>
  </si>
  <si>
    <t>aapo_haavi</t>
  </si>
  <si>
    <t>__danc</t>
  </si>
  <si>
    <t>artovee</t>
  </si>
  <si>
    <t>muoriskaj</t>
  </si>
  <si>
    <t>almaonali</t>
  </si>
  <si>
    <t>datironass</t>
  </si>
  <si>
    <t>liljestrommarko</t>
  </si>
  <si>
    <t>joelrouvinen</t>
  </si>
  <si>
    <t>minnalampinen</t>
  </si>
  <si>
    <t>sarjakuvakauppa</t>
  </si>
  <si>
    <t>vlijeu</t>
  </si>
  <si>
    <t>lisajandamuda</t>
  </si>
  <si>
    <t>melinasahara</t>
  </si>
  <si>
    <t>bebasagc</t>
  </si>
  <si>
    <t>faaayn</t>
  </si>
  <si>
    <t>ebay</t>
  </si>
  <si>
    <t>ot7place</t>
  </si>
  <si>
    <t>ohmybeautybank</t>
  </si>
  <si>
    <t>sanileino</t>
  </si>
  <si>
    <t>juhatenhonen</t>
  </si>
  <si>
    <t>joni_jaakkola</t>
  </si>
  <si>
    <t>masasaarnela</t>
  </si>
  <si>
    <t>esasalminen3</t>
  </si>
  <si>
    <t>alfild</t>
  </si>
  <si>
    <t>posiolapland</t>
  </si>
  <si>
    <t>kafleng</t>
  </si>
  <si>
    <t>Mentions</t>
  </si>
  <si>
    <t>Replies to</t>
  </si>
  <si>
    <t>MentionsInRetweet</t>
  </si>
  <si>
    <t>Retweet</t>
  </si>
  <si>
    <t>@melinasahara @lisajandamuda Mau berbulu tidak berbulu yang pentik harum</t>
  </si>
  <si>
    <t>@BEBASAGC oke. 1 kalimat diakhiri dengan titik. yg pentik ada titik ya wkwk</t>
  </si>
  <si>
    <t>@Faaayn Pentik il doit te int fort</t>
  </si>
  <si>
    <t>Check out #Vintage Collectibles Studio pottery #SALVIA #PENTIK #Finland Black #VASE Home Decor  https://t.co/IYMQs12TyV via @eBay</t>
  </si>
  <si>
    <t>Parlemen memiliki peran pentik utk perkembangan demokrasi #PuanPemimpinKita
Dukung Ketua DPR RI https://t.co/lFgDDuWK9K</t>
  </si>
  <si>
    <t>Parlemen memiliki peran pentik utk perkembangan demokrasi #PuanPemimpinKita
Dukung Ketua DPR RI https://t.co/9V2f3ZyYfu</t>
  </si>
  <si>
    <t>@OT7PLACE PENTIK DONK</t>
  </si>
  <si>
    <t>Pentik Anis - varttuneemman herrasmiehen elegantti astiasarja _xD83D__xDE05__xD83D__xDE05_ https://t.co/Yj0ovLIlI3</t>
  </si>
  <si>
    <t>@ohmybeautybank Kok lentik pny mad pls wkwk. Biasanya gapernah se pentik ini kl dijepit bulumata nya https://t.co/tv2jDH47hh</t>
  </si>
  <si>
    <t>Missä olit, kun kuulit Pentik Anis -astiasarjasta? https://t.co/NQ3MkaNzio</t>
  </si>
  <si>
    <t>Tuohan tämä #Pentik Anis hymyä muuten niin harmaaseen viestinnän alkuvuoteen. #branding #markkinointi https://t.co/jZV6Mal8yI</t>
  </si>
  <si>
    <t>@aleksipahkala Pentik Anos.</t>
  </si>
  <si>
    <t>狙ってたPentikの食器、忙しかったからあとでにしたら、sold outしてしまった。もう2度とあんなに破格では買えないのにー。仕方ないので、同じシリーズの別のを買いました。</t>
  </si>
  <si>
    <t>Jos saisi Jukka Pentti joskus ostaa Pentik anis -astiaston rovaniemeläisestä Sinikan posliinista, niin sen jälkeen voisi hyvinkin kipaista Lillin kukasta juoksukukat, ja sen jälkeen pyytää kaffelle Kuoksu-Jukat. #rovaniemi #munansaannos https://t.co/LoBXg6MGWC</t>
  </si>
  <si>
    <t>Ihastuttava uusi astiasto, Pentik Anis.</t>
  </si>
  <si>
    <t>@aleksipahkala Wohhohhohhoo! _xD83E__xDD2D_ Pentik Anan tarjoilu?</t>
  </si>
  <si>
    <t>Kai kuulitte jo sen, että Pentikillä on tuotesarja nimeltä Anis. Siis Pentik Anis. Antik Penis. En kestä _xD83D__xDE02__xD83E__xDD23_
Sen on suunnitellut henkilö nimeltä Kovanen. Ei sentään Jorma.
Anteeksi, mutta sisäinen pikkupoikani heräsi. Hädin tuskin kykenin lopettamaan nauramisen.</t>
  </si>
  <si>
    <t>Pentik Anis - astiasarja vanhemmille herrasmiehille. Lieneekö loppuun asti mietitty nimi? via /r/Suomi https://t.co/CWIejcB2fR</t>
  </si>
  <si>
    <t>@SaniLeino Just kun olin lukenut twiitin Pentik Anis sarjasta ja nyt tämä _xD83D__xDE48__xD83D__xDE02__xD83D__xDE02_</t>
  </si>
  <si>
    <t>Vihdoinki sain tän hyllyn laitettua, muutettiin tähän viime elokuussa. Iski yhtäkkiä idis, että Ikean pienet lastenastiat sopii tuohon ku nenä päähän!
2.ylimmällä on isotädiltä perityt pronssin väriset astiat.
Ylimmällä äidiltä saadut #pentik|in sokeri- ja suola-astiat https://t.co/5eSvGriDB3</t>
  </si>
  <si>
    <t>Gapapa ga diposting sama ayang,yg pentik cantik dimata orang lain _xD83E__xDD2A_</t>
  </si>
  <si>
    <t>Yritykset | Suomalaisyhtiön Pentik Anis -astiasto herättää hilpeyttä sosiaalisessa mediassa – Soitto yhtiöön paljastaa, ettei se ollut tajunnut sanamuunnosta https://t.co/0p3vOKvepC</t>
  </si>
  <si>
    <t>Yritykset | Suomalaisyhtiön Pentik Anis -astiasto herättää hilpeyttä somessa – Soitto yhtiöön paljastaa, ettei se ollut tajunnut sanamuunnosta https://t.co/rzpKbKZmRC</t>
  </si>
  <si>
    <t>Pentik Anis -astiaston vaalea yksinkertaisuus jättää tilaa värikkäille tekstiileille ja ruoka-annoksille. https://t.co/dl2rDmhjmP</t>
  </si>
  <si>
    <t>Upeaa #Pentik'in Posion tehtaalle #Ekokompassi-#ympäristösertifikaatti ja tavoitteena hiilineutraali keramiikkatehdas #avainlippu #designfromfinland #suomalainentyo https://t.co/4ZJHc8sLB7</t>
  </si>
  <si>
    <t>Ywitykset | Suomalaisyhtiön Pentik Anyis -astiasto hewättää hiwpeyttä sosiaawisessa mediassa – *cries* Soitto yhtiöön *huggles tightly* pawjastaa, ettei se owwut tajunnyut sanyamuunnyosta (˘ሠ˘) (HS) https://t.co/lH29RUhJT3</t>
  </si>
  <si>
    <t>@JuhaTenhonen Joo tää on aika onnistunut... etenkin, kun a) astiasto on julkaistu vuonna 2006 ja b) jälkikäteen Pentik-etuliite (sussiunakkoon teitä kaksimielisiä!?) lisätty mukaan...
Ehkä on vaan parasta lähteä salille vetämään leukoja :D</t>
  </si>
  <si>
    <t>Eräässä kaveripiirissä minusta käytetään vasen pakki Arto Ruotasesta johdettua lempinimeä Arse. Niinpä ajattelin tarjota Pentikille noloksi käyneen Pentik Anis -sarjan korvaavaa puuastiamallistoa Pentik Arse.</t>
  </si>
  <si>
    <t>Pentik olisi tarvinnut #kieliasiantuntija'a, jolla on luova ja likainen mielikuvitus _xD83D__xDE05_ https://t.co/JOIPRViGSh</t>
  </si>
  <si>
    <t>Pentik Anis - hillitön kuppi. https://t.co/Rpp0PreHuK</t>
  </si>
  <si>
    <t>Pentik Anis. Hieman ohimoilta harmaantuneen herrasmiehen astiastovalinta. https://t.co/MCOqqdjQOg</t>
  </si>
  <si>
    <t>@AlmaOnali Kansa vaatii Pentik Arvoa!</t>
  </si>
  <si>
    <t>@AlmaOnali Pentik: Tämä on meidän taholta tahaton kikkelikukkanen, joka valkeni meille vasta nyt.</t>
  </si>
  <si>
    <t>Pentik Aniksesta saa erään otsikon mukaan "kaksimielisen" sananmuunnoksen. Mä en kyllä keksi sille kuin yhden merkityksen.</t>
  </si>
  <si>
    <t>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</si>
  <si>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Pitkäaikaisena sananmuunnosten ystävänä arvostan tätä artikkelia kovasti. Mies ihmettelee, kun nauran vedet silmissä. #pentikanis https://t.co/LyVDs40eNL</t>
  </si>
  <si>
    <t>Pentik anis oli kyllä just sitä mitä nyt tähän väliin kaivattiin.</t>
  </si>
  <si>
    <t>”Tuote nimetään uudelleen tunnistettavuus säilyttäen sekä Pentikin brand heritagen mukaiseksi: Pentik Anu’s.”
#pentik #pentikanis #antikpenis https://t.co/Ji9QyxUg5E</t>
  </si>
  <si>
    <t>Pentik Anis.  Kovasen Lassen tuotantoa!!! https://t.co/wX6tWtaxWS</t>
  </si>
  <si>
    <t>@joni_jaakkola I don't always buy tableware but when I do it's Pentik Anis</t>
  </si>
  <si>
    <t>@MasaSaarnela Onko tämä Pentik Anis -lautanen?</t>
  </si>
  <si>
    <t>@joni_jaakkola Tuo on vielä pahempi (tai parempi) kuin Pentik Anis _xD83D__xDE01_</t>
  </si>
  <si>
    <t>Sananmuunnos ykkösuutisena! Suomi ❤️suomen kieli ❤️
”HR-päällikkömme sanoi olevansa työkyvytön loppupäivän, sillä hän ei voi lopettaa nauramista.”
#Pentik 
#Anis  https://t.co/AcLgflbOEL</t>
  </si>
  <si>
    <t>”HR-päällikkömme sanoi olevansa työkyvytön loppupäivän, sillä hän ei voi lopettaa nauramista.”
#pentik #anis 
 https://t.co/SQSIimDzpl</t>
  </si>
  <si>
    <t>Tää on ihan hulvaton viestiketju, tilannehuumori on niin parasta _xD83D__xDE02__xD83D__xDE0D_ #Pentik ❤️ https://t.co/THQKzub6RT</t>
  </si>
  <si>
    <t>Okej NU förstod jag Pentik Anis-grejen. (Skyller på att jag haft corona OCH barnvecka med sjukt barn)</t>
  </si>
  <si>
    <t>Tekeeköhän Pentik tästä todellisen anispesun?
Päivän hauskin juttu. https://t.co/uMybI4vrVX</t>
  </si>
  <si>
    <t>Anisruoho (Pimpinella anisum) todellakin on pukinjuurten (Pimpinella) sukuun kuuluva ruohovartinen kasvi #Pentik _xD83D__xDE02_</t>
  </si>
  <si>
    <t>Linkkarista puheenollen. @AlmaOnali  sun soitto #Pentik’ille johti heidät googlailemaan aniksesta. Voin vain kuvitella kahvihuoneen käkätyksen _xD83E__xDD23_ https://t.co/menbJa2wW5</t>
  </si>
  <si>
    <t>Tänään aurinko paistanut myös Twitterin risukasaan. Ensin Pentik Anis ja sitten vielä tämä _xD83D__xDE02_ https://t.co/Aphp2ftOYc</t>
  </si>
  <si>
    <t>Näin sananmuunnoksia diggaavana mun pitänee hankkia koko Pentik Anis -sarja
https://t.co/sXybm7j2qX</t>
  </si>
  <si>
    <t>Tänään, alkuperäisenä Perse giving daynä, jolloin myös @AlmaOnali selvitteli myös Kovasen muotoilemaa #Pentik Aniksen alkuperää, tapahtuu myös tällaista.
Kollegan sanoin, hyvää yötä. https://t.co/2cF93V1FuY</t>
  </si>
  <si>
    <t>Ei fiddy _xD83D__xDE33__xD83D__xDE05_ Hesarin luetuin juttu. Olkaa hyvä Pentik _xD83C__xDF89_ Nyt pistäkää kunnon Pentik Anis -mainonta käyntiin ja rikkokaa myyntiennätyksiä!
 https://t.co/kcwBZfRX6W</t>
  </si>
  <si>
    <t>@joni_jaakkola En tiedä, millainen työyhteisö Pentikillä on noita suunnitellessa. Mutta luulen, että tällaisten vahinkojen riski kasvaa, jos työyhteisö on iloton ja ilman hassuttelua ja naurua.
Kun jos on tarpeeksi hassuttelua ja naurua, joku huomaa myös Pentik Aniksen.</t>
  </si>
  <si>
    <t>Nyt kun #PentikAnis trendaa, haastan teidät, suomalaiset toimittajat! Laitan rahaa likoon sen puolesta, että ette uskalla käyttää jotain seuraavan trilogian sanapareista jossain jutussanne:
– Putin siristi 
– Putin silppusi
– Putin sinersi</t>
  </si>
  <si>
    <t>@Esasalminen3 Sinä tuotat niitä palindromeja hämmästyttävästi. Kai se on joku eri tapa katsoa sanoja ja kirjaimia. Pentik Anis, irtoaako siitä mitään järkeviä palindromeja?</t>
  </si>
  <si>
    <t>@MinnaLampinen @AlmaOnali Pentik Anis kaikkien huulil.... en uskalla jatkaa :D</t>
  </si>
  <si>
    <t>Se on aivan varma, että meidän talouteen ostetaan Pentik Anis -nimisiä astioita seuraavaksi _xD83E__xDD1D_</t>
  </si>
  <si>
    <t>Pentik Anis-astiastoa suunnitellessaan Lassella oli kovanen.
Suomen kielen diminutiivi on kaunis.
https://t.co/OI0Ajn54w9</t>
  </si>
  <si>
    <t>@AlmaOnali Tekeekö muuten mikään muu suomalaisifirma keramiikkaansa Suomessa kuin #Pentik? Arvostan, nimittäin.</t>
  </si>
  <si>
    <t>Saa nauraa. Ja nostaa hattua viestinnälle. #viestintä #pentikanis https://t.co/AlZFSNySIQ</t>
  </si>
  <si>
    <t>@Alfild Ne kai olivat joskus myöhemmin vaihtaneet nimeämiskäytäntöä ja alkaneet lisätä Pentik-sanan tuotenimen alkuun, joten varsinainen sananmuunnos on uudempi.</t>
  </si>
  <si>
    <t>@AlmaOnali Entä jos yrityksen perustajan taiteilijanimi Anu Saara Pentik _xD83D__xDE31__xD83D__xDE06__xD83D__xDE02_</t>
  </si>
  <si>
    <t>Jutun Pentik Anis -astiastosta teki Alma Onali. Ystäväni ei voi lopettaa hekotteluaan. Se alkoi eilen illalla ja jatkuu yhä. Loppuisiko se jollain hikkakikalla?
#sanamuunnos
https://t.co/rvt7L1SqlQ</t>
  </si>
  <si>
    <t>Pentik Aniksen suunnitteli Kovanen (Lasse, ei sentään Jorma). Hesarin jutun puolestaan kirjoitti...
https://t.co/15dxiyzwuh https://t.co/Nv0EtBgKBF</t>
  </si>
  <si>
    <t>Harvoin jaan kontenttia Linkkarin ja Twitterin välillä, mutta tämä on kyllä tarpeeksi laadukasta myös tänne. Juuri sopivaa doomin &amp;amp; gloomin karkoitukseen. #pentikanis #pimpinella https://t.co/6He2DGjVb5</t>
  </si>
  <si>
    <t>Viikon Pentik Anis -case taisi tehdä astiastosta legendan ja keräilyharvinaisuuden. Ehkä tuollainen Antik… eiku Pentik Anis -piirakkavuoka pitää hankkia _xD83D__xDE02_ #pentikanis #pentik #tuotteistus</t>
  </si>
  <si>
    <t>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</si>
  <si>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Näin tämä kuuluu hoitaa. Bravo Pentik!
#pentik
#pentikanis https://t.co/GFCC3ze1d6</t>
  </si>
  <si>
    <t>Pentikin Posion keramiikkatehtaalle on myönnetty Ekokompassi-ympäristösertifikaatti. Pentik vähentää ympäristölupauksensa mukaisesti  tehtaassaan käytetyn energian määrää. #Lappi @PosioLapland #keramiikka
https://t.co/gvEtQYBwE4</t>
  </si>
  <si>
    <t>Hmm... koodi, koodi. Sesam dabra?
Täytyy myöntää, että alusta loppuun nerokas kamppis
#PentikAnis #sananmuunnos #markkinointi https://t.co/MC0K3qbu9I</t>
  </si>
  <si>
    <t>@MinnaLampinen @AlmaOnali Koska tulee Pentik Arvo -tuotteet?</t>
  </si>
  <si>
    <t>Aamukahvit - Pentik Anis -mukista tietenkin ☕️ #PentikAnis https://t.co/QTktqdj0OZ</t>
  </si>
  <si>
    <t>@kafleng matanya kaya pentik juga</t>
  </si>
  <si>
    <t>ebay.com</t>
  </si>
  <si>
    <t>twitter.com</t>
  </si>
  <si>
    <t>reddit.com</t>
  </si>
  <si>
    <t>hs.fi</t>
  </si>
  <si>
    <t>suomalainentyo.fi</t>
  </si>
  <si>
    <t>pentik.com</t>
  </si>
  <si>
    <t>linkedin.com</t>
  </si>
  <si>
    <t>lapinkansa.fi</t>
  </si>
  <si>
    <t>vintage salvia pentik finland vase</t>
  </si>
  <si>
    <t>puanpemimpinkita</t>
  </si>
  <si>
    <t>pentik branding markkinointi</t>
  </si>
  <si>
    <t>rovaniemi munansaannos</t>
  </si>
  <si>
    <t>pentik</t>
  </si>
  <si>
    <t>pentik ekokompassi ympäristösertifikaatti avainlippu designfromfinland suomalainentyo</t>
  </si>
  <si>
    <t>kieliasiantuntija</t>
  </si>
  <si>
    <t>pentikanis</t>
  </si>
  <si>
    <t>pentik pentikanis antikpenis</t>
  </si>
  <si>
    <t>pentik anis</t>
  </si>
  <si>
    <t>viestintä pentikanis</t>
  </si>
  <si>
    <t>sanamuunnos</t>
  </si>
  <si>
    <t>pentikanis pimpinella</t>
  </si>
  <si>
    <t>pentikanis pentik tuotteistus</t>
  </si>
  <si>
    <t>pentik pentikanis</t>
  </si>
  <si>
    <t>lappi keramiikka</t>
  </si>
  <si>
    <t>pentikanis sananmuunnos markkinointi</t>
  </si>
  <si>
    <t>09:26:06</t>
  </si>
  <si>
    <t>01:44:11</t>
  </si>
  <si>
    <t>05:46:03</t>
  </si>
  <si>
    <t>06:06:50</t>
  </si>
  <si>
    <t>21:51:59</t>
  </si>
  <si>
    <t>23:30:34</t>
  </si>
  <si>
    <t>02:00:00</t>
  </si>
  <si>
    <t>02:00:01</t>
  </si>
  <si>
    <t>08:37:38</t>
  </si>
  <si>
    <t>13:15:22</t>
  </si>
  <si>
    <t>13:17:12</t>
  </si>
  <si>
    <t>13:21:17</t>
  </si>
  <si>
    <t>13:23:23</t>
  </si>
  <si>
    <t>13:25:50</t>
  </si>
  <si>
    <t>13:29:28</t>
  </si>
  <si>
    <t>13:34:19</t>
  </si>
  <si>
    <t>13:36:01</t>
  </si>
  <si>
    <t>13:48:35</t>
  </si>
  <si>
    <t>13:49:07</t>
  </si>
  <si>
    <t>13:49:50</t>
  </si>
  <si>
    <t>13:50:49</t>
  </si>
  <si>
    <t>13:51:01</t>
  </si>
  <si>
    <t>13:51:48</t>
  </si>
  <si>
    <t>13:54:18</t>
  </si>
  <si>
    <t>13:55:20</t>
  </si>
  <si>
    <t>14:12:36</t>
  </si>
  <si>
    <t>14:14:37</t>
  </si>
  <si>
    <t>14:19:54</t>
  </si>
  <si>
    <t>14:26:21</t>
  </si>
  <si>
    <t>14:26:40</t>
  </si>
  <si>
    <t>14:36:02</t>
  </si>
  <si>
    <t>14:36:45</t>
  </si>
  <si>
    <t>14:44:44</t>
  </si>
  <si>
    <t>15:10:05</t>
  </si>
  <si>
    <t>15:12:45</t>
  </si>
  <si>
    <t>15:15:05</t>
  </si>
  <si>
    <t>15:23:00</t>
  </si>
  <si>
    <t>15:23:25</t>
  </si>
  <si>
    <t>15:28:03</t>
  </si>
  <si>
    <t>15:28:44</t>
  </si>
  <si>
    <t>16:11:48</t>
  </si>
  <si>
    <t>16:38:03</t>
  </si>
  <si>
    <t>16:42:41</t>
  </si>
  <si>
    <t>17:09:41</t>
  </si>
  <si>
    <t>17:11:15</t>
  </si>
  <si>
    <t>17:17:45</t>
  </si>
  <si>
    <t>17:24:28</t>
  </si>
  <si>
    <t>17:31:33</t>
  </si>
  <si>
    <t>17:34:14</t>
  </si>
  <si>
    <t>17:46:08</t>
  </si>
  <si>
    <t>17:46:39</t>
  </si>
  <si>
    <t>17:57:31</t>
  </si>
  <si>
    <t>18:03:29</t>
  </si>
  <si>
    <t>18:22:32</t>
  </si>
  <si>
    <t>18:29:13</t>
  </si>
  <si>
    <t>18:35:36</t>
  </si>
  <si>
    <t>18:36:46</t>
  </si>
  <si>
    <t>19:09:33</t>
  </si>
  <si>
    <t>19:10:57</t>
  </si>
  <si>
    <t>19:36:33</t>
  </si>
  <si>
    <t>19:57:13</t>
  </si>
  <si>
    <t>20:15:50</t>
  </si>
  <si>
    <t>20:21:38</t>
  </si>
  <si>
    <t>20:25:35</t>
  </si>
  <si>
    <t>20:42:28</t>
  </si>
  <si>
    <t>20:44:27</t>
  </si>
  <si>
    <t>20:47:55</t>
  </si>
  <si>
    <t>21:39:22</t>
  </si>
  <si>
    <t>21:50:06</t>
  </si>
  <si>
    <t>22:13:02</t>
  </si>
  <si>
    <t>06:59:37</t>
  </si>
  <si>
    <t>07:01:50</t>
  </si>
  <si>
    <t>08:22:55</t>
  </si>
  <si>
    <t>08:28:34</t>
  </si>
  <si>
    <t>08:50:24</t>
  </si>
  <si>
    <t>09:02:00</t>
  </si>
  <si>
    <t>09:25:28</t>
  </si>
  <si>
    <t>09:36:28</t>
  </si>
  <si>
    <t>10:27:29</t>
  </si>
  <si>
    <t>10:47:23</t>
  </si>
  <si>
    <t>10:50:02</t>
  </si>
  <si>
    <t>10:50:07</t>
  </si>
  <si>
    <t>13:05:41</t>
  </si>
  <si>
    <t>13:47:03</t>
  </si>
  <si>
    <t>13:48:22</t>
  </si>
  <si>
    <t>14:04:00</t>
  </si>
  <si>
    <t>14:08:27</t>
  </si>
  <si>
    <t>14:16:35</t>
  </si>
  <si>
    <t>14:19:12</t>
  </si>
  <si>
    <t>14:38:57</t>
  </si>
  <si>
    <t>14:56:44</t>
  </si>
  <si>
    <t>14:57:00</t>
  </si>
  <si>
    <t>14:50:41</t>
  </si>
  <si>
    <t>15:00:40</t>
  </si>
  <si>
    <t>15:05:46</t>
  </si>
  <si>
    <t>15:06:03</t>
  </si>
  <si>
    <t>15:15:35</t>
  </si>
  <si>
    <t>15:19:56</t>
  </si>
  <si>
    <t>15:39:54</t>
  </si>
  <si>
    <t>13:32:34</t>
  </si>
  <si>
    <t>15:41:38</t>
  </si>
  <si>
    <t>15:42:56</t>
  </si>
  <si>
    <t>15:44:34</t>
  </si>
  <si>
    <t>15:45:36</t>
  </si>
  <si>
    <t>15:45:51</t>
  </si>
  <si>
    <t>15:46:21</t>
  </si>
  <si>
    <t>15:49:38</t>
  </si>
  <si>
    <t>15:49:55</t>
  </si>
  <si>
    <t>15:50:33</t>
  </si>
  <si>
    <t>15:54:32</t>
  </si>
  <si>
    <t>16:02:58</t>
  </si>
  <si>
    <t>13:49:22</t>
  </si>
  <si>
    <t>16:03:11</t>
  </si>
  <si>
    <t>16:01:10</t>
  </si>
  <si>
    <t>16:04:13</t>
  </si>
  <si>
    <t>16:04:42</t>
  </si>
  <si>
    <t>16:09:42</t>
  </si>
  <si>
    <t>16:09:52</t>
  </si>
  <si>
    <t>16:10:14</t>
  </si>
  <si>
    <t>16:10:56</t>
  </si>
  <si>
    <t>16:11:15</t>
  </si>
  <si>
    <t>16:14:14</t>
  </si>
  <si>
    <t>16:18:14</t>
  </si>
  <si>
    <t>16:19:21</t>
  </si>
  <si>
    <t>16:24:14</t>
  </si>
  <si>
    <t>16:24:27</t>
  </si>
  <si>
    <t>16:26:29</t>
  </si>
  <si>
    <t>16:26:32</t>
  </si>
  <si>
    <t>16:26:41</t>
  </si>
  <si>
    <t>13:45:41</t>
  </si>
  <si>
    <t>16:29:33</t>
  </si>
  <si>
    <t>16:30:31</t>
  </si>
  <si>
    <t>16:31:14</t>
  </si>
  <si>
    <t>16:33:17</t>
  </si>
  <si>
    <t>16:35:16</t>
  </si>
  <si>
    <t>16:42:17</t>
  </si>
  <si>
    <t>16:43:35</t>
  </si>
  <si>
    <t>16:45:16</t>
  </si>
  <si>
    <t>16:45:55</t>
  </si>
  <si>
    <t>16:51:54</t>
  </si>
  <si>
    <t>16:54:08</t>
  </si>
  <si>
    <t>16:55:21</t>
  </si>
  <si>
    <t>16:55:34</t>
  </si>
  <si>
    <t>17:01:22</t>
  </si>
  <si>
    <t>17:06:23</t>
  </si>
  <si>
    <t>17:07:10</t>
  </si>
  <si>
    <t>17:07:16</t>
  </si>
  <si>
    <t>17:09:56</t>
  </si>
  <si>
    <t>17:10:38</t>
  </si>
  <si>
    <t>17:11:33</t>
  </si>
  <si>
    <t>17:11:49</t>
  </si>
  <si>
    <t>17:21:20</t>
  </si>
  <si>
    <t>17:21:45</t>
  </si>
  <si>
    <t>17:24:49</t>
  </si>
  <si>
    <t>17:26:06</t>
  </si>
  <si>
    <t>17:29:16</t>
  </si>
  <si>
    <t>17:33:09</t>
  </si>
  <si>
    <t>17:36:50</t>
  </si>
  <si>
    <t>17:43:52</t>
  </si>
  <si>
    <t>17:45:34</t>
  </si>
  <si>
    <t>17:50:42</t>
  </si>
  <si>
    <t>17:58:46</t>
  </si>
  <si>
    <t>17:59:32</t>
  </si>
  <si>
    <t>18:00:20</t>
  </si>
  <si>
    <t>18:03:17</t>
  </si>
  <si>
    <t>18:03:27</t>
  </si>
  <si>
    <t>18:07:49</t>
  </si>
  <si>
    <t>18:09:22</t>
  </si>
  <si>
    <t>18:10:49</t>
  </si>
  <si>
    <t>18:14:18</t>
  </si>
  <si>
    <t>18:16:27</t>
  </si>
  <si>
    <t>18:36:27</t>
  </si>
  <si>
    <t>18:53:08</t>
  </si>
  <si>
    <t>18:54:55</t>
  </si>
  <si>
    <t>18:59:31</t>
  </si>
  <si>
    <t>19:14:17</t>
  </si>
  <si>
    <t>19:16:16</t>
  </si>
  <si>
    <t>19:22:08</t>
  </si>
  <si>
    <t>19:30:35</t>
  </si>
  <si>
    <t>19:43:55</t>
  </si>
  <si>
    <t>19:53:32</t>
  </si>
  <si>
    <t>20:01:32</t>
  </si>
  <si>
    <t>20:03:11</t>
  </si>
  <si>
    <t>20:15:39</t>
  </si>
  <si>
    <t>14:41:04</t>
  </si>
  <si>
    <t>20:22:06</t>
  </si>
  <si>
    <t>20:25:56</t>
  </si>
  <si>
    <t>20:26:19</t>
  </si>
  <si>
    <t>20:26:47</t>
  </si>
  <si>
    <t>20:36:54</t>
  </si>
  <si>
    <t>20:43:32</t>
  </si>
  <si>
    <t>20:49:34</t>
  </si>
  <si>
    <t>20:58:05</t>
  </si>
  <si>
    <t>20:58:19</t>
  </si>
  <si>
    <t>21:05:35</t>
  </si>
  <si>
    <t>21:08:49</t>
  </si>
  <si>
    <t>21:09:46</t>
  </si>
  <si>
    <t>21:22:39</t>
  </si>
  <si>
    <t>21:26:46</t>
  </si>
  <si>
    <t>21:30:01</t>
  </si>
  <si>
    <t>21:53:03</t>
  </si>
  <si>
    <t>22:20:29</t>
  </si>
  <si>
    <t>22:26:49</t>
  </si>
  <si>
    <t>22:58:09</t>
  </si>
  <si>
    <t>23:57:21</t>
  </si>
  <si>
    <t>01:26:01</t>
  </si>
  <si>
    <t>20:10:31</t>
  </si>
  <si>
    <t>04:16:39</t>
  </si>
  <si>
    <t>13:12:02</t>
  </si>
  <si>
    <t>17:33:48</t>
  </si>
  <si>
    <t>16:09:34</t>
  </si>
  <si>
    <t>04:42:01</t>
  </si>
  <si>
    <t>04:51:34</t>
  </si>
  <si>
    <t>04:39:29</t>
  </si>
  <si>
    <t>05:26:32</t>
  </si>
  <si>
    <t>05:26:46</t>
  </si>
  <si>
    <t>05:31:15</t>
  </si>
  <si>
    <t>05:38:21</t>
  </si>
  <si>
    <t>05:44:45</t>
  </si>
  <si>
    <t>05:48:20</t>
  </si>
  <si>
    <t>05:58:10</t>
  </si>
  <si>
    <t>06:05:55</t>
  </si>
  <si>
    <t>06:14:04</t>
  </si>
  <si>
    <t>20:31:27</t>
  </si>
  <si>
    <t>07:14:44</t>
  </si>
  <si>
    <t>08:04:48</t>
  </si>
  <si>
    <t>08:25:13</t>
  </si>
  <si>
    <t>08:38:10</t>
  </si>
  <si>
    <t>08:40:38</t>
  </si>
  <si>
    <t>08:51:53</t>
  </si>
  <si>
    <t>09:29:59</t>
  </si>
  <si>
    <t>09:35:33</t>
  </si>
  <si>
    <t>09:39:19</t>
  </si>
  <si>
    <t>10:05:23</t>
  </si>
  <si>
    <t>10:07:23</t>
  </si>
  <si>
    <t>10:08:25</t>
  </si>
  <si>
    <t>10:08:30</t>
  </si>
  <si>
    <t>10:12:27</t>
  </si>
  <si>
    <t>10:13:33</t>
  </si>
  <si>
    <t>10:14:40</t>
  </si>
  <si>
    <t>10:18:12</t>
  </si>
  <si>
    <t>10:18:38</t>
  </si>
  <si>
    <t>10:18:48</t>
  </si>
  <si>
    <t>10:20:09</t>
  </si>
  <si>
    <t>10:20:19</t>
  </si>
  <si>
    <t>10:21:56</t>
  </si>
  <si>
    <t>10:24:54</t>
  </si>
  <si>
    <t>10:26:03</t>
  </si>
  <si>
    <t>19:15:21</t>
  </si>
  <si>
    <t>10:27:25</t>
  </si>
  <si>
    <t>10:29:19</t>
  </si>
  <si>
    <t>10:29:25</t>
  </si>
  <si>
    <t>10:32:36</t>
  </si>
  <si>
    <t>10:33:32</t>
  </si>
  <si>
    <t>10:33:57</t>
  </si>
  <si>
    <t>10:34:11</t>
  </si>
  <si>
    <t>10:34:57</t>
  </si>
  <si>
    <t>10:35:05</t>
  </si>
  <si>
    <t>10:36:16</t>
  </si>
  <si>
    <t>10:37:15</t>
  </si>
  <si>
    <t>14:00:19</t>
  </si>
  <si>
    <t>10:37:36</t>
  </si>
  <si>
    <t>10:38:30</t>
  </si>
  <si>
    <t>10:38:51</t>
  </si>
  <si>
    <t>07:47:55</t>
  </si>
  <si>
    <t>09:58:54</t>
  </si>
  <si>
    <t>10:05:45</t>
  </si>
  <si>
    <t>10:39:22</t>
  </si>
  <si>
    <t>17:02:24</t>
  </si>
  <si>
    <t>1505113371678748673</t>
  </si>
  <si>
    <t>1505359516866519043</t>
  </si>
  <si>
    <t>1506145159339290624</t>
  </si>
  <si>
    <t>1505788001837891587</t>
  </si>
  <si>
    <t>1506388242492440579</t>
  </si>
  <si>
    <t>1506413054229049344</t>
  </si>
  <si>
    <t>1506450660266430464</t>
  </si>
  <si>
    <t>1506450665308045314</t>
  </si>
  <si>
    <t>1506550727468269570</t>
  </si>
  <si>
    <t>1506620619638689792</t>
  </si>
  <si>
    <t>1506621084694683648</t>
  </si>
  <si>
    <t>1506622112617967617</t>
  </si>
  <si>
    <t>1506622640110329863</t>
  </si>
  <si>
    <t>1506623256526307335</t>
  </si>
  <si>
    <t>1506624168925835265</t>
  </si>
  <si>
    <t>1506625388772012035</t>
  </si>
  <si>
    <t>1506625819707330563</t>
  </si>
  <si>
    <t>1506628980148998148</t>
  </si>
  <si>
    <t>1506629114853212162</t>
  </si>
  <si>
    <t>1506629297435459586</t>
  </si>
  <si>
    <t>1506629542122819587</t>
  </si>
  <si>
    <t>1506629593448566784</t>
  </si>
  <si>
    <t>1506629791688110081</t>
  </si>
  <si>
    <t>1506630421337026564</t>
  </si>
  <si>
    <t>1506630681245405192</t>
  </si>
  <si>
    <t>1506635023755132939</t>
  </si>
  <si>
    <t>1506635532767576068</t>
  </si>
  <si>
    <t>1506636861724409866</t>
  </si>
  <si>
    <t>1506638483867246594</t>
  </si>
  <si>
    <t>1506638566486855681</t>
  </si>
  <si>
    <t>1506640921164664835</t>
  </si>
  <si>
    <t>1506641101922447367</t>
  </si>
  <si>
    <t>1506643110054535170</t>
  </si>
  <si>
    <t>1506649490727608324</t>
  </si>
  <si>
    <t>1506650160272662537</t>
  </si>
  <si>
    <t>1506650747588513800</t>
  </si>
  <si>
    <t>1506652742546243587</t>
  </si>
  <si>
    <t>1506652845998751755</t>
  </si>
  <si>
    <t>1506654011746930688</t>
  </si>
  <si>
    <t>1506654186036944897</t>
  </si>
  <si>
    <t>1506665022105296896</t>
  </si>
  <si>
    <t>1506671626871623691</t>
  </si>
  <si>
    <t>1506672794423238660</t>
  </si>
  <si>
    <t>1506679589883502597</t>
  </si>
  <si>
    <t>1506679982155866114</t>
  </si>
  <si>
    <t>1506681618135539716</t>
  </si>
  <si>
    <t>1506683307974660096</t>
  </si>
  <si>
    <t>1506685094177787916</t>
  </si>
  <si>
    <t>1506685767124455434</t>
  </si>
  <si>
    <t>1506688760821469191</t>
  </si>
  <si>
    <t>1506688892698869762</t>
  </si>
  <si>
    <t>1506691628240674820</t>
  </si>
  <si>
    <t>1506693129889619972</t>
  </si>
  <si>
    <t>1506697920778805252</t>
  </si>
  <si>
    <t>1506699605626568709</t>
  </si>
  <si>
    <t>1506701211315183616</t>
  </si>
  <si>
    <t>1506701502727008260</t>
  </si>
  <si>
    <t>1506709753128493059</t>
  </si>
  <si>
    <t>1506710105143787538</t>
  </si>
  <si>
    <t>1506716549587083266</t>
  </si>
  <si>
    <t>1506721750108852237</t>
  </si>
  <si>
    <t>1506726435381202960</t>
  </si>
  <si>
    <t>1506727896035074052</t>
  </si>
  <si>
    <t>1506728889946624007</t>
  </si>
  <si>
    <t>1506733139867193346</t>
  </si>
  <si>
    <t>1506733637152161805</t>
  </si>
  <si>
    <t>1506734510335053835</t>
  </si>
  <si>
    <t>1506747455978844164</t>
  </si>
  <si>
    <t>1506750158339457039</t>
  </si>
  <si>
    <t>1506755928539942917</t>
  </si>
  <si>
    <t>1506888449403535362</t>
  </si>
  <si>
    <t>1506889006885314566</t>
  </si>
  <si>
    <t>1506909413755564037</t>
  </si>
  <si>
    <t>1506910835700121604</t>
  </si>
  <si>
    <t>1506916329118474242</t>
  </si>
  <si>
    <t>1506919246693085189</t>
  </si>
  <si>
    <t>1506925152055009285</t>
  </si>
  <si>
    <t>1506927922665639941</t>
  </si>
  <si>
    <t>1506940761492709376</t>
  </si>
  <si>
    <t>1506945770058092544</t>
  </si>
  <si>
    <t>1506946436281376773</t>
  </si>
  <si>
    <t>1506946455591952384</t>
  </si>
  <si>
    <t>1506980572169703425</t>
  </si>
  <si>
    <t>1506990981840728065</t>
  </si>
  <si>
    <t>1506991315787173893</t>
  </si>
  <si>
    <t>1506995246395179013</t>
  </si>
  <si>
    <t>1506996369906712583</t>
  </si>
  <si>
    <t>1506998415665905666</t>
  </si>
  <si>
    <t>1506999074238742528</t>
  </si>
  <si>
    <t>1507004043431841803</t>
  </si>
  <si>
    <t>1507008518754209793</t>
  </si>
  <si>
    <t>1507008587029045257</t>
  </si>
  <si>
    <t>1507006997320790022</t>
  </si>
  <si>
    <t>1507009508739932171</t>
  </si>
  <si>
    <t>1507010791521734665</t>
  </si>
  <si>
    <t>1507010862296432659</t>
  </si>
  <si>
    <t>1507013261585047553</t>
  </si>
  <si>
    <t>1507014356323614727</t>
  </si>
  <si>
    <t>1507019384367157251</t>
  </si>
  <si>
    <t>1506624951952056325</t>
  </si>
  <si>
    <t>1507019818460860424</t>
  </si>
  <si>
    <t>1507020146858029069</t>
  </si>
  <si>
    <t>1507020555739873284</t>
  </si>
  <si>
    <t>1507020815929208846</t>
  </si>
  <si>
    <t>1507020881637216264</t>
  </si>
  <si>
    <t>1507021007462281218</t>
  </si>
  <si>
    <t>1507021833811357705</t>
  </si>
  <si>
    <t>1507021903147458561</t>
  </si>
  <si>
    <t>1507022062480773126</t>
  </si>
  <si>
    <t>1507023064558673924</t>
  </si>
  <si>
    <t>1507025186369028101</t>
  </si>
  <si>
    <t>1506629176329125895</t>
  </si>
  <si>
    <t>1507025243411521542</t>
  </si>
  <si>
    <t>1507024733224816641</t>
  </si>
  <si>
    <t>1507025501113786369</t>
  </si>
  <si>
    <t>1507025624849960960</t>
  </si>
  <si>
    <t>1507026883149549582</t>
  </si>
  <si>
    <t>1507026925042245640</t>
  </si>
  <si>
    <t>1507027017706975241</t>
  </si>
  <si>
    <t>1507027193972539400</t>
  </si>
  <si>
    <t>1507027272271900682</t>
  </si>
  <si>
    <t>1507028021995347968</t>
  </si>
  <si>
    <t>1507029028967956496</t>
  </si>
  <si>
    <t>1507029310674190344</t>
  </si>
  <si>
    <t>1507030537541718032</t>
  </si>
  <si>
    <t>1507030595444092929</t>
  </si>
  <si>
    <t>1507031104494129156</t>
  </si>
  <si>
    <t>1507031117483986944</t>
  </si>
  <si>
    <t>1507031154163130373</t>
  </si>
  <si>
    <t>1506990637954084867</t>
  </si>
  <si>
    <t>1507031877173006336</t>
  </si>
  <si>
    <t>1507032122363633666</t>
  </si>
  <si>
    <t>1507032301166903306</t>
  </si>
  <si>
    <t>1507032817355706369</t>
  </si>
  <si>
    <t>1507033314611376139</t>
  </si>
  <si>
    <t>1507035082451828746</t>
  </si>
  <si>
    <t>1507035410765127684</t>
  </si>
  <si>
    <t>1507035833890652169</t>
  </si>
  <si>
    <t>1507035996432572419</t>
  </si>
  <si>
    <t>1507037502548418569</t>
  </si>
  <si>
    <t>1507038063888900106</t>
  </si>
  <si>
    <t>1507038370983161858</t>
  </si>
  <si>
    <t>1507038422732611586</t>
  </si>
  <si>
    <t>1507039884191674372</t>
  </si>
  <si>
    <t>1507041145460862977</t>
  </si>
  <si>
    <t>1507041343247470601</t>
  </si>
  <si>
    <t>1507041368820133899</t>
  </si>
  <si>
    <t>1507042038906249223</t>
  </si>
  <si>
    <t>1507042217885581313</t>
  </si>
  <si>
    <t>1507042446152196099</t>
  </si>
  <si>
    <t>1507042513722519555</t>
  </si>
  <si>
    <t>1507044907718000649</t>
  </si>
  <si>
    <t>1507045012500013057</t>
  </si>
  <si>
    <t>1507045784004481027</t>
  </si>
  <si>
    <t>1507046107607715851</t>
  </si>
  <si>
    <t>1507046903514603533</t>
  </si>
  <si>
    <t>1507047880674131968</t>
  </si>
  <si>
    <t>1507048807724470275</t>
  </si>
  <si>
    <t>1507050581633941523</t>
  </si>
  <si>
    <t>1507051006680576001</t>
  </si>
  <si>
    <t>1507052298517762059</t>
  </si>
  <si>
    <t>1507054328082751488</t>
  </si>
  <si>
    <t>1507054523432546327</t>
  </si>
  <si>
    <t>1507054723735732232</t>
  </si>
  <si>
    <t>1507055466718941194</t>
  </si>
  <si>
    <t>1507055507890184209</t>
  </si>
  <si>
    <t>1507056607292710917</t>
  </si>
  <si>
    <t>1507056995542654976</t>
  </si>
  <si>
    <t>1507057363248889863</t>
  </si>
  <si>
    <t>1507058239925628942</t>
  </si>
  <si>
    <t>1507058778109358088</t>
  </si>
  <si>
    <t>1507063812540805129</t>
  </si>
  <si>
    <t>1507068009629851655</t>
  </si>
  <si>
    <t>1507068458042802184</t>
  </si>
  <si>
    <t>1507069616543215617</t>
  </si>
  <si>
    <t>1507073333787041797</t>
  </si>
  <si>
    <t>1507073832003293187</t>
  </si>
  <si>
    <t>1507075307207069700</t>
  </si>
  <si>
    <t>1507077434339958790</t>
  </si>
  <si>
    <t>1507080790580121600</t>
  </si>
  <si>
    <t>1507083212383682560</t>
  </si>
  <si>
    <t>1507085226626928641</t>
  </si>
  <si>
    <t>1507085640164335619</t>
  </si>
  <si>
    <t>1507088778862673932</t>
  </si>
  <si>
    <t>1505917411349909506</t>
  </si>
  <si>
    <t>1507090400061894656</t>
  </si>
  <si>
    <t>1507091366815358980</t>
  </si>
  <si>
    <t>1507091461455683598</t>
  </si>
  <si>
    <t>1507091579105955843</t>
  </si>
  <si>
    <t>1507094123135881218</t>
  </si>
  <si>
    <t>1507095795207659532</t>
  </si>
  <si>
    <t>1507097314124603393</t>
  </si>
  <si>
    <t>1507099455316766722</t>
  </si>
  <si>
    <t>1507099512761901056</t>
  </si>
  <si>
    <t>1507101341990150155</t>
  </si>
  <si>
    <t>1507102158638002183</t>
  </si>
  <si>
    <t>1507102397755273222</t>
  </si>
  <si>
    <t>1507105637561421834</t>
  </si>
  <si>
    <t>1507106673348919300</t>
  </si>
  <si>
    <t>1507107492098154500</t>
  </si>
  <si>
    <t>1507113288861204496</t>
  </si>
  <si>
    <t>1507120193209831427</t>
  </si>
  <si>
    <t>1507121785946443785</t>
  </si>
  <si>
    <t>1507129670755565571</t>
  </si>
  <si>
    <t>1507144570177572867</t>
  </si>
  <si>
    <t>1507166884705280005</t>
  </si>
  <si>
    <t>1507087487281283075</t>
  </si>
  <si>
    <t>1507209823540195330</t>
  </si>
  <si>
    <t>1506619784791826438</t>
  </si>
  <si>
    <t>1507048045418012679</t>
  </si>
  <si>
    <t>1506664459393241095</t>
  </si>
  <si>
    <t>1507216209032491008</t>
  </si>
  <si>
    <t>1507218612385460245</t>
  </si>
  <si>
    <t>1507215572383281167</t>
  </si>
  <si>
    <t>1507227411091533839</t>
  </si>
  <si>
    <t>1507227470969417747</t>
  </si>
  <si>
    <t>1507228598666768388</t>
  </si>
  <si>
    <t>1507228600227049489</t>
  </si>
  <si>
    <t>1507230384236515330</t>
  </si>
  <si>
    <t>1507231997462204427</t>
  </si>
  <si>
    <t>1507232896880418817</t>
  </si>
  <si>
    <t>1507235371272355842</t>
  </si>
  <si>
    <t>1507237321678245889</t>
  </si>
  <si>
    <t>1507239372160122880</t>
  </si>
  <si>
    <t>1507092752114323457</t>
  </si>
  <si>
    <t>1507254642773741611</t>
  </si>
  <si>
    <t>1507267240986619909</t>
  </si>
  <si>
    <t>1507272380120457219</t>
  </si>
  <si>
    <t>1507275636636803072</t>
  </si>
  <si>
    <t>1507276260308926497</t>
  </si>
  <si>
    <t>1507279087525675018</t>
  </si>
  <si>
    <t>1507288678275633159</t>
  </si>
  <si>
    <t>1507290078623801347</t>
  </si>
  <si>
    <t>1507291024896495619</t>
  </si>
  <si>
    <t>1507297588223041625</t>
  </si>
  <si>
    <t>1507298091095011331</t>
  </si>
  <si>
    <t>1507298347824070658</t>
  </si>
  <si>
    <t>1507298371601588227</t>
  </si>
  <si>
    <t>1507299363864948745</t>
  </si>
  <si>
    <t>1507299641469067283</t>
  </si>
  <si>
    <t>1507299924064587781</t>
  </si>
  <si>
    <t>1507300810895548418</t>
  </si>
  <si>
    <t>1507300919263830018</t>
  </si>
  <si>
    <t>1507300962381217796</t>
  </si>
  <si>
    <t>1507301304355500036</t>
  </si>
  <si>
    <t>1507301344457428996</t>
  </si>
  <si>
    <t>1507301750579027988</t>
  </si>
  <si>
    <t>1507302499287552001</t>
  </si>
  <si>
    <t>1507302786551144459</t>
  </si>
  <si>
    <t>1507073604109885440</t>
  </si>
  <si>
    <t>1507303133109755904</t>
  </si>
  <si>
    <t>1507303609913991184</t>
  </si>
  <si>
    <t>1507303635079905282</t>
  </si>
  <si>
    <t>1507304437446066178</t>
  </si>
  <si>
    <t>1507304672557740032</t>
  </si>
  <si>
    <t>1507304777260179456</t>
  </si>
  <si>
    <t>1507304833312862210</t>
  </si>
  <si>
    <t>1507305025185452034</t>
  </si>
  <si>
    <t>1507305060522418216</t>
  </si>
  <si>
    <t>1507305359614042137</t>
  </si>
  <si>
    <t>1507305607497494529</t>
  </si>
  <si>
    <t>1506994320288759817</t>
  </si>
  <si>
    <t>1507305695158358018</t>
  </si>
  <si>
    <t>1507305921613029385</t>
  </si>
  <si>
    <t>1507306009303343128</t>
  </si>
  <si>
    <t>1507262991108124672</t>
  </si>
  <si>
    <t>1507295956009639939</t>
  </si>
  <si>
    <t>1507297677159157760</t>
  </si>
  <si>
    <t>1507306139444207630</t>
  </si>
  <si>
    <t>1504865817305169920</t>
  </si>
  <si>
    <t>1500839376770969604</t>
  </si>
  <si>
    <t>1505359185008992258</t>
  </si>
  <si>
    <t>1506061460430020609</t>
  </si>
  <si>
    <t>1506550624455856128</t>
  </si>
  <si>
    <t>1506635651550433282</t>
  </si>
  <si>
    <t>1506701201815048197</t>
  </si>
  <si>
    <t>1507002403454865417</t>
  </si>
  <si>
    <t>1506997454335627272</t>
  </si>
  <si>
    <t>1506994505249181706</t>
  </si>
  <si>
    <t>1507011358881050624</t>
  </si>
  <si>
    <t>1507036648634261506</t>
  </si>
  <si>
    <t>1507223662184869912</t>
  </si>
  <si>
    <t>1507075231252369410</t>
  </si>
  <si>
    <t>1507205591017664513</t>
  </si>
  <si>
    <t>1506994458310623236</t>
  </si>
  <si>
    <t>1504865209097211905</t>
  </si>
  <si>
    <t>1461373616575037444</t>
  </si>
  <si>
    <t>1467992361938534400</t>
  </si>
  <si>
    <t>747769664273514496</t>
  </si>
  <si>
    <t/>
  </si>
  <si>
    <t>1297507998546276352</t>
  </si>
  <si>
    <t>994801274091687936</t>
  </si>
  <si>
    <t>1301086910</t>
  </si>
  <si>
    <t>29024211</t>
  </si>
  <si>
    <t>788476254760669184</t>
  </si>
  <si>
    <t>1278205890</t>
  </si>
  <si>
    <t>878250730523701249</t>
  </si>
  <si>
    <t>1060905860</t>
  </si>
  <si>
    <t>280895855</t>
  </si>
  <si>
    <t>852515687549603840</t>
  </si>
  <si>
    <t>3312785003</t>
  </si>
  <si>
    <t>235148859</t>
  </si>
  <si>
    <t>2246935662</t>
  </si>
  <si>
    <t>in</t>
  </si>
  <si>
    <t>fr</t>
  </si>
  <si>
    <t>en</t>
  </si>
  <si>
    <t>fi</t>
  </si>
  <si>
    <t>lt</t>
  </si>
  <si>
    <t>ja</t>
  </si>
  <si>
    <t>et</t>
  </si>
  <si>
    <t>sv</t>
  </si>
  <si>
    <t>und</t>
  </si>
  <si>
    <t>1506985820456108033</t>
  </si>
  <si>
    <t>1507079035528126470</t>
  </si>
  <si>
    <t>1507002634938380300</t>
  </si>
  <si>
    <t>Twitter for Android</t>
  </si>
  <si>
    <t>Twitter Web App</t>
  </si>
  <si>
    <t>Twitter for iPhone</t>
  </si>
  <si>
    <t>TweetDeck</t>
  </si>
  <si>
    <t>IFTTT</t>
  </si>
  <si>
    <t>dlvr.it</t>
  </si>
  <si>
    <t>Ywe Uutiset</t>
  </si>
  <si>
    <t>HS.fi tweets</t>
  </si>
  <si>
    <t>Twitter for iPad</t>
  </si>
  <si>
    <t>Tweetbot for iΟS</t>
  </si>
  <si>
    <t>22,353702,60,447193 
22,702566,60,447193 
22,702566,60,6407922 
22,353702,60,6407922</t>
  </si>
  <si>
    <t>26,748228,63,844761 
28,157609,63,844761 
28,157609,64,3646718 
26,748228,64,3646718</t>
  </si>
  <si>
    <t>24,746446,60,2371807 
25,1928034,60,2371807 
25,1928034,60,401142 
24,746446,60,401142</t>
  </si>
  <si>
    <t>Finland</t>
  </si>
  <si>
    <t>FI</t>
  </si>
  <si>
    <t>Lieto, Suomi</t>
  </si>
  <si>
    <t>Kajaani, Suomi</t>
  </si>
  <si>
    <t>Vantaa, Suomi</t>
  </si>
  <si>
    <t>67459c9774b13146</t>
  </si>
  <si>
    <t>46fab8d7e49bc8db</t>
  </si>
  <si>
    <t>253497d02bb72629</t>
  </si>
  <si>
    <t>Lieto</t>
  </si>
  <si>
    <t>Kajaani</t>
  </si>
  <si>
    <t>Vantaa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</si>
  <si>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</si>
  <si>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</si>
  <si>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</si>
  <si>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</si>
  <si>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</si>
  <si>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</si>
  <si>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</si>
  <si>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</si>
  <si>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</si>
  <si>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</si>
  <si>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</si>
  <si>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</si>
  <si>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</si>
  <si>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</si>
  <si>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</si>
  <si>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</si>
  <si>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</si>
  <si>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</si>
  <si>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</si>
  <si>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</si>
  <si>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</si>
  <si>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</si>
  <si>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</si>
  <si>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delvin</t>
  </si>
  <si>
    <t>ist</t>
  </si>
  <si>
    <t>Lisa Janda Muda _xD83D__xDC95_</t>
  </si>
  <si>
    <t>Melina Sahara</t>
  </si>
  <si>
    <t>Jeno. #GlitchMode</t>
  </si>
  <si>
    <t>SUKA SUKA SAYA</t>
  </si>
  <si>
    <t>NesTea</t>
  </si>
  <si>
    <t>Faayn</t>
  </si>
  <si>
    <t>ForCollecting</t>
  </si>
  <si>
    <t>eBay</t>
  </si>
  <si>
    <t>Kathy _xD83C__xDF3B_</t>
  </si>
  <si>
    <t>Leon Chang</t>
  </si>
  <si>
    <t>Gilangtamrin</t>
  </si>
  <si>
    <t>nande</t>
  </si>
  <si>
    <t>OT7PLACE VERIFAN.</t>
  </si>
  <si>
    <t>Olli Tiainen</t>
  </si>
  <si>
    <t>Aleksi Pahkala</t>
  </si>
  <si>
    <t>Kallas Lukka</t>
  </si>
  <si>
    <t>niko niklander</t>
  </si>
  <si>
    <t>♏️ℹ️ⓔⓂ️_xD83C__xDD7E_️</t>
  </si>
  <si>
    <t>Niko Matilainen</t>
  </si>
  <si>
    <t>Tiia Silvennoinen</t>
  </si>
  <si>
    <t>Henrik von Playa del Raisio _xD83C__xDDEB__xD83C__xDDEE_ _xD83C__xDDEA__xD83C__xDDFA_ _xD83D__xDC99__xD83D__xDC9B_</t>
  </si>
  <si>
    <t>invasion condemner</t>
  </si>
  <si>
    <t>Tor Lillqvist</t>
  </si>
  <si>
    <t>Janne Näätänen</t>
  </si>
  <si>
    <t>Rosa Meriläinen</t>
  </si>
  <si>
    <t>_xD835__xDD0E__xD835__xDD26__xD835__xDD2A__xD835__xDD2A__xD835__xDD2C_ _xD835__xDD13__xD835__xDD1E__xD835__xDD2F__xD835__xDD33__xD835__xDD26__xD835__xDD1E__xD835__xDD26__xD835__xDD2B__xD835__xDD22__xD835__xDD2B_-_xD835__xDD0D__xD835__xDD1E__xD835__xDD29__xD835__xDD1E__xD835__xDD2B__xD835__xDD28__xD835__xDD2C_</t>
  </si>
  <si>
    <t>Karri Suonperä</t>
  </si>
  <si>
    <t>Hikipedia</t>
  </si>
  <si>
    <t>Jarmo Puolakanaho</t>
  </si>
  <si>
    <t>Jane Austerity</t>
  </si>
  <si>
    <t>Jarkko Hirvonen _xD83C__xDDFA__xD83C__xDDE6_</t>
  </si>
  <si>
    <t>Kketo</t>
  </si>
  <si>
    <t>Lauri Kangasniemi</t>
  </si>
  <si>
    <t>Janne Pekkala</t>
  </si>
  <si>
    <t>fifafo</t>
  </si>
  <si>
    <t>GIVEAWAY ACNES ON PINNED TWEET</t>
  </si>
  <si>
    <t>Jere Hakkarainen</t>
  </si>
  <si>
    <t>Antti Seppälä _xD83C__xDDFA__xD83C__xDDE6_</t>
  </si>
  <si>
    <t>Ari H _xD83D__xDC99__xD83D__xDC9B_</t>
  </si>
  <si>
    <t>' Olavi Granström '' _xD83C__xDDFA__xD83C__xDDE6_</t>
  </si>
  <si>
    <t>Petri Pihko</t>
  </si>
  <si>
    <t>Ukkonen®⚡</t>
  </si>
  <si>
    <t>Tiina Koivu</t>
  </si>
  <si>
    <t>Jussi Saarelma</t>
  </si>
  <si>
    <t>Jarno Malaprade</t>
  </si>
  <si>
    <t>ragelapsi_xD83C__xDDFA__xD83C__xDDE6_</t>
  </si>
  <si>
    <t>wamen arm hot</t>
  </si>
  <si>
    <t>Rainer Tenhunen</t>
  </si>
  <si>
    <t>Matti _xD83C__xDDEB__xD83C__xDDEE__xD83C__xDFF4__xDB40__xDC67__xDB40__xDC62__xDB40__xDC73__xDB40__xDC63__xDB40__xDC74__xDB40__xDC7F__xD83C__xDDFA__xD83C__xDDE6_</t>
  </si>
  <si>
    <t>Gaia _xD83C__xDF3B__xD83D__xDC99__xD83D__xDC9B__xD83C__xDF3B_</t>
  </si>
  <si>
    <t>Mika Peltola</t>
  </si>
  <si>
    <t>lunediblue</t>
  </si>
  <si>
    <t>Sami Gabbouj</t>
  </si>
  <si>
    <t>Pekka Juntti</t>
  </si>
  <si>
    <t>Lotta Backlund</t>
  </si>
  <si>
    <t>Niina Muyau</t>
  </si>
  <si>
    <t>Jani Turku</t>
  </si>
  <si>
    <t>Antti Arnkil</t>
  </si>
  <si>
    <t>Mikko Hongisto</t>
  </si>
  <si>
    <t>Reko Castren</t>
  </si>
  <si>
    <t>Jani Pellinen</t>
  </si>
  <si>
    <t>Jani-Pekka Kajan</t>
  </si>
  <si>
    <t>Sami Laiho</t>
  </si>
  <si>
    <t>chris mills</t>
  </si>
  <si>
    <t>Harald Hannelius</t>
  </si>
  <si>
    <t>Tiina Ripatti</t>
  </si>
  <si>
    <t>Sinimarja Hardén</t>
  </si>
  <si>
    <t>Aapo Nyholm _xD83C__xDDEB__xD83C__xDDEE_❤️_xD83C__xDDFA__xD83C__xDDE6_</t>
  </si>
  <si>
    <t>Talle Kilpeläinen</t>
  </si>
  <si>
    <t>DocJares</t>
  </si>
  <si>
    <t>TsemppiKoala _xD83D__xDC28_™️ _xD83C__xDFF3_️</t>
  </si>
  <si>
    <t>janhama _xD83C__xDDFA__xD83C__xDDE6_</t>
  </si>
  <si>
    <t>Teemu Korpiaho</t>
  </si>
  <si>
    <t>Lauri Loven</t>
  </si>
  <si>
    <t>Sans Incisor</t>
  </si>
  <si>
    <t>ruura :3 _xD83D__xDC30_</t>
  </si>
  <si>
    <t>Rag Zila</t>
  </si>
  <si>
    <t>Infinite Valley</t>
  </si>
  <si>
    <t>Kapitan Suolisølmu</t>
  </si>
  <si>
    <t>Kasper Rautalinko _xD83C__xDDFA__xD83C__xDDE6_</t>
  </si>
  <si>
    <t>Maarit</t>
  </si>
  <si>
    <t>Sani Leino</t>
  </si>
  <si>
    <t>Salla_xD83C__xDF3B__xD83D__xDC9B__xD83D__xDC99_</t>
  </si>
  <si>
    <t>Panu Vatanen</t>
  </si>
  <si>
    <t>Oona S. _xD83C__xDF31_</t>
  </si>
  <si>
    <t>rnykdw♥️</t>
  </si>
  <si>
    <t>Mikko Juva _xD83C__xDDFA__xD83C__xDDE6__xD83C__xDDEB__xD83C__xDDEE__xD83C__xDDEA__xD83C__xDDFA_</t>
  </si>
  <si>
    <t>Tapani Pöykkö</t>
  </si>
  <si>
    <t>Antti Haapala _xD83C__xDDEB__xD83C__xDDEE_ _xD83C__xDDEA__xD83C__xDDFA_ _xD83C__xDDFA__xD83C__xDDE6_ _xD83D__xDD96_</t>
  </si>
  <si>
    <t>Ariel Neulaniemi</t>
  </si>
  <si>
    <t>HS Visio</t>
  </si>
  <si>
    <t>Ville Tulkki</t>
  </si>
  <si>
    <t>Helsingin Sanomat</t>
  </si>
  <si>
    <t>Pekka Rahko</t>
  </si>
  <si>
    <t>Suomalainen Työ</t>
  </si>
  <si>
    <t>Design from Finland</t>
  </si>
  <si>
    <t>Ywe Uutiset UwU</t>
  </si>
  <si>
    <t>V-P ”släpmän” Kuusisto</t>
  </si>
  <si>
    <t>Juha Tenhonen</t>
  </si>
  <si>
    <t>Jere Jaakkola</t>
  </si>
  <si>
    <t>Minna Ruokonen</t>
  </si>
  <si>
    <t>Hannu Hynönen</t>
  </si>
  <si>
    <t>Teemu Lahtinen _xD83C__xDDEB__xD83C__xDDEE_</t>
  </si>
  <si>
    <t>Teija Larikka _xD83C__xDDFA__xD83C__xDDE6_</t>
  </si>
  <si>
    <t>Antti Van Wonterghem_xD83C__xDDEB__xD83C__xDDEE__xD83C__xDDE7__xD83C__xDDEA__xD83D__xDC99__xD83D__xDC9B_ Slava Ukraini!</t>
  </si>
  <si>
    <t>Alma Onali</t>
  </si>
  <si>
    <t>Mikko Stenlund _xD83C__xDDFA__xD83C__xDDE6_</t>
  </si>
  <si>
    <t>EHJR</t>
  </si>
  <si>
    <t>Timo Pennanen</t>
  </si>
  <si>
    <t>Iikka Kivi</t>
  </si>
  <si>
    <t>Mikko Aaltonen _xD83C__xDDFA__xD83C__xDDE6_</t>
  </si>
  <si>
    <t>Vesavee</t>
  </si>
  <si>
    <t>Pauli Wahlberg</t>
  </si>
  <si>
    <t>Sami Salmu _xD83C__xDF3B_</t>
  </si>
  <si>
    <t>Marko Suomi</t>
  </si>
  <si>
    <t>Mikael Rauhansalo</t>
  </si>
  <si>
    <t>Viekaskettu _xD83D__xDC99__xD83D__xDC9B_</t>
  </si>
  <si>
    <t>Johanna Hellsten _xD83D__xDEE0_️_xD83C__xDDFA__xD83C__xDDE6_</t>
  </si>
  <si>
    <t>Tiina Nevanlinna</t>
  </si>
  <si>
    <t>Jussi</t>
  </si>
  <si>
    <t>Hale</t>
  </si>
  <si>
    <t>Timo Koivisto</t>
  </si>
  <si>
    <t>Joutsenikko</t>
  </si>
  <si>
    <t>Pasi Kivioja</t>
  </si>
  <si>
    <t>Jenni Janakka</t>
  </si>
  <si>
    <t>_xD83C__xDD7C__xD83C__xDD78__xD83C__xDD7A__xD83C__xDD70__xD83C__xDD74__xD83C__xDD7B_ _xD83C__xDD77_</t>
  </si>
  <si>
    <t>Lassi Ylikojola</t>
  </si>
  <si>
    <t>Johtaja Turhaporu _xD83C__xDDFA__xD83C__xDDE6_</t>
  </si>
  <si>
    <t>Iiro Rantala</t>
  </si>
  <si>
    <t>Juuso Jokinen</t>
  </si>
  <si>
    <t>Ruispårkele _xD83C__xDDFA__xD83C__xDDE6_</t>
  </si>
  <si>
    <t>Pia Pihlaja</t>
  </si>
  <si>
    <t>Pasi Yliuntinen</t>
  </si>
  <si>
    <t>Joni Jaakkola</t>
  </si>
  <si>
    <t>Salla Vuorikoski</t>
  </si>
  <si>
    <t>Antti Pärnänen</t>
  </si>
  <si>
    <t>Panu Korhonen _xD83D__xDC9A_</t>
  </si>
  <si>
    <t>Matti Saarnela</t>
  </si>
  <si>
    <t>Joonas Linkola</t>
  </si>
  <si>
    <t>NNancy</t>
  </si>
  <si>
    <t>Mari Kanerva</t>
  </si>
  <si>
    <t>Eemil Mäki-Tanila</t>
  </si>
  <si>
    <t>Elina Lappalainen</t>
  </si>
  <si>
    <t>_xD835__xDCA6__xD835__xDCBE__xD835__xDCC5__xD835__xDCB6_ _xD835__xDCA6__xD835__xDCBE__xD835__xDCC7__xD835__xDCC5__xD835__xDCC5__xD835__xDCB6__xD835__xDCC7__xD835__xDCBE_ _xD83C__xDFD2__xD83E__xDD84_</t>
  </si>
  <si>
    <t>Pekka Määttä _xD83C__xDDFA__xD83C__xDDE6_</t>
  </si>
  <si>
    <t>Marko Toikkanen</t>
  </si>
  <si>
    <t>Sara Peltola</t>
  </si>
  <si>
    <t>Satu Vennala</t>
  </si>
  <si>
    <t>Martin Paasi</t>
  </si>
  <si>
    <t>Nina Tyni</t>
  </si>
  <si>
    <t>Timo Turtiainen</t>
  </si>
  <si>
    <t>Raisa Harju-Autti</t>
  </si>
  <si>
    <t>Aksu</t>
  </si>
  <si>
    <t>Erkka Peitso</t>
  </si>
  <si>
    <t>Hannu Jaakkola</t>
  </si>
  <si>
    <t>Pinja Lehtman _xD83C__xDDEB__xD83C__xDDEE__xD83D__xDC99__xD83D__xDC9B_ _xD83C__xDDFA__xD83C__xDDE6_</t>
  </si>
  <si>
    <t>Mikko Hinkkanen</t>
  </si>
  <si>
    <t>Aapo Grönroos</t>
  </si>
  <si>
    <t>Mari Kärkkäinen</t>
  </si>
  <si>
    <t>Fillari-iskä</t>
  </si>
  <si>
    <t>Tuntematon tykkääjä</t>
  </si>
  <si>
    <t>Akseli</t>
  </si>
  <si>
    <t>anna</t>
  </si>
  <si>
    <t>Catariina Salo</t>
  </si>
  <si>
    <t>M</t>
  </si>
  <si>
    <t>Ville Saarenketo</t>
  </si>
  <si>
    <t>Маrko Koo _xD83C__xDDEB__xD83C__xDDEE_❤️_xD83C__xDDFA__xD83C__xDDE6_</t>
  </si>
  <si>
    <t>Elina Ruoppa</t>
  </si>
  <si>
    <t>Josefi _xD83C__xDDFA__xD83C__xDDE6_</t>
  </si>
  <si>
    <t>Katriina Pajari</t>
  </si>
  <si>
    <t>Hanna Heikkilä</t>
  </si>
  <si>
    <t>Lauri Pyökäri</t>
  </si>
  <si>
    <t>Pilvi Alopaeus _xD83C__xDDFA__xD83C__xDDE6_</t>
  </si>
  <si>
    <t>Tuomas Airas</t>
  </si>
  <si>
    <t>Anka Ingman</t>
  </si>
  <si>
    <t>Jorma Karvonen</t>
  </si>
  <si>
    <t>Soili Hietaniemi _xD83C__xDDEB__xD83C__xDDEE__xD83C__xDDEA__xD83C__xDDFA_</t>
  </si>
  <si>
    <t>Sanna Ruoho</t>
  </si>
  <si>
    <t>Sami Lampinen</t>
  </si>
  <si>
    <t>Eveliina Paljärvi</t>
  </si>
  <si>
    <t>Ville Leinonen</t>
  </si>
  <si>
    <t>Juho Kastemaa</t>
  </si>
  <si>
    <t>Matti Paavonen _xD83C__xDDFA__xD83C__xDDE6_</t>
  </si>
  <si>
    <t>Katja Lappi _xD83C__xDDFA__xD83C__xDDE6_</t>
  </si>
  <si>
    <t>Timo Tolkki</t>
  </si>
  <si>
    <t>Pirkka-oluen tuoksuinen tyttö _xD83C__xDDFA__xD83C__xDDE6_</t>
  </si>
  <si>
    <t>Otto Aura</t>
  </si>
  <si>
    <t>Petri Wanner</t>
  </si>
  <si>
    <t>Aki Laine</t>
  </si>
  <si>
    <t>Jaakko Koskenkorva</t>
  </si>
  <si>
    <t>Miia / Ursula Mursu</t>
  </si>
  <si>
    <t>Marianne Juntunen</t>
  </si>
  <si>
    <t>Marko Simo</t>
  </si>
  <si>
    <t>Jonne Miettunen</t>
  </si>
  <si>
    <t>Hannu Verronen</t>
  </si>
  <si>
    <t>Paavo Kopra</t>
  </si>
  <si>
    <t>Matti Muukkonen _xD83C__xDDFA__xD83C__xDDE6_</t>
  </si>
  <si>
    <t>Sami Rajala _xD83C__xDDFA__xD83C__xDDE6__xD83C__xDDEB__xD83C__xDDEE__xD83C__xDDEA__xD83C__xDDFA_</t>
  </si>
  <si>
    <t>Sakari საქარი Kestinen _xD83C__xDDEB__xD83C__xDDEE__xD83C__xDDEA__xD83C__xDDFA__xD83C__xDF0D__xD83C__xDF3B_</t>
  </si>
  <si>
    <t>Olli Pursiainen</t>
  </si>
  <si>
    <t>Antti Pikkuaho</t>
  </si>
  <si>
    <t>Cevor Tikerpuu</t>
  </si>
  <si>
    <t>Tarja van _xD83C__xDF0D__xD83C__xDF0C_</t>
  </si>
  <si>
    <t>Koiraystävä</t>
  </si>
  <si>
    <t>heikki</t>
  </si>
  <si>
    <t>Ninnu</t>
  </si>
  <si>
    <t>Tiina Rytky</t>
  </si>
  <si>
    <t>Anniilaughs in the void</t>
  </si>
  <si>
    <t>Jani Leino</t>
  </si>
  <si>
    <t>Teuvo Moisa_xD83C__xDDFA__xD83C__xDDE6__xD83C__xDDEB__xD83C__xDDEE_</t>
  </si>
  <si>
    <t>Riikka Pöntinen</t>
  </si>
  <si>
    <t>Anna Metsola</t>
  </si>
  <si>
    <t>Menchi</t>
  </si>
  <si>
    <t>Anni K.</t>
  </si>
  <si>
    <t>Jan Koski</t>
  </si>
  <si>
    <t>Kinfe _xD83C__xDDFA__xD83C__xDDE6_</t>
  </si>
  <si>
    <t>Suvi Vainio</t>
  </si>
  <si>
    <t>S. A. Keränen</t>
  </si>
  <si>
    <t>Ari-Pekka Pulkkis</t>
  </si>
  <si>
    <t>Ville Koivuniemi _xD83C__xDDEA__xD83C__xDDFA__xD83C__xDDEB__xD83C__xDDEE__xD83C__xDDFA__xD83C__xDDE6_</t>
  </si>
  <si>
    <t>Outi Grusander</t>
  </si>
  <si>
    <t>Raine Koivumäki</t>
  </si>
  <si>
    <t>Salminen Esa</t>
  </si>
  <si>
    <t>Outi Korpilähde</t>
  </si>
  <si>
    <t>Minna Lampinen</t>
  </si>
  <si>
    <t>Sami Kuusela</t>
  </si>
  <si>
    <t>Oliver Löser</t>
  </si>
  <si>
    <t>Tanja _xD83C__xDF3B_</t>
  </si>
  <si>
    <t>Ville Ilvonen</t>
  </si>
  <si>
    <t>zasd</t>
  </si>
  <si>
    <t>Helena  Hulkko</t>
  </si>
  <si>
    <t>Laura</t>
  </si>
  <si>
    <t>U m a _xD83D__xDE37_</t>
  </si>
  <si>
    <t>Juha Penttinen</t>
  </si>
  <si>
    <t>Mies</t>
  </si>
  <si>
    <t>Satu Hujanen</t>
  </si>
  <si>
    <t>Marika Heinilä _xD83C__xDDEB__xD83C__xDDEE__xD83C__xDDFA__xD83C__xDDE6_</t>
  </si>
  <si>
    <t>Raimo Saastamoinen</t>
  </si>
  <si>
    <t>Pralinekaisa</t>
  </si>
  <si>
    <t>Satu Pasanen</t>
  </si>
  <si>
    <t>Suvi tuplamaisteri Seikkula _xD83C__xDDEB__xD83C__xDDEE_ _xD83C__xDDFA__xD83C__xDDE6_</t>
  </si>
  <si>
    <t>Mimosa Nurmela</t>
  </si>
  <si>
    <t>Jyri Lehtinen /'jyri 'lehtinen/</t>
  </si>
  <si>
    <t>Mikk Murdvee</t>
  </si>
  <si>
    <t>Jarkko Girs</t>
  </si>
  <si>
    <t>Panopticon</t>
  </si>
  <si>
    <t>Jari Mäkäräinen</t>
  </si>
  <si>
    <t>Harri Kreus _xD83C__xDDFA__xD83C__xDDE6_</t>
  </si>
  <si>
    <t>Hannu Rusanen</t>
  </si>
  <si>
    <t>Business Lapland</t>
  </si>
  <si>
    <t>Posio Lapland</t>
  </si>
  <si>
    <t>Jarkko Dahlström</t>
  </si>
  <si>
    <t>Anna Pakkala</t>
  </si>
  <si>
    <t>Eila-Pertti</t>
  </si>
  <si>
    <t>Julius Karlsson</t>
  </si>
  <si>
    <t>Peltsi Peltola</t>
  </si>
  <si>
    <t>Wallellaa_xD83C__xDDFA__xD83C__xDDE6_</t>
  </si>
  <si>
    <t>Annakaisa Pirilä</t>
  </si>
  <si>
    <t>Riku Malminiemi _xD83C__xDF3B__xD83D__xDC99__xD83D__xDC9B_</t>
  </si>
  <si>
    <t>Joni Aittola</t>
  </si>
  <si>
    <t>Helena Paakko</t>
  </si>
  <si>
    <t>j-j rehn</t>
  </si>
  <si>
    <t>_xD835__xDD0D__xD835__xDD32__xD835__xDD25__xD835__xDD1E_ _xD835__xDD0D__xD835__xDD1E__xD835__xDD31__xD835__xDD28__xD835__xDD2C__xD835__xDD29__xD835__xDD1E_</t>
  </si>
  <si>
    <t>_xD83C__xDDEB__xD83C__xDDEE_ ⚔️ Maaninka ⚖️ _xD83C__xDDFA__xD83C__xDDE6_</t>
  </si>
  <si>
    <t>Aapo Haavisto _xD83C__xDDEB__xD83C__xDDEE__xD83C__xDDFA__xD83C__xDDE6_</t>
  </si>
  <si>
    <t>DanC</t>
  </si>
  <si>
    <t>Arto Välimäki</t>
  </si>
  <si>
    <t>Muoriska Joentakanen</t>
  </si>
  <si>
    <t>✨✨heidi✨✨ // om nom nom_xD83C__xDF64_</t>
  </si>
  <si>
    <t>Marko Liljeström _xD83C__xDDEB__xD83C__xDDEE__xD83C__xDDFA__xD83C__xDDE6_</t>
  </si>
  <si>
    <t>Joel Rouvinen</t>
  </si>
  <si>
    <t>TurunSarjakuvakauppa</t>
  </si>
  <si>
    <t>_xD835__xDC32__xD835__xDC1E__xD835__xDC25__xD835__xDC1A__xD835__xDC31__xD835__xDC31_ #FeelMyRhythm</t>
  </si>
  <si>
    <t>1488765472002965509</t>
  </si>
  <si>
    <t>1371908427593572352</t>
  </si>
  <si>
    <t>1036271856678912000</t>
  </si>
  <si>
    <t>789572293320138756</t>
  </si>
  <si>
    <t>1221525212</t>
  </si>
  <si>
    <t>19709040</t>
  </si>
  <si>
    <t>189627901</t>
  </si>
  <si>
    <t>1463384048567418884</t>
  </si>
  <si>
    <t>4622724852</t>
  </si>
  <si>
    <t>1345421986239975424</t>
  </si>
  <si>
    <t>2731674961</t>
  </si>
  <si>
    <t>746386126076784640</t>
  </si>
  <si>
    <t>969685489</t>
  </si>
  <si>
    <t>18017206</t>
  </si>
  <si>
    <t>4867328686</t>
  </si>
  <si>
    <t>786216422657650688</t>
  </si>
  <si>
    <t>1372797478303453185</t>
  </si>
  <si>
    <t>380345819</t>
  </si>
  <si>
    <t>2546077902</t>
  </si>
  <si>
    <t>787178274</t>
  </si>
  <si>
    <t>2826613735</t>
  </si>
  <si>
    <t>14532344</t>
  </si>
  <si>
    <t>28034404</t>
  </si>
  <si>
    <t>2294623436</t>
  </si>
  <si>
    <t>21287393</t>
  </si>
  <si>
    <t>2714951676</t>
  </si>
  <si>
    <t>715045875404423169</t>
  </si>
  <si>
    <t>986505239535783936</t>
  </si>
  <si>
    <t>114738266</t>
  </si>
  <si>
    <t>2858358838</t>
  </si>
  <si>
    <t>210749740</t>
  </si>
  <si>
    <t>3925857208</t>
  </si>
  <si>
    <t>67062441</t>
  </si>
  <si>
    <t>29949263</t>
  </si>
  <si>
    <t>1349007442890412035</t>
  </si>
  <si>
    <t>542775437</t>
  </si>
  <si>
    <t>986332615878873088</t>
  </si>
  <si>
    <t>37638161</t>
  </si>
  <si>
    <t>2274156210</t>
  </si>
  <si>
    <t>40440654</t>
  </si>
  <si>
    <t>1462172047803564043</t>
  </si>
  <si>
    <t>3253814751</t>
  </si>
  <si>
    <t>13512152</t>
  </si>
  <si>
    <t>1393481765357080578</t>
  </si>
  <si>
    <t>2335571870</t>
  </si>
  <si>
    <t>961260517</t>
  </si>
  <si>
    <t>128778816</t>
  </si>
  <si>
    <t>2208996566</t>
  </si>
  <si>
    <t>2177384734</t>
  </si>
  <si>
    <t>23672373</t>
  </si>
  <si>
    <t>1432593540199108610</t>
  </si>
  <si>
    <t>58729619</t>
  </si>
  <si>
    <t>979035942</t>
  </si>
  <si>
    <t>102140645</t>
  </si>
  <si>
    <t>702370423</t>
  </si>
  <si>
    <t>566590680</t>
  </si>
  <si>
    <t>876326318</t>
  </si>
  <si>
    <t>268777564</t>
  </si>
  <si>
    <t>2670395111</t>
  </si>
  <si>
    <t>1672927381</t>
  </si>
  <si>
    <t>4210718259</t>
  </si>
  <si>
    <t>2525961593</t>
  </si>
  <si>
    <t>1103224267012014080</t>
  </si>
  <si>
    <t>994299053990129664</t>
  </si>
  <si>
    <t>1186733459349348355</t>
  </si>
  <si>
    <t>1328250727660216321</t>
  </si>
  <si>
    <t>1238385158383960064</t>
  </si>
  <si>
    <t>225134792</t>
  </si>
  <si>
    <t>57332844</t>
  </si>
  <si>
    <t>357674191</t>
  </si>
  <si>
    <t>2726241130</t>
  </si>
  <si>
    <t>1497455193969070080</t>
  </si>
  <si>
    <t>869311775761498112</t>
  </si>
  <si>
    <t>1457860015</t>
  </si>
  <si>
    <t>1003293677387689984</t>
  </si>
  <si>
    <t>1497826819839606787</t>
  </si>
  <si>
    <t>122337276</t>
  </si>
  <si>
    <t>481995216</t>
  </si>
  <si>
    <t>1285283140815257602</t>
  </si>
  <si>
    <t>350041845</t>
  </si>
  <si>
    <t>529452621</t>
  </si>
  <si>
    <t>102075784</t>
  </si>
  <si>
    <t>32883206</t>
  </si>
  <si>
    <t>2237284014</t>
  </si>
  <si>
    <t>1339180028161105920</t>
  </si>
  <si>
    <t>264702131</t>
  </si>
  <si>
    <t>39540130</t>
  </si>
  <si>
    <t>72531304</t>
  </si>
  <si>
    <t>466323246</t>
  </si>
  <si>
    <t>552786333</t>
  </si>
  <si>
    <t>1439312611988938759</t>
  </si>
  <si>
    <t>1004245417</t>
  </si>
  <si>
    <t>83834597</t>
  </si>
  <si>
    <t>1326136569271623682</t>
  </si>
  <si>
    <t>299689283</t>
  </si>
  <si>
    <t>203915421</t>
  </si>
  <si>
    <t>20628631</t>
  </si>
  <si>
    <t>1020994218758729728</t>
  </si>
  <si>
    <t>983526374</t>
  </si>
  <si>
    <t>593421539</t>
  </si>
  <si>
    <t>42692865</t>
  </si>
  <si>
    <t>1527117008</t>
  </si>
  <si>
    <t>1850466546</t>
  </si>
  <si>
    <t>380276751</t>
  </si>
  <si>
    <t>191414048</t>
  </si>
  <si>
    <t>3386269307</t>
  </si>
  <si>
    <t>14273044</t>
  </si>
  <si>
    <t>2237268170</t>
  </si>
  <si>
    <t>3340893363</t>
  </si>
  <si>
    <t>1141007911780573186</t>
  </si>
  <si>
    <t>2169468448</t>
  </si>
  <si>
    <t>2239482270</t>
  </si>
  <si>
    <t>1311682453367554049</t>
  </si>
  <si>
    <t>2303375091</t>
  </si>
  <si>
    <t>1134478310820499457</t>
  </si>
  <si>
    <t>33271475</t>
  </si>
  <si>
    <t>1482617737</t>
  </si>
  <si>
    <t>3352136417</t>
  </si>
  <si>
    <t>47207204</t>
  </si>
  <si>
    <t>852059974004027392</t>
  </si>
  <si>
    <t>420512647</t>
  </si>
  <si>
    <t>40833868</t>
  </si>
  <si>
    <t>4845022390</t>
  </si>
  <si>
    <t>45343200</t>
  </si>
  <si>
    <t>1496821271551778817</t>
  </si>
  <si>
    <t>611004027</t>
  </si>
  <si>
    <t>575562464</t>
  </si>
  <si>
    <t>195703</t>
  </si>
  <si>
    <t>20624036</t>
  </si>
  <si>
    <t>527673137</t>
  </si>
  <si>
    <t>563112330</t>
  </si>
  <si>
    <t>3092677355</t>
  </si>
  <si>
    <t>108905689</t>
  </si>
  <si>
    <t>235863089</t>
  </si>
  <si>
    <t>1445017824</t>
  </si>
  <si>
    <t>334091499</t>
  </si>
  <si>
    <t>439251201</t>
  </si>
  <si>
    <t>1125418986492039169</t>
  </si>
  <si>
    <t>205680994</t>
  </si>
  <si>
    <t>255457505</t>
  </si>
  <si>
    <t>33619242</t>
  </si>
  <si>
    <t>2662559878</t>
  </si>
  <si>
    <t>934868818173800449</t>
  </si>
  <si>
    <t>2067961</t>
  </si>
  <si>
    <t>28567401</t>
  </si>
  <si>
    <t>1598227825</t>
  </si>
  <si>
    <t>2361410524</t>
  </si>
  <si>
    <t>2286552579</t>
  </si>
  <si>
    <t>856888217165082624</t>
  </si>
  <si>
    <t>1398356823573467144</t>
  </si>
  <si>
    <t>1448679319388233735</t>
  </si>
  <si>
    <t>1295643401656905728</t>
  </si>
  <si>
    <t>1089324873162338305</t>
  </si>
  <si>
    <t>42387735</t>
  </si>
  <si>
    <t>15093046</t>
  </si>
  <si>
    <t>2373882424</t>
  </si>
  <si>
    <t>41553936</t>
  </si>
  <si>
    <t>119836300</t>
  </si>
  <si>
    <t>1106637688352968704</t>
  </si>
  <si>
    <t>633764448</t>
  </si>
  <si>
    <t>53963244</t>
  </si>
  <si>
    <t>2881159191</t>
  </si>
  <si>
    <t>3347495044</t>
  </si>
  <si>
    <t>1338784960052916224</t>
  </si>
  <si>
    <t>2223370258</t>
  </si>
  <si>
    <t>547494275</t>
  </si>
  <si>
    <t>1052608688442068992</t>
  </si>
  <si>
    <t>994844828</t>
  </si>
  <si>
    <t>87272179</t>
  </si>
  <si>
    <t>4830720418</t>
  </si>
  <si>
    <t>225884204</t>
  </si>
  <si>
    <t>47927071</t>
  </si>
  <si>
    <t>1039349058</t>
  </si>
  <si>
    <t>2256522678</t>
  </si>
  <si>
    <t>855133736282849281</t>
  </si>
  <si>
    <t>42689979</t>
  </si>
  <si>
    <t>2228080975</t>
  </si>
  <si>
    <t>509965946</t>
  </si>
  <si>
    <t>127837248</t>
  </si>
  <si>
    <t>706894869130772480</t>
  </si>
  <si>
    <t>1346098824</t>
  </si>
  <si>
    <t>19140583</t>
  </si>
  <si>
    <t>2789619840</t>
  </si>
  <si>
    <t>935229134</t>
  </si>
  <si>
    <t>806254592</t>
  </si>
  <si>
    <t>998827386</t>
  </si>
  <si>
    <t>363055470</t>
  </si>
  <si>
    <t>61865978</t>
  </si>
  <si>
    <t>1194415825</t>
  </si>
  <si>
    <t>444696054</t>
  </si>
  <si>
    <t>1021553319511252997</t>
  </si>
  <si>
    <t>19867664</t>
  </si>
  <si>
    <t>617026639</t>
  </si>
  <si>
    <t>39041135</t>
  </si>
  <si>
    <t>825617864</t>
  </si>
  <si>
    <t>29697753</t>
  </si>
  <si>
    <t>4691110728</t>
  </si>
  <si>
    <t>3768437357</t>
  </si>
  <si>
    <t>169641230</t>
  </si>
  <si>
    <t>1691043997</t>
  </si>
  <si>
    <t>1215614019974975490</t>
  </si>
  <si>
    <t>1972103712</t>
  </si>
  <si>
    <t>185578414</t>
  </si>
  <si>
    <t>1022749058564325376</t>
  </si>
  <si>
    <t>1119979671138000898</t>
  </si>
  <si>
    <t>3111172731</t>
  </si>
  <si>
    <t>879987963630936064</t>
  </si>
  <si>
    <t>1064846614412574720</t>
  </si>
  <si>
    <t>525769470</t>
  </si>
  <si>
    <t>1946968706</t>
  </si>
  <si>
    <t>1183683253875695616</t>
  </si>
  <si>
    <t>3044896168</t>
  </si>
  <si>
    <t>29507075</t>
  </si>
  <si>
    <t>1372466449550340096</t>
  </si>
  <si>
    <t>723785947</t>
  </si>
  <si>
    <t>602712052</t>
  </si>
  <si>
    <t>2760693400</t>
  </si>
  <si>
    <t>69054248</t>
  </si>
  <si>
    <t>274199664</t>
  </si>
  <si>
    <t>425719643</t>
  </si>
  <si>
    <t>1405759460384010243</t>
  </si>
  <si>
    <t>189916445</t>
  </si>
  <si>
    <t>976813507151884288</t>
  </si>
  <si>
    <t>976428620343324672</t>
  </si>
  <si>
    <t>2190130624</t>
  </si>
  <si>
    <t>887421872</t>
  </si>
  <si>
    <t>2247671652</t>
  </si>
  <si>
    <t>2290703725</t>
  </si>
  <si>
    <t>1357259891161899010</t>
  </si>
  <si>
    <t>1297589504879067136</t>
  </si>
  <si>
    <t>45962275</t>
  </si>
  <si>
    <t>1083115581921026053</t>
  </si>
  <si>
    <t>1182421820</t>
  </si>
  <si>
    <t>874591121095221248</t>
  </si>
  <si>
    <t>579987006</t>
  </si>
  <si>
    <t>1169862778212872193</t>
  </si>
  <si>
    <t>202158939</t>
  </si>
  <si>
    <t>69855900</t>
  </si>
  <si>
    <t>1694012251</t>
  </si>
  <si>
    <t>1371532447859544074</t>
  </si>
  <si>
    <t>904342954516590592</t>
  </si>
  <si>
    <t>1111326769</t>
  </si>
  <si>
    <t>399294295</t>
  </si>
  <si>
    <t>1072480807699267584</t>
  </si>
  <si>
    <t>1498970671111671808</t>
  </si>
  <si>
    <t>2785032063</t>
  </si>
  <si>
    <t>40846486</t>
  </si>
  <si>
    <t>1068107642</t>
  </si>
  <si>
    <t>1315849193978765312</t>
  </si>
  <si>
    <t>544406788</t>
  </si>
  <si>
    <t>1610983362</t>
  </si>
  <si>
    <t>2442521200</t>
  </si>
  <si>
    <t>102634616</t>
  </si>
  <si>
    <t>2447033442</t>
  </si>
  <si>
    <t>1476593580957437953</t>
  </si>
  <si>
    <t>425177462</t>
  </si>
  <si>
    <t>1111605156171399170</t>
  </si>
  <si>
    <t>781086576</t>
  </si>
  <si>
    <t>1535812190</t>
  </si>
  <si>
    <t>1367265281450467328</t>
  </si>
  <si>
    <t>#_xD835__xDC0F__xD835__xDC0E__xD835__xDC13__xD835__xDC11__xD835__xDC00__xD835__xDC18__xD835__xDC04__xD835__xDC03_ヽ 97's • _xD835__xDE45__xD835__xDE6A__xD835__xDE63__xD835__xDE5C_ _xD835__xDE5F__xD835__xDE56__xD835__xDE5A__xD835__xDE5D__xD835__xDE6E__xD835__xDE6A__xD835__xDE63_</t>
  </si>
  <si>
    <t>Rindu selalu</t>
  </si>
  <si>
    <t>Bikin Bergairah _xD83D__xDCA6__xD83D__xDCA6__xD83D__xDCA6_
Yuk Follow Juga Instagram Lisa ⤵️⤵️⤵️</t>
  </si>
  <si>
    <t>Follow aja say kalau kamu suka... _xD83D__xDE18_</t>
  </si>
  <si>
    <t>can you guess my bio?</t>
  </si>
  <si>
    <t>digo galang sisi tristan nayla</t>
  </si>
  <si>
    <t>18 yo _xD83C__xDDEB__xD83C__xDDF7_ -  @LoL_France
''Never make friends IG''</t>
  </si>
  <si>
    <t>18 _xD83C__xDDEB__xD83C__xDDF7_ | Fortnite Player for @TeamBSK_ | Partner @Twitch | best jett player on valorant</t>
  </si>
  <si>
    <t>Sell &amp; Buy #coins #banknotes #stamps #postcards #photos #badges #medals #jewelry #amber #porcelain #ceramic #glass #pottery etc. #antique #vintage #collectibles</t>
  </si>
  <si>
    <t>Our Authenticity Guarantee service includes select ⌚️, _xD83D__xDC5F_, _xD83D__xDC5B_, and now _xD83C__xDCCF_. Just _xD83D__xDC40_  for the blue checkmark. Questions? @AskeBay is here to help</t>
  </si>
  <si>
    <t>Podcasts, Netflix, Knit, Crochet, Etsy Shop, Blog@ https://t.co/AESJRP4aHU. Amazon Associate (earn from qualifying purchases) Ebay, Society6 &amp; Zazzle affiliate.</t>
  </si>
  <si>
    <t>INI RP JJK PART OF BTS YA _xD83D__xDC4D__xD83C__xDFFB__xD83D__xDE1A__xD83D__xDC4D__xD83C__xDFFB_. KAN UDAH BISA KAMU BACA DARI USNNYA ECEU _xD83D__xDE20_. AKU SAYANK TODOROKI TAPI LEBIH SAYANG @taaeyungie GARIS VERTIKAL.</t>
  </si>
  <si>
    <t>『_xD835__xDC14__xD835__xDC0D__xD835__xDC11__xD835__xDC04__xD835__xDC00__xD835__xDC0B_』_xD835__xDC7B__xD835__xDC89__xD835__xDC8A__xD835__xDC94_ _xD835__xDC91__xD835__xDC8D__xD835__xDC82__xD835__xDC84__xD835__xDC86_ _xD835__xDC90__xD835__xDC93_ _xD835__xDC89__xD835__xDC90__xD835__xDC8E__xD835__xDC86_ _xD835__xDC87__xD835__xDC90__xD835__xDC93_ _xD835__xDC11__xD835__xDC0E__xD835__xDC0B__xD835__xDC04__xD835__xDC0F__xD835__xDC0B__xD835__xDC00__xD835__xDC18__xD835__xDC04__xD835__xDC11_ 방탄소년단.</t>
  </si>
  <si>
    <t>Ilmasto-ja energiavastaava Greenpeacessa.Tviittejä enimmäkseen ilmastosta ja energiasta.Climate &amp; Energy campaigner at Greenpeace.Opinions own.</t>
  </si>
  <si>
    <t>producer, music man, record label boss, A/R, writer and beyond @allthatplazz @localal2 @gimkordon @paivanbiisit</t>
  </si>
  <si>
    <t>Onomastiikkinen fennougristi ja itse-saboteur par excellence</t>
  </si>
  <si>
    <t>Muiden twiittailuja seuraan ja jaan. IG: nikoniklander</t>
  </si>
  <si>
    <t>_xD83D__xDC4B_ Hi! I'm MIEMO and I excel at two things:
1️⃣ _xD83D__xDCAD__xD83D__xDCF2_ service &amp; interaction design +
2️⃣_xD83D__xDCF7_ _xD83D__xDDBC_ fine-art photography.
I'm also a co-founder of @funzi _xD83D__xDFE0_</t>
  </si>
  <si>
    <t>Median, markkinointiviestinnän, myynnin, musiikin &amp; urheilun moniottelija</t>
  </si>
  <si>
    <t>Helsinkiläistynyt @vasemmisto puoluevaltuutettu • ex-kunnanvaltuutettu Laukaasta • Opiskeluhommia @EduSciHelsinki</t>
  </si>
  <si>
    <t>pro-YLE he/him</t>
  </si>
  <si>
    <t>postaan: työstä, taistelusta</t>
  </si>
  <si>
    <t>Anti-fascist. Feminist. Atheist. Software engineer.</t>
  </si>
  <si>
    <t>KTBFFH!</t>
  </si>
  <si>
    <t>Kansalaispassivisti, koodarinörtti.
Mielipiteet vahvoja ja täysin omiani.
"Minkä sää vittu siinä teet?" - Lukas Hradecký 2021-06-22</t>
  </si>
  <si>
    <t>Hämäläinen tekniikkaluolamies ja videoalan yrittäjä. Luonto, perhe ja tekkihommat lähellä sydäntä.</t>
  </si>
  <si>
    <t>Peittelemättömän rabulistinen. ”Internetin pimeän puolen pyhäkoulu” (Saksikasi, KuvatON​.com 2010).</t>
  </si>
  <si>
    <t>Guitar @etosofficial | ML/NLP @Beemray @VerveGroupHQ | Scifi | Languages (Uralic, Germanic) | @oulunkarpatfi | Pohjoispohjalainen lounaisessa Suomessa.</t>
  </si>
  <si>
    <t>Santsikupit kaikille ja radio lujemmalle!</t>
  </si>
  <si>
    <t>Pragmatismin puolella ja fundamentalisteja vastaan. Mielipiteitä joka suuntaan. Seassa huteja, koska Dunning-Kruger-suodattimessa joskus patterit piiputtaa.</t>
  </si>
  <si>
    <t>Suuri suomalainen anglofiili, politiikan suurkuluttaja, vankkumaton tieteen kannattaja sekä kehityspäällikkö @EnergiaHelen</t>
  </si>
  <si>
    <t>Review product based on my experience // Part of #TheGoddesGang 2022 by @lookecosmetics // #SecaGang</t>
  </si>
  <si>
    <t>☆MENFESS BOT to discuss anything that resolves in BEAUTY☆ MADE FOR ALL GENDERS • Managed by @OMBBhelp • Partnership ombb.inq@gmail.com_xD83D__xDCEC_</t>
  </si>
  <si>
    <t>Semiaktiivinen sanaseppo,  lähes savolaenen änkyrä ja nostalgisoiva videopelinörtti. Nuorisotyönohjaaja ja pääluottamusmies. Siis: vasemmisto.</t>
  </si>
  <si>
    <t>нет войне!
Toimittelija Ylellä.</t>
  </si>
  <si>
    <t>IT Services | Football | Dad for two | Company @TamroFinland
I've got a soul but I'm not a soldier.
Tree lover _xD83C__xDF33__xD83C__xDF3F_
#Kerava #LFC
_xD83C__xDDEB__xD83C__xDDEE__xD83C__xDFF3_️‍_xD83C__xDF08_</t>
  </si>
  <si>
    <t>Yli-isännöitsiä ™
Twiittini ovat työnantajani näkemyksiä.</t>
  </si>
  <si>
    <t>Professor of chemistry, nature lover, wants to protect winters &amp; the world for my children. Born during the Holocene.</t>
  </si>
  <si>
    <t>Kurpitsa _xD83C__xDF83_ on Helloweenin kansalliseläin!
_xD83C__xDF40_ Ei kannata ottaa tosissaan sekavia julkaisuja... _xD83D__xDD79__xD83D__xDCBE__xD83D__xDCFA_
Soylent green is people!</t>
  </si>
  <si>
    <t>Tampere - New York - Tampere - New York - Tampere - Chania - Corralejo - Costa Teguise - Chania - Naxos - Helsinki -Tikkakoski</t>
  </si>
  <si>
    <t>Musavideo-/animaatio-ohjaaja, animaattori, muusikko ja kaikenkaikkiaan vallan hyvä tyyppi.
Instagram: videosaarelma</t>
  </si>
  <si>
    <t>Scatterbrained tech and marketing guy working for better web and fair world. Awesome dad 4 2. Single due the Forces of the Universe. My _xD83D__xDC25_ r my own. _xD83C__xDDEB__xD83C__xDDEE__xD83C__xDDEA__xD83C__xDDFA__xD83D__xDC9A_</t>
  </si>
  <si>
    <t>vihainen vihervassari™
KAIKKI TUKI UKRAINALLE | ALLT STÖD TILL UKRAINA!</t>
  </si>
  <si>
    <t>_xD83D__xDC7D__xD83D__xDE3A__xD83C__xDF68__xD83C__xDFB2__xD83D__xDCDA_✏
laura | finland | 1992 | fan of various things | Lesbian(tm) | tweets in finnish &amp; english | cats, art, &amp; fictional characters</t>
  </si>
  <si>
    <t>Finnish IT-worker around the world _xD83C__xDDEB__xD83C__xDDEE_→_xD83C__xDDEE__xD83C__xDDEA_→_xD83C__xDDFA__xD83C__xDDF8_→_xD83C__xDDEE__xD83C__xDDEA_ Mostly posts about tech, cycling, triathlon, and probably dogs.</t>
  </si>
  <si>
    <t>Ilmastoisoisä. 
Jyrkkä ei perussuomalaiselle ajattelulle ja käyttäytymiselle.</t>
  </si>
  <si>
    <t>Gaia in flames. Also knits and loves cuteness~ Vihreä _xD83D__xDC9A_. Fibromyalgikko. KYLLÄ uudelle translaille! She/her. #StandWithUkraine #СлаваУкраїні_xD83D__xDC99__xD83D__xDC9B_</t>
  </si>
  <si>
    <t>Neurodivergent anarcho-weirdo. Ceterum censeo #FCKNZS ☮️_xD83D__xDD4A_️❤️Ⓐ_xD83D__xDDA4_ _xD83C__xDF0E_ _xD83C__xDF31_ _xD83D__xDC3F_️ ☦️ _xD83C__xDDEB__xD83C__xDDEE_ _xD83C__xDDF7__xD83C__xDDF4_ _xD83C__xDDEB__xD83C__xDDF7_ _xD83C__xDDF8__xD83C__xDDEA_</t>
  </si>
  <si>
    <t>なんとなくアカウント持ってます。 最近は呟くことも見つからない。</t>
  </si>
  <si>
    <t>Scientist turned aspiring consultant. Doctoral researcher @UEFneuroscience, Innovation Management student @UEF_Business. Figuring out stocks &amp; Neapolitan pizza.</t>
  </si>
  <si>
    <t>Metsä meidän jälkeemme. Tieto-Finlandia 2019. Esikoisromaani Villikoira Otavalta maalikuussa 2022. Tornionlaakso, pohjoinen. IG: @pekkajuntti</t>
  </si>
  <si>
    <t>Head of communications at @rovio. Former TV exec and political advisor. Columnist for @menaiset. Writer, podcaster, funny lady.</t>
  </si>
  <si>
    <t>Äiti, vaimo, koiranomistaja ja hassuttelija. Viittä vaille valmis äikän- ja S2-ope, entinen (markkinointi)viestijä/toimittaja. Makkara ja huumori mustana. _xD83D__xDC9B__xD83D__xDC9A_</t>
  </si>
  <si>
    <t>Improvisoiva insinööri, #fasilitointi ja coach #Ideapakka. Vapaalla: sarjakuvat, legot ja proge. Turku = sukunimeni. (he/him)</t>
  </si>
  <si>
    <t>Kustannustoimittaja &amp; kirjailija (Siltala). Planeetan tilasta huolestunut kansalainen. arnkila@gmail.com</t>
  </si>
  <si>
    <t>”Twitter’s not a real place” -Dave Chappelle</t>
  </si>
  <si>
    <t>Yliopistovirkamies @HY. Siviilitili, epäselvillä horinoilla mitään tekemistä HYn (tai minkään muunkaan) kanssa.</t>
  </si>
  <si>
    <t>MS. in data science. Former talent as a guitarist. #rstats-pro &amp; professional sports betting analyst. Twittersisältö omaa tuotantoa. Johtava Excel-vihaaja.</t>
  </si>
  <si>
    <t>Musiikki, luonto, maastopyöräily ja jääkiekko sydämen asioita. Politiikkakin kiinnostaa. Koulussa töissä. Koiratalous.</t>
  </si>
  <si>
    <t>I block Ransomware. Full stop.
#1 &amp; #2 at Ignite 2018 / Best Session - NIC x 4 / MVP Windows OS / https://t.co/JsqoOHrhzj / Pluralsight Author / https://t.co/BOpS9kYOzT…</t>
  </si>
  <si>
    <t>Yritys- ja maatalousrahoittaja.
@opryhmä
Luonto, koris, pieni punainen talo, epätoivoiset remontit, teini ja kissat.</t>
  </si>
  <si>
    <t>Perussuomalaisten jäsen ja kuntavaaliehdokas 2021.</t>
  </si>
  <si>
    <t>Rakastan teatteria, leffoja, kirjoja, elämän ihmettelyä, hiljaisuutta ja yksinoloa. Vapaalla teatteri-ja leffakärpänen ja lukutoukka, muuten kaupantäti.</t>
  </si>
  <si>
    <t>psyk.el
oikeuspsyk. eval</t>
  </si>
  <si>
    <t>Syön, nukun ja tsemppaan. Koalafikaatiot kunnossa. Otetaan hei ihan rauhassa. #otaiisisti</t>
  </si>
  <si>
    <t>Me</t>
  </si>
  <si>
    <t>Sosiaalinen nörtti, katoava luonnonvara.</t>
  </si>
  <si>
    <t>D. Sc. (Tech). A data scientist and a researcher with a software entrepreneur background, specializing in distributed AI in the edge-cloud computing continuum.</t>
  </si>
  <si>
    <t>Twiittini edustavat vain ja ainoastaan Suurten Muinaisten jumalten ikiaikaista totuutta. Ja minua</t>
  </si>
  <si>
    <t>Maailman ihanin kieroon katsova tyllerö _xD83C__xDF38_✨_xD83C__xDF80__xD83D__xDC95__xD83D__xDC11_
Textile &amp; costume designer, watercolour &amp; digital artist _xD83E__xDD96_
New Media MA student @ Aalto University</t>
  </si>
  <si>
    <t>I❤️Mika Aaltola</t>
  </si>
  <si>
    <t>Monsieur from Finland_xD83C__xDDEB__xD83C__xDDEE_ who loves Wrestling, XCski, Norge, VideoGames, 90s, Football⚽ (My team: Chelsea/Helmarit/Huuhkajat) Tweets in _xD83C__xDDEB__xD83C__xDDEE_ _xD83C__xDDEC__xD83C__xDDE7_ sometimes _xD83C__xDDE7__xD83C__xDDFB_</t>
  </si>
  <si>
    <t>Yrittäjä, kauppatiedettä @utrechtuni ja oikeistoliberaali yhteiskuntakriitikko.</t>
  </si>
  <si>
    <t>Älä anna pääsi vaipua alas. Pidä se ylhäällä. Katso maailmaa suoraan kasvoihin. - Helen Keller-</t>
  </si>
  <si>
    <t>CEO of Social Company. Helping companies around #Sales , #SocialMedia &amp; #SocialSelling . 
Partner at @HAVUgaming #Esports_xD83C__xDF32_</t>
  </si>
  <si>
    <t>Gamermom _xD83D__xDC99_ of 2 + 1 chihuahuaboy and married with love of my life ❤
Life keeps throwing cakes and I try to dodge. Streamer account: @Omenapuuro</t>
  </si>
  <si>
    <t>Verkkotuottaja Ylellä Joensuussa ja Kuopiossa. Erityisesti journalismi, koripallo, musiikki ja pelit kiinnostavat.</t>
  </si>
  <si>
    <t>#LoveIsNotTourism _xD83C__xDDEB__xD83C__xDDEE_❤️_xD83C__xDDF0__xD83C__xDDF7_
I like Harry Potter, veggies and sunflowers_xD83C__xDF3B_
MSc in Global Sustainability_xD83C__xDF0E_</t>
  </si>
  <si>
    <t>IG : @renykdewi</t>
  </si>
  <si>
    <t>Finnwatchin määritelmän mukaisesti elinkeinoelämää lähellä oleva taho, joka omistaa listaamattomia sekä listattuja yrityksiä</t>
  </si>
  <si>
    <t>Nature, Renewable Resource and Bioeconomy are my interest. Retired</t>
  </si>
  <si>
    <t>Hacker, Software Development Consultant, OSS Advocate, Pythonista and Pastime Petty Politician. CEO @interjektio. "If not UF of P, let's at least have UP of F".</t>
  </si>
  <si>
    <t>Toimittaja @Radio_Dei➡️ #Jälkiistunto
#ViikonDebatti #PiispanKyselytunti #Raatihuone (https://t.co/6wntnTdxH2) #JumalaPopmusiikissa + #DädiPodi-podcast</t>
  </si>
  <si>
    <t>Talous ei ole entisensä.</t>
  </si>
  <si>
    <t>Valokuvaava insinöörisheppu. Nojoo, urheilee se myös.</t>
  </si>
  <si>
    <t>Aina uutta.</t>
  </si>
  <si>
    <t>Biologi. Toimittaja. Kulttuurin sekakäyttäjä.</t>
  </si>
  <si>
    <t>Suomalaisen Työn Liitossa edistämme suomalaisen työn arvostusta ja menestystä.  #suomalainentyö #Avainlippu | @DesignfromFinla &amp; @Yyritysmerkki</t>
  </si>
  <si>
    <t>#DesignfromFinland -merkkiä kantavat tuotteet ja palvelut on muotoiltu Suomessa ammattimaisesti, vastuullisesti ja käyttäjälähtöisesti.</t>
  </si>
  <si>
    <t>Uutislähteiden uutiwet kasattuna ja uwuifyttuna.
Uutisfeedin tarjoaa https://t.co/752q5VccPN
https://t.co/u1aWtZU8U2…</t>
  </si>
  <si>
    <t>Järjestötoimintaa @Akavary. Voimantuoton lajeja höyhensarjalaisena #läpsyttelyhommat. #työelämä #ayliike #politiikka #Hevihommat #jutteleelumiukoille</t>
  </si>
  <si>
    <t>Mie oon Kuusaal asuva karjalainen #runoilija #poet. Lähel syäntä on
#maastopyöräily #mountainbiking #mtb #pyöräily #salibandy #runo #poem</t>
  </si>
  <si>
    <t>Päätoimittaja, podcast-isäntä ja puurakentaja. Otavamedia | Golfpiste | Golflehti | Golfpiste Podcast (linkki)</t>
  </si>
  <si>
    <t>Kääntämisen opettaja, tutkija @UniEastFinland . Innostunut kielistä, yhteiskunnasta ja opettamisesta. Lainakoiran höppänä ulkoiluttaja.</t>
  </si>
  <si>
    <t>Asiakaslähtöisyyden puolesta, hallintolähtöistä byrokratiaa vastaan. Politiikka, yhteiskunta, huono huumori.</t>
  </si>
  <si>
    <t>Councillor of @EspooEsbo. Armed citizen and bright nationalist with minarchist attitude. Dad. Biker. Scout. Tweets mostly in Finnish. Perussuomalaiset</t>
  </si>
  <si>
    <t>Tuore kainuulainen, jonka juuret ovat kasvaneet tuulisen Perämeren rannalla. Äiti ja mummi. #terästeija #luonto #liikunta #lukeminen #sotilaskoti</t>
  </si>
  <si>
    <t>Varhaisjakaja, @vihreat puoluevaltuuskunnan jäsen ja liikennepoliittisen työryhmän jäsen, @ekomodernistit jäsen, @luonnonsuojelu valtuusto &amp; @viite hallitus _xD83C__xDF08_</t>
  </si>
  <si>
    <t>Toimittaja @hsfi. JSN:n jäsen 2021—2023. Talous, ilmastonmuutos, sanan- ja lehdistönvapaus, ihmis- ja eläinoikeudet, Baltia.</t>
  </si>
  <si>
    <t>Follower of current affairs. Retweet ≠ endorsement.</t>
  </si>
  <si>
    <t>Sarkasmia, koirakuvia ja Hirveän Fiksuja Ajatuksia. Olen oikeasti aikuinen.
Lisää harrastuksiani: @elinacosplay</t>
  </si>
  <si>
    <t>Harmaan sävyjä ja autismin kirjoa. Luettavuuteen ja typografiaan perehtynyt graafinen suunnittelija. Kolmas kirja, 1000 listan kirja ilmestyi marraskuussa 2021.</t>
  </si>
  <si>
    <t>Stand up -koomikko. Käsikirjoittaja. Tuottaja. Videopelinörtti, tiede- ja luontofriikki. / Stand up comedian. Screenwriter. Producer. Geek.</t>
  </si>
  <si>
    <t>Urheiluhullu jalkapalloromantikko, kolmen lapsen isä ja keltavihreä ääni. Selostaja: @Viaplay_FI @VSportsuomi @TREKiakkoradio @RuutuUrheilu @YleUrheilu
he/him</t>
  </si>
  <si>
    <t>Good music, graphic design, craft beer and football. 
That’s pretty much all I bloody talk about.</t>
  </si>
  <si>
    <t>#WWEfi,, #AEWfi, #MK11 twiittailen myös satunnaista sälää liittyen urheiluun ja videopeleihin.</t>
  </si>
  <si>
    <t>Former History(MA)Teacher. Projects Mgr @ Lillhonga 4 @RefoxERP. City Councilor, Greens, non-aligned. Officer_xD83C__xDDEB__xD83C__xDDEE_Army Reserve. https://t.co/yEy6bB6Meb vice</t>
  </si>
  <si>
    <t>Lukuaktivisti | Tuottaja: Takakansi-podcast (https://t.co/rji4OLtP9S) | Work @VismaFinland | Tekijä @ Arkikulta-kulttuurikahvila |</t>
  </si>
  <si>
    <t>Feminist with main interests in nature stuff, ttrpg stuff, weeb stuff and other nerd stuff.
He/him.
https://t.co/WoS0MDi86s</t>
  </si>
  <si>
    <t>Treehugging Mother Nature worshipper
_xD83D__xDC9A__xD83D__xDC3A_</t>
  </si>
  <si>
    <t>Lukija, kokkaaja, kuvaaja, Rakentaja-lehden päätoimittaja. Mielipiteet omia tai joskus äidiltä opittuja.</t>
  </si>
  <si>
    <t>Koodarin köllykkä ja kukkahattusetä Pohjois-Karjalasta.</t>
  </si>
  <si>
    <t>littlemanemppu,knowlidge junkie,kaikki mahdollinen kirjoitettu sana,maitopurkin kylki mukaan lukien</t>
  </si>
  <si>
    <t>Ihan vaan Timo. Maltillinen nörtti. Tykkää yhteiskunnallisista asioista, digihommista ja hipsterironiasta.</t>
  </si>
  <si>
    <t>Sydämellä #erilaisetoppijat   
Oppimisveikeys (kutsuvat vaikeudeksi) 
on osa elämää. 
Joustoja ja kunnioitusta kaikille :)</t>
  </si>
  <si>
    <t>PhD, author, comms, free journalist. Columnist@Suomen Kuvalehti&amp;Mikrobitti. My blogs&amp;columns: https://t.co/ThWBmeOPtc</t>
  </si>
  <si>
    <t>Asennemuija, kirjailija ja puhetaiteilija. Lukivaikeuksinen. Röyhkeyskoulu. @himocast IG: @ jenni.janakka</t>
  </si>
  <si>
    <t>_xD83D__xDEB5_‍♂️_xD83E__xDD41__xD83C__xDF0D_⚽_xD83D__xDC9A_☮
ᴀʟᴡᴀʏꜱ ᴀɴᴛɪꜱᴏᴄɪᴀʟ, ᴀʟᴡᴀʏꜱ #ʟᴇɪᴋᴋɪᴍɪᴇʟɪɴᴇɴ
#ᴍᴜꜱɪᴄɪᴀɴ #ʀᴀɴᴅᴏɴɴᴇᴜʀ #ᴄʟᴜꜱᴛᴇʀʜᴇᴀᴅ #ꜰᴄᴋɴᴢꜱ</t>
  </si>
  <si>
    <t>Käyn kurkkimassa täällä juttuja</t>
  </si>
  <si>
    <t>Siellä missä alkaa metsä, kasvaa puita.
häm/häk</t>
  </si>
  <si>
    <t>Jazzpianist, ACT Recording artist</t>
  </si>
  <si>
    <t>Hintansa väärtejä faijavitsejä ihan ilmaiseksi. Politiikan penkkiurheilija &amp; jäätelönsyönnin SM-kolmonen || Töissä: @UPMSuomi #BeyondFossils</t>
  </si>
  <si>
    <t>Isä, aviomies ja oman elämänsä Billy Corgan. Harrastuksena: kitarat, kirjat, viskit ja sijoittaminen. Vaeltamista unohtamatta.</t>
  </si>
  <si>
    <t>Viestinnän asiantuntija, valmentaja, työnohjaaja-opiskelija. Juoksen, kuuntelen podcasteja ja yritän aina tehdä arjesta hyvää. #viestintä #coaching #työnohjaus</t>
  </si>
  <si>
    <t>Telecom engineer (MSc), cellular IoT</t>
  </si>
  <si>
    <t>Hyvinvointialan moniottelija, tietokirjailija, luennoitsija. Treeniä, ravintoa, palautumista ja väkevää elämää - tosissaan mutta ei liian vakavasti.</t>
  </si>
  <si>
    <t>Toimittaja-tuottaja, Helsingin Sanomat. Tutkiva journalismi. Finnish journalist. Signal käytössä. 
+358400012614, salla.vuorikoski@hs.fi</t>
  </si>
  <si>
    <t>Pohjoissavolainen.</t>
  </si>
  <si>
    <t>Design Lead at @ReaktorNow</t>
  </si>
  <si>
    <t>Retired journalist. Eläköitynyt näppistyöläinen. Syntynyt stadissa, muutti kolmikymppisenä ulkomaille Lieksaan. Junantuomana ikuinen ulkopuolinen.</t>
  </si>
  <si>
    <t>Techno hippie and pun intender. Technical consultant @MFilesSuomi. Not the photographer.</t>
  </si>
  <si>
    <t>29 v / lesbiaani / anime, manga, cossaus, video- ja lautapelit, larppaus &amp; kissakuvat. Oon lahjakas siteeraamaan Ismo Laitelaa.</t>
  </si>
  <si>
    <t>Expert in everything, master of none</t>
  </si>
  <si>
    <t>Business journalist in @Hs_visio @hsfi. Covering startups, games, technology. Awarded author of 5 non fiction books. elina.lappalainen@hs.fi</t>
  </si>
  <si>
    <t>tuijotan sua kassakoneen takaa tonnin setelillä</t>
  </si>
  <si>
    <t>Mämmiä kiitos. En finne igen. Sana voittaa miekan kuten markkinatalous voittaa sosialismin. Finanssiala. Mielipiteet omat ja sinun erilaiset. Hold my beer!</t>
  </si>
  <si>
    <t>On with the Twitter-bandwagon! Tweet tweet!
In no particular order: Wheelchair. Music. The Who. Hockey. HIFK. 90s NHL. Sports. Bald. Humor. Journalism</t>
  </si>
  <si>
    <t>Building a better world is possible. Co-founder @OhjausOte, host #koulupodcast, works @helsinkioppii
 _xD83D__xDC1F_ Aluevaltuutettu Keski-Uudellamaalla.</t>
  </si>
  <si>
    <t>Utelias elämälle. Tavoitteena tasa-arvoinen ja ihmisoikeuksia kunnioittava maailma. HR-päällikkö. Mielipiteeni ovat omiani.</t>
  </si>
  <si>
    <t>Asiakeskeisesti myös vähemmän vakavasti. Talousasiantuntija @NordnetFI riippumattomasti. @suomenekonomit pj, yrittäjä @recubator ja #rahapodi –isäntä. #IDWP</t>
  </si>
  <si>
    <t>Sähäkkä elektrotötterö
▪️Twitterin päivystävä optikko▪️
Arkipyöräilijä▪️Digitaalista sote-palvelutuotantoa @UniLUT ▪️
She/her</t>
  </si>
  <si>
    <t>Global and local stuff, nature, humans and other animals, financial well-being…Working in investment advice and offering @DanskeBankFi</t>
  </si>
  <si>
    <t>Yliopisto-opettaja | University Instructor Väitöskirjatutkija | Doctoral Researcher Kielikasvatus | Language Education https://t.co/MI6yW6OeV1</t>
  </si>
  <si>
    <t>These are my opinions. If you don't like them, I have others. FCKNZS.</t>
  </si>
  <si>
    <t>(human + communication) x technology / culture = ?</t>
  </si>
  <si>
    <t>Sivistyminen ja puujalat mielessä. Kindness eases change. Punlover, dork, painfully earnest at times. Blocks bad faith. He/him.</t>
  </si>
  <si>
    <t>Crazy about Art &amp; Design, Health &amp; Psychology, Tech &amp; Nature and of course, our son... Co-founder of https://t.co/nmUUc7E6W9 / Founder of https://t.co/4cqpOlJiMa</t>
  </si>
  <si>
    <t>Endurance sports and nature in general; when having time for it. Proud father of son Aarni and husband of Mari. Working with tools of product development. MSc</t>
  </si>
  <si>
    <t>Höpsöttelyä, hassuttelua ja joskus jopa vakavaakin kommenttia. Historiaa @helsinkiuni. Mielipiteet omia.</t>
  </si>
  <si>
    <t>Combining empathy, user-orientation and customer understanding ❤️ MSc // Author // Teacher // Dreamer // Doer</t>
  </si>
  <si>
    <t>Tamperelaistunut pyöräilijä, opiskelija | CCCP: communist cycling club promotor</t>
  </si>
  <si>
    <t>Awake not woke
♀️_xD83C__xDFCB__xD83C__xDFFB_‍♀️_xD83C__xDFC3__xD83C__xDFFB_‍♀️_xD83D__xDEB4__xD83C__xDFFB_‍♀️</t>
  </si>
  <si>
    <t>_xD83C__xDDEA__xD83C__xDDFA_</t>
  </si>
  <si>
    <t>Annan virallinen epäasiallisen agitaatio-propaganda pierprööt Twitter-tili \ persepäärynä\ biopankkisuostumus \_xD83C__xDFF3_️‍⚧️/_xD83C__xDDEB__xD83C__xDDEE_/_xD83C__xDDEC__xD83C__xDDE7_ \ @Anna_robotti</t>
  </si>
  <si>
    <t>En gång vann jag en miss-titel, nu är jag politisk reporter vid Yle. Hon/she/her</t>
  </si>
  <si>
    <t>Pocket sized illustrator, sorcerer, designer. Nonbinary demiboy. Chaotic good. Raised by cats. Comics, poems, art, movies, tv, stuffs. _xD83C__xDFF3_️‍⚧️ they/them</t>
  </si>
  <si>
    <t>Useamman kupin ihminen
↙️↙️↙️
#FCKNZS
He/him</t>
  </si>
  <si>
    <t>Hyvinkääläinen erityisopettaja ja opo, joka visertelee omiaan ja joskus jopa työjuttuja. Urheilukirjoituksia toisinaan @Aamuposti. Koirakuvista aina tykkäys.</t>
  </si>
  <si>
    <t>Älä oo niinku stobee liian laimeeta. #täysilläsisään #ambulanssillaulos</t>
  </si>
  <si>
    <t>Agrologi- ja koneoppimisinsinööriopiskelija pohjoisesta. Vahvan länsimielinen feministi ja demokratian rakastaja. Älä selitä mulle tekoälystä. Слава Україні!</t>
  </si>
  <si>
    <t>Journalist @ Helsingin Sanomat. Based in Helsinki, previously in Beijing. IG: katriina_hs</t>
  </si>
  <si>
    <t>Twiittaan mitä mieleen juolahtaa. All rights reserved...</t>
  </si>
  <si>
    <t>Rakentavaa yhteistyötä, rakenteiden kehittämistä, laki- ja digiasiantuntemusta ja paljon muuta. Optimisti. https://t.co/eCnp2iVkjd</t>
  </si>
  <si>
    <t>Law, Tech, and US/World Politics. Privacy Lawyer in media/internet, ex-@Google, Podcasting @PodPrivacy, Board @legaldesignFI, and other things. Private account.</t>
  </si>
  <si>
    <t>Viittä vaille maisema-arkkitehti.</t>
  </si>
  <si>
    <t>Ylvis fan and admirer of Tom Hiddleston and a Minchkin.</t>
  </si>
  <si>
    <t>Viestintäalan yrittäjä, sisällöntuottaja ja matkailualan maisteriopiskelija _xD83C__xDFE1_ Arvostan selkeää sisältöä ja kuivaa huumoria. Blogit @lukujonossa &amp; @valimatkoja.</t>
  </si>
  <si>
    <t>@InventureVC
https://t.co/HG1ej3gRa4; 
In venture with Nordic &amp; Baltic founders, since 2005</t>
  </si>
  <si>
    <t>Red wearing generalist, leader, engineer, MBA and a mom who loves champagne. Working as Regional Director @Sarastia_Oy. Views are my own, opinions borrowed.</t>
  </si>
  <si>
    <t>Valmius- ja turvallisuuspäällikkö, CSO @Joensuu_fi 
| Varautuminen | Riskienhallinta | Turvallisuus | 
Opiskelija #JYU TSAMO| Mielipiteet omia‐Faktat muidenkin</t>
  </si>
  <si>
    <t>Contact me: juho@techlemon.io I tweet articles about what I’m interested. I play the guitar, make ceramics and 3D. IG: juhozpotz</t>
  </si>
  <si>
    <t>Identiteetiltään #ekonomisti, johdon apulainen @tilastokeskus. Loputtoman kiinnostunut tilastoista ja tiedon visualisoinnista. #tiedollajohtaminen</t>
  </si>
  <si>
    <t>Tarinaan valitaan yleensä palanen mielikuvituksella höystettyä elämää tai palanen elämällä höystettyä kuvitelmaa...</t>
  </si>
  <si>
    <t>Satunnainen suunnistaja Aurajoen rannalta Uudellemaalle.</t>
  </si>
  <si>
    <t>Savolainen joutomuia.</t>
  </si>
  <si>
    <t>#historia #sotahistoria #jalkapallo #vtt #resylil #arkisto</t>
  </si>
  <si>
    <t>A civil servant @ulkoministerio. I tweet about Circular Economy, peace, football and other interesting things. My tweets express my personal views.</t>
  </si>
  <si>
    <t>Toimittaja / Juontaja YLE Radio Suomen Päivä</t>
  </si>
  <si>
    <t>_xD83C__xDFE1_ Village Man
_xD83C__xDF78_Master of Ceremony @ Koskenkorvan Trahteeri
_xD83D__xDCF1_Android Archmage @ ResQ Club 
_xD83D__xDE9C_ Agriculture apps https://t.co/3Lq8S8LpQj</t>
  </si>
  <si>
    <t>Suomalainen tviittaaja, joka epäili Twin Peaks -tähteä joulupukiksi _xD83C__xDFA0_
she/her _xD83D__xDD2E_ Lastenromaani Myrtti ja noitatukka juuri ilmestynyt, linkki alla _xD83D__xDC9E_</t>
  </si>
  <si>
    <t>Dr. in Education for Sustainable Development, Chemist, Teacher, Pedagogical Director, Founder EduGems Oy. Eko-eettinen jälleenrakennus ja maaseutu_xD83D__xDC9A_ innostaa!</t>
  </si>
  <si>
    <t>Following Apple is my hobby, following Microsoft is my work.</t>
  </si>
  <si>
    <t>Vocational teacher, ICT. Interested in history, science and history of science. Games of all sorts. Quiz master. Finnish &amp; English 
_xD83D__xDC68_‍_xD83D__xDC67_‍_xD83D__xDC67_
Kutturan Maggoja</t>
  </si>
  <si>
    <t>Journalist. Finland. Living in Seaside Kalajoki.  Uni of Tampere, warmhearted man.</t>
  </si>
  <si>
    <t>Kommentaattori™</t>
  </si>
  <si>
    <t>Insinööri, kahden lapsen isä, aviomies ja toimitusjohtaja. #kokoomus Valtuutettu ja kaupunginhallituksen puheenjohtaja #akaa 'ssa,</t>
  </si>
  <si>
    <t>Päivystävä junapersoona (HTK) :: joukkoliikennesuunnittelija @akaankaupunki :: Слава Україні! Жыве Беларусь! Россия будет свободной! :: ПТН ПНХ ::_xD83C__xDF10_ FI SV EN DE</t>
  </si>
  <si>
    <t>Työuraa 43 v. viimeisimmästä ensimmäiseen:Päätoimittaja/ paikallisjohtaja, toimitusjohtaja, myyntijohtaja, myyntipäällikkö, alue-edustaja,mielisairaanhoitaja.</t>
  </si>
  <si>
    <t>he/him. Ohjelmistosuunnittelija ja epämääräinen ihminen.</t>
  </si>
  <si>
    <t>_xD83C__xDDEA__xD83C__xDDEA__xD83C__xDDEB__xD83C__xDDEE_ Lappilaistunut virolainen. Oikeustiedettä @UniLaplandLaw. Puheenjohtaja @Artikla. Edaattori @lyytweet. Mielipiteet omia.</t>
  </si>
  <si>
    <t>Ympäristö, musa, leffat, futurismi, teknologia.
Tulevaisuuden tuottaja. TransAlly_xD83C__xDFF3_️‍⚧_xD83C__xDFF3_️‍_xD83C__xDF08_
Fin/Eng/Dutch</t>
  </si>
  <si>
    <t>Koira, they/them, masc. terms ok, demi ace and pan af, luonto voittaa ihmisen aina. eat(s) the rich _xD83D__xDC9A_❤_xD83D__xDDA4_</t>
  </si>
  <si>
    <t>Isä, poika ja nörtti. Esim. futis (#spurs, #hjk, #fcbarcelona, #uclfi), lätkä (#hifk, #pelicansfi), radio kiinnostaa</t>
  </si>
  <si>
    <t>She/her
◾Cosplay, music, various other things 
◾ Suomi/English, 日本語は下手です。。。
◾Header by Helene Lindfors</t>
  </si>
  <si>
    <t>SDPn eduskuntaryhmän viestintäpäällikkö, @EnergiaHelen hallituksen vpj. #Helsinki #politiikka #työelämä #energia #ilmasto</t>
  </si>
  <si>
    <t>✿ A sleeping Cosplayer &amp; Artist ✿ Florist ✿ Balcony Gardener ✿ Fresh Fish Mom 
✿ F-85 FI &amp; ENG 
✿ Venting @ritsahemuli</t>
  </si>
  <si>
    <t>Oikeudellinen neuvonantaja @PunainenRisti #humanitaarinenoikeus Legal adv FinCross IHL&amp;https://t.co/frzFyaItON enthusiast @aboakademi &amp; @ColumbiaLaw alum jani.leino@redcross.fi</t>
  </si>
  <si>
    <t>Liberaalipuolueen eduskuntavaaliehdokas Uudeltamaalta, Kauppatieteen kandidaatti, talous- ja arvoliberaali</t>
  </si>
  <si>
    <t>KM &amp; YTM. Seksuaalikasvattaja ja auktorisoitu seksuaalineuvoja.
Pj @F_Tampere
Instagram: @riikkamarip
She/her
#nuorisotyö #feminismi #sukupuoli</t>
  </si>
  <si>
    <t>Freelance-kustannustoimittaja ja lukemattomien sanojen lukija. Haaveissani minulla on oma kirjasto, viherhuone ja keramiikkapaja, mieluiten Oxfordissa. She/her.</t>
  </si>
  <si>
    <t>All that is gold does not glitter; not all those who wander are lost; the old that is strong does not wither; deep roots are not reached by the frost.
-Tolkien</t>
  </si>
  <si>
    <t>Author of webcomics Transfusions &amp; The Witch Door. Stay for art, updates, (web)comic opinions + retweets of cute animals in _xD83C__xDDEB__xD83C__xDDEE_/_xD83C__xDDEC__xD83C__xDDE7_ (she/her)</t>
  </si>
  <si>
    <t>Maailman tapahtumista, politiikasta,  ihmisoikeuksista,  kiinnostunut juristi ja poikamies. Tweetit edustavat omia mielipiteitäni ja kiinostuksen aiheitani.</t>
  </si>
  <si>
    <t>_xD83D__xDD05_ Vahvasti vasemmalla ✊_xD83C__xDFFF_</t>
  </si>
  <si>
    <t>Mielenkiinto jääkiekko, mökkeily ja politiikka ilman puoluekantaa. Minkä kirjoitin, sen kirjoitin. Ravintolapäällikkö.</t>
  </si>
  <si>
    <t>Indiekirjailija  / parta-agamamama / suomen ope / kuntoutuva romu</t>
  </si>
  <si>
    <t>We are all (in)different.
Piraattipuolueen Vaasan vaalipiirin puheenjohtaja, mutta kaikki sanomani ei edusta Piraattipuoluetta, Vaasaa tai puheenjohtajia.</t>
  </si>
  <si>
    <t>Tiedottaja, @ppliitto ja @PP_EUtietopiste. Isä. Ekiinnostunut viestinnästä, mediasta, tieteestä ja politiikan sekä urheilun penkkiurheilusta. _xD83C__xDDEA__xD83C__xDDFA__xD83C__xDDEB__xD83C__xDDEE__xD83C__xDDFA__xD83C__xDDE6_</t>
  </si>
  <si>
    <t>Viestinnästä innostuva, maaseudun rauhaa rakastava kaupunkilainen, kulttuuri kiinnostaa ja yhteiskunnan ilmiöt puhuttavat, juuret Karjalassa.</t>
  </si>
  <si>
    <t>Matematiikan FM, IT-alan koodari. Kiinnostuksena kirjat, historia, politiikka, feminismi, uskonnot ja kestävyysurheilu. Antifasisti. Vasemmistolainen.</t>
  </si>
  <si>
    <t>Lempäälä, Sääksjärvi. Syntynyt Pispalassa. Pätkä- &amp; silpputyöura palvelualalla. Agnostikko, sanan monipuolisessa merkityksessä. Vammaisneuvoston jäsen</t>
  </si>
  <si>
    <t>FT</t>
  </si>
  <si>
    <t>Passionate about Brands, Trends &amp; Innovation. Fuelled by ☕️ Marketing Director at Pentik.</t>
  </si>
  <si>
    <t>https://t.co/xwjGOguVGh /  Apinalaatikko-podcastin isäntä / Hupparihörhö / Bisnessosialisti / Helsingin kaupunkiympäristölautakunnan jäsen (SDP)</t>
  </si>
  <si>
    <t>life is short, so make it yours.</t>
  </si>
  <si>
    <t>a teacher by day, the queen of dragons by night |
@VALORANTukn content creator &amp; caster |
streamer for @sheltergameroom |
she/her |
_xD83C__xDF08_ _xD83C__xDDEB__xD83C__xDDEE_ |
hhoenak@gmail.com</t>
  </si>
  <si>
    <t>Software | Security | Science | Technology | Engineering | Jokes |
MSc SW engineering | Finnish and English</t>
  </si>
  <si>
    <t>Äänestäjä. 
RT ilman kommentointia = samaa mieltä.</t>
  </si>
  <si>
    <t>#Comms #Marketing #Fundraising, @mll_fi Communications Manager, #Culture❤️ #mindfulness #leadership</t>
  </si>
  <si>
    <t>Musicals, theatre, books, escapist fiction, weird history retweets, Hungary, sea, mental health, fluffy animals. Humanist with a mop. Tweets mostly in Finnish.</t>
  </si>
  <si>
    <t>Refuses to grow up. Sometimes fangirly. World-curious &amp; dabbles in many things. Gen-Xer. Prone to depression. Breathes weirdly. Works with §. She/her.</t>
  </si>
  <si>
    <t>En pidä ääriliikkeistä. Ajattelen maalaisjärjellä ja saatan kertoa sen myös ääneen.
Maalituksen takia en omalla nimellä</t>
  </si>
  <si>
    <t>Tiedottaja, Puolustusvoimat
Public information, FDF/Army/Kainuu Brigade
Maanpuolustus, hevosurheilu, viestintä</t>
  </si>
  <si>
    <t>Viestijä, setteristi, matkailija, kesäfani, avantouimari. Henkilökohtainen tili.</t>
  </si>
  <si>
    <t>Twiittailen yhteiskunnasta, tasa-arvosta ja sarjiksista. Wannabesarjistaiteilija. Keski-Suomen Sarjakuvaseuran PJ.
Feedini sisältää satunnaisia kilpikonnakuvia.</t>
  </si>
  <si>
    <t>Cats, burlesque, yoga, punk, cooking, farmlife, teaching -regular stuff for old punkers. Performances,teaching, workshops. Contact: gigi.praline@gmail.com</t>
  </si>
  <si>
    <t>Suunsoittoa ja sormella puhumista somessa.</t>
  </si>
  <si>
    <t>Chair @Kieliasiaa, member of the Board @aivanerityinen. Member of the Board @ Suomen Fasilitaattorit ry. Service designer, consultant, trainer, journalist.</t>
  </si>
  <si>
    <t>Mother of three, wants to travel the world and enjoys good music and food. I just wanna go on more adventures. Be around good energy. Learn new things. Grow.</t>
  </si>
  <si>
    <t>Kielitieteilijä, fennougristi, Suomen _xD83C__xDDEB__xD83C__xDDEE_ kulttuurien ja luonnon puolustaja | Keskusta _xD83C__xDF40_ Espoo | Linguist, Finno-Ugricist, Centrist</t>
  </si>
  <si>
    <t>Conductor, violinist, musician, teacher. https://t.co/54K06PrkO3</t>
  </si>
  <si>
    <t>Esihenkilö, asiantuntija, useamman kerran korkeakoulutettu. Blokkaus vastavuoroista. Mielipiteet henkilökohtaisia ja yksityisluontoisia.</t>
  </si>
  <si>
    <t>Toimittaja, AlfaTV Uutiset, DJ Nestor Burma. Keskiäkäinen runoilija.</t>
  </si>
  <si>
    <t>| #turpo #sotateknikka #Navy #WeAreNATO</t>
  </si>
  <si>
    <t>Lähinnä kiinnostaa kaikki.</t>
  </si>
  <si>
    <t>Business opportunities above ordinary in Lapland. Tweets in English ja suomeksi. #businesslapland #arcticbiz</t>
  </si>
  <si>
    <t>Experience diverse nature, local delicacies, genuine culture, art and design in Posio – a small nature-loving community in Finnish Lapland.</t>
  </si>
  <si>
    <t>Recruitment l Employer branding l Photography l Hiking | #infosec fan! #Rekry LI: https://t.co/UhJm6thn6U</t>
  </si>
  <si>
    <t>Vassari. PC-pelaaja. Koodari. IT-ihminen. Kissaihminen. Koiraihminen. Turkulainen. Nainen. En neuvottele terroristien kanssa.</t>
  </si>
  <si>
    <t>Mother do you think they'll try to break my balls?</t>
  </si>
  <si>
    <t>Pieni nainen, suurella sydämellä.</t>
  </si>
  <si>
    <t>Jalkapallovalmentaja, maanrakennustyöntekijä
#vasemmistoliitto #politiikka #yhteiskunta #jalkapallo</t>
  </si>
  <si>
    <t>Stadista landelle paennut. Monessa mukana. #Yrittäjä #omatrahat ja #muidenrahat. Vapaus ja vastuu. Ei tv:stä tuttu Peltsi.</t>
  </si>
  <si>
    <t>Mielensäpahoittajien mielenpahoittaja. 
Myös #cleantech #greentech #hydrogen #EV #ESG</t>
  </si>
  <si>
    <t>Yhteiskunnallisesti utelias kolmen teinityttären äiti ja viestintäpäällikkö @Kiinteistoala. Tyylilajina ”halki, poikki ja pinoon”.</t>
  </si>
  <si>
    <t>Perheenisä Kouvolasta. Työskentelen kaupan alalla.
#maastopyöräily
#arsenal
#huonot_jutut</t>
  </si>
  <si>
    <t>järjestöasiantuntija @Tehy_ry Kiinnostaa luonto, ihmisoikeudet ja politiikka.</t>
  </si>
  <si>
    <t>_xD835__xDD0E__xD835__xDD2F__xD835__xDD2C__xD835__xDD2D__xD835__xDD30__xD835__xDD32__xD835__xDD1E_ _xD835__xDD22__xD835__xDD33_ä_xD835__xDD25_ä_xD835__xDD2B_ä.</t>
  </si>
  <si>
    <t>Minun nimeni on Riku ja minä olen sinun ystäväsi❣️
❣️#isä #ukki❣️ #juristi ⚖️ #lakimies 
kapteeni evp. ⚔️
"Ab imo pectore." ❤️</t>
  </si>
  <si>
    <t>Lääkäri/physician. Päivystystä ja perusterveydenhuoltoa. Jalkapallo. HIFK Fotboll ja juniorimaajoukkueita.
#StandwithUkraine</t>
  </si>
  <si>
    <t>HK05 SMJK (BB07)</t>
  </si>
  <si>
    <t>Elinkeinoelämää lähellä oleva taho.</t>
  </si>
  <si>
    <t>Keskiäkäinen kaalimaan kakara.
Harhaanjohtajaksikin mainittu. 
Vastentahtoinen eläkeläinen. 
Työn alla sote-asiat ja nepsyihmiset. 
Oman elämänsä Don Quijote.</t>
  </si>
  <si>
    <t>KAHVIA. Heidi, she/they, 27. Muusutyty. Erittäin pehmo ja ihan vitun homo. Nonbinary gal. Extremely soft and pretty damn gay.
Fin/Eng.
pfp by @Fizzyfiz_fiz</t>
  </si>
  <si>
    <t>Yrittäjä ja entinen virkamies. Opetelkaa olemaan.</t>
  </si>
  <si>
    <t>#Bureaucrat, political observer. Tweets mostly in Finnish. Member of The Greens in Finland.</t>
  </si>
  <si>
    <t>Well, here's another nice sarjakuvakauppa you've gotten me into!</t>
  </si>
  <si>
    <t>_xD83D__xDCAD_ _xD835__xDDE6_✦_xD835__xDDD9__xD835__xDDE7_ _xD835__xDDD6__xD835__xDDE2__xD835__xDDE3__xD835__xDDEC_ ◜96 ⋆◞♡̷̷ ꒱ _xD83E__xDD5D_+_xD83D__xDC9C_; 赤いベルベットのセクシーなダイナマイト_xD835__xDC12__xD835__xDC28__xD835__xDC28__xD835__xDC32__xD835__xDC28__xD835__xDC2E__xD835__xDC27__xD835__xDC20_ dè _xD835__xDC0F__xD835__xDC1A__xD835__xDC2B__xD835__xDC24_. A ℚ_xD835__xDD66_een charming _xD835__xDDFD__xD835__xDDF2_rsonali_xD835__xDE01__xD835__xDE06_ _xD835__xDDF1__xD835__xDE02__xD835__xDDEE__xD835__xDDF9_ity 50% ℂ_xD835__xDE02__xD835__xDE01__xD835__xDDF2_ 50 % _xD835__xDD4A__xD835__xDDF2__xD835__xDE05__xD835__xDE06_.</t>
  </si>
  <si>
    <t>snd_xD83D__xDD1E_</t>
  </si>
  <si>
    <t>Rahasia</t>
  </si>
  <si>
    <t>snd</t>
  </si>
  <si>
    <t>Bukan tongkrongan pecundang</t>
  </si>
  <si>
    <t>EU</t>
  </si>
  <si>
    <t>San Jose, CA</t>
  </si>
  <si>
    <t>Arizona, USA</t>
  </si>
  <si>
    <t>•ALOV•#_xD835__xDC69__xD835__xDC82__xD835__xDC8F__xD835__xDC88__xD835__xDC94__xD835__xDC95__xD835__xDC82__xD835__xDC89_</t>
  </si>
  <si>
    <t>fix bio/loc OT7PLACE.</t>
  </si>
  <si>
    <t>Helsinki. Finland</t>
  </si>
  <si>
    <t>Helsinki, Suomi</t>
  </si>
  <si>
    <t>Helsinki, Finland</t>
  </si>
  <si>
    <t>Vaasa</t>
  </si>
  <si>
    <t>Helsinki</t>
  </si>
  <si>
    <t>Espoo, Finland</t>
  </si>
  <si>
    <t>Hattula, Finland</t>
  </si>
  <si>
    <t>SW Finland</t>
  </si>
  <si>
    <t>Vihan musta pomppulinna</t>
  </si>
  <si>
    <t>JKL</t>
  </si>
  <si>
    <t>wherever the wind takes me.</t>
  </si>
  <si>
    <t xml:space="preserve">RULES: </t>
  </si>
  <si>
    <t>Jyväskylä</t>
  </si>
  <si>
    <t>Jyväskylä, Finland</t>
  </si>
  <si>
    <t>Suomi</t>
  </si>
  <si>
    <t>uss enterprise</t>
  </si>
  <si>
    <t xml:space="preserve">_xD83C__xDDEE__xD83C__xDDEA_ </t>
  </si>
  <si>
    <t>Turku, Finland</t>
  </si>
  <si>
    <t>زمین</t>
  </si>
  <si>
    <t>東京都</t>
  </si>
  <si>
    <t>Haaparanta</t>
  </si>
  <si>
    <t>Tampere</t>
  </si>
  <si>
    <t>Espoo, Suomi</t>
  </si>
  <si>
    <t>Hämeenlinna</t>
  </si>
  <si>
    <t>Helsingfors</t>
  </si>
  <si>
    <t>Uusikaupunki, Suomi</t>
  </si>
  <si>
    <t>Hämeenlinna, Suomi</t>
  </si>
  <si>
    <t>Kaustinen</t>
  </si>
  <si>
    <t>Oulu</t>
  </si>
  <si>
    <t>Belo Horizonte, Brasil</t>
  </si>
  <si>
    <t>Itä-Uusimaa/Päijät-Häme, Suomi</t>
  </si>
  <si>
    <t>Utrecht, The Netherlands</t>
  </si>
  <si>
    <t>Tweets: Sales_xD83E__xDD1D_CX_xD83C__xDF1F_ Esports _xD83C__xDFAE_</t>
  </si>
  <si>
    <t>Lieto, Finland</t>
  </si>
  <si>
    <t>Joensuu, Suomi</t>
  </si>
  <si>
    <t>Goyang-si, Republic of Korea</t>
  </si>
  <si>
    <t>Jember, Jawa Timur</t>
  </si>
  <si>
    <t>Helsinki Finland</t>
  </si>
  <si>
    <t>Hämeenlinna, Finland</t>
  </si>
  <si>
    <t>Helsinki-Vantaa</t>
  </si>
  <si>
    <t>Sanomatalo, Helsinki</t>
  </si>
  <si>
    <t>Lappeenranta</t>
  </si>
  <si>
    <t>Helsingin Sanomat, Helsinki</t>
  </si>
  <si>
    <t>Trollitehdas</t>
  </si>
  <si>
    <t>Kuusankoski</t>
  </si>
  <si>
    <t>Lempäälä - Tampere, Suomi</t>
  </si>
  <si>
    <t>Espoo</t>
  </si>
  <si>
    <t>Kouvola 2018-, Kotka 1983-2018</t>
  </si>
  <si>
    <t>Youtube</t>
  </si>
  <si>
    <t>Kalajoki, Suomi</t>
  </si>
  <si>
    <t>Kihniö, Finland</t>
  </si>
  <si>
    <t xml:space="preserve">Helsinki </t>
  </si>
  <si>
    <t xml:space="preserve">Suomi Finland </t>
  </si>
  <si>
    <t>Finland, Seinäjoki</t>
  </si>
  <si>
    <t>Porvoo, Finland</t>
  </si>
  <si>
    <t>Alppila, Helsinki.</t>
  </si>
  <si>
    <t>Lieksa Finland European Union</t>
  </si>
  <si>
    <t>Varsinais-Suomi</t>
  </si>
  <si>
    <t>helsinki, finland | she/her</t>
  </si>
  <si>
    <t>Planet Earth _xD83C__xDF0D__xD83D__xDD4A_️</t>
  </si>
  <si>
    <t>Somewhere over the rainbow</t>
  </si>
  <si>
    <t>Planet Earth, mainly</t>
  </si>
  <si>
    <t>Uusimaa, Suomi</t>
  </si>
  <si>
    <t>Oulu, Suomi</t>
  </si>
  <si>
    <t>Tampere, Suomi</t>
  </si>
  <si>
    <t>she/her</t>
  </si>
  <si>
    <t>Turku</t>
  </si>
  <si>
    <t>Hyvinkää</t>
  </si>
  <si>
    <t>Nordics</t>
  </si>
  <si>
    <t>Valkeakoski, Suomi</t>
  </si>
  <si>
    <t>She/her</t>
  </si>
  <si>
    <t>Finland, Vantaa</t>
  </si>
  <si>
    <t>Suomi Finland</t>
  </si>
  <si>
    <t>Koskenkorva Village</t>
  </si>
  <si>
    <t>Jyväskylä, Suomi</t>
  </si>
  <si>
    <t>Lappi</t>
  </si>
  <si>
    <t>Sipoo</t>
  </si>
  <si>
    <t>Etelä-Häme ja Etelä-Savo</t>
  </si>
  <si>
    <t>Akaa</t>
  </si>
  <si>
    <t>Tampere / Toijala</t>
  </si>
  <si>
    <t>Kristiinankaupunki</t>
  </si>
  <si>
    <t>Oulu, Finland</t>
  </si>
  <si>
    <t>Rovaniemi, Finland</t>
  </si>
  <si>
    <t xml:space="preserve">Koirapuisto </t>
  </si>
  <si>
    <t>Lahti</t>
  </si>
  <si>
    <t>Keski-Suomi, Suomi</t>
  </si>
  <si>
    <t>Tampere, Finland</t>
  </si>
  <si>
    <t>Perniö | Salo, Finland</t>
  </si>
  <si>
    <t>Sääksjärvi/Lempäälä</t>
  </si>
  <si>
    <t>Inari, Suomi</t>
  </si>
  <si>
    <t>GigiPraline</t>
  </si>
  <si>
    <t>Kangasala, Suomi</t>
  </si>
  <si>
    <t>Lappeenranta, Finland</t>
  </si>
  <si>
    <t>Espoo, Suomi _xD83C__xDDEB__xD83C__xDDEE_ Finland</t>
  </si>
  <si>
    <t>Rovaniemi, Lapland, Finland</t>
  </si>
  <si>
    <t>Posio, Finland</t>
  </si>
  <si>
    <t>Parainen</t>
  </si>
  <si>
    <t xml:space="preserve">#Mathildedal ja #Helsinki </t>
  </si>
  <si>
    <t>_xD83C__xDFE0_ Espoo _xD83D__xDC9B_ Sonkajärvi</t>
  </si>
  <si>
    <t>Kouvola</t>
  </si>
  <si>
    <t>Kouvola, Suomi</t>
  </si>
  <si>
    <t>_xD835__xDD08__xD835__xDD30__xD835__xDD2D__xD835__xDD2C__xD835__xDD2C_</t>
  </si>
  <si>
    <t>#maanlakimaaninka</t>
  </si>
  <si>
    <t>Humalistonkatu 8 B, Turku 2010</t>
  </si>
  <si>
    <t>Open Twitter Page for This Person</t>
  </si>
  <si>
    <t xml:space="preserve">kafleng
</t>
  </si>
  <si>
    <t>ihdaltandigau
@melinasahara @lisajandamuda Mau
berbulu tidak berbulu yang pentik
harum</t>
  </si>
  <si>
    <t xml:space="preserve">lisajandamuda
</t>
  </si>
  <si>
    <t xml:space="preserve">melinasahara
</t>
  </si>
  <si>
    <t>jenongolongol
@BEBASAGC oke. 1 kalimat diakhiri
dengan titik. yg pentik ada titik
ya wkwk</t>
  </si>
  <si>
    <t xml:space="preserve">bebasagc
</t>
  </si>
  <si>
    <t>nesteagg
@Faaayn Pentik il doit te int fort</t>
  </si>
  <si>
    <t xml:space="preserve">faaayn
</t>
  </si>
  <si>
    <t>forcollecting
Check out #Vintage Collectibles
Studio pottery #SALVIA #PENTIK
#Finland Black #VASE Home Decor
https://t.co/IYMQs12TyV via @eBay</t>
  </si>
  <si>
    <t xml:space="preserve">ebay
</t>
  </si>
  <si>
    <t>cozyatoz
Check out #Vintage Collectibles
Studio pottery #SALVIA #PENTIK
#Finland Black #VASE Home Decor
https://t.co/IYMQs12TyV via @eBay</t>
  </si>
  <si>
    <t>leonchangkun
Parlemen memiliki peran pentik
utk perkembangan demokrasi #PuanPemimpinKita
Dukung Ketua DPR RI https://t.co/lFgDDuWK9K</t>
  </si>
  <si>
    <t>gilangtamrin1
Parlemen memiliki peran pentik
utk perkembangan demokrasi #PuanPemimpinKita
Dukung Ketua DPR RI https://t.co/9V2f3ZyYfu</t>
  </si>
  <si>
    <t>inirpjk
@OT7PLACE PENTIK DONK</t>
  </si>
  <si>
    <t xml:space="preserve">ot7place
</t>
  </si>
  <si>
    <t>o_tiainen
Pentik Anis - varttuneemman herrasmiehen
elegantti astiasarja _xD83D__xDE05__xD83D__xDE05_ https://t.co/Yj0ovLIlI3</t>
  </si>
  <si>
    <t>aleksipahkala
Ei fiddy _xD83D__xDE33__xD83D__xDE05_ Hesarin luetuin juttu.
Olkaa hyvä Pentik _xD83C__xDF89_ Nyt pistäkää
kunnon Pentik Anis -mainonta käyntiin
ja rikkokaa myyntiennätyksiä! https://t.co/kcwBZfRX6W</t>
  </si>
  <si>
    <t>kallaslukka
Pentik Anis - varttuneemman herrasmiehen
elegantti astiasarja _xD83D__xDE05__xD83D__xDE05_ https://t.co/Yj0ovLIlI3</t>
  </si>
  <si>
    <t>niko01650
Pentik Anis - varttuneemman herrasmiehen
elegantti astiasarja _xD83D__xDE05__xD83D__xDE05_ https://t.co/Yj0ovLIlI3</t>
  </si>
  <si>
    <t>miemo
Pentik Anis - varttuneemman herrasmiehen
elegantti astiasarja _xD83D__xDE05__xD83D__xDE05_ https://t.co/Yj0ovLIlI3</t>
  </si>
  <si>
    <t>npmatilainen
Pentik Anis - varttuneemman herrasmiehen
elegantti astiasarja _xD83D__xDE05__xD83D__xDE05_ https://t.co/Yj0ovLIlI3</t>
  </si>
  <si>
    <t>tiiamaija
Pentik Anis - varttuneemman herrasmiehen
elegantti astiasarja _xD83D__xDE05__xD83D__xDE05_ https://t.co/Yj0ovLIlI3</t>
  </si>
  <si>
    <t>kateellinenl
Pentik Anis - varttuneemman herrasmiehen
elegantti astiasarja _xD83D__xDE05__xD83D__xDE05_ https://t.co/Yj0ovLIlI3</t>
  </si>
  <si>
    <t>ilmariwalker
Pentik Anis - varttuneemman herrasmiehen
elegantti astiasarja _xD83D__xDE05__xD83D__xDE05_ https://t.co/Yj0ovLIlI3</t>
  </si>
  <si>
    <t>torlillqvist
Pentik Anis - varttuneemman herrasmiehen
elegantti astiasarja _xD83D__xDE05__xD83D__xDE05_ https://t.co/Yj0ovLIlI3</t>
  </si>
  <si>
    <t>jannentnen
Pentik Anis - varttuneemman herrasmiehen
elegantti astiasarja _xD83D__xDE05__xD83D__xDE05_ https://t.co/Yj0ovLIlI3</t>
  </si>
  <si>
    <t>rosamerilainen
Pentik Anis - varttuneemman herrasmiehen
elegantti astiasarja _xD83D__xDE05__xD83D__xDE05_ https://t.co/Yj0ovLIlI3</t>
  </si>
  <si>
    <t>kimvais
Pentik Anis - varttuneemman herrasmiehen
elegantti astiasarja _xD83D__xDE05__xD83D__xDE05_ https://t.co/Yj0ovLIlI3</t>
  </si>
  <si>
    <t>karrianttoni
Pentik Anis - varttuneemman herrasmiehen
elegantti astiasarja _xD83D__xDE05__xD83D__xDE05_ https://t.co/Yj0ovLIlI3</t>
  </si>
  <si>
    <t>hikipediainfo
Pentik Anis - varttuneemman herrasmiehen
elegantti astiasarja _xD83D__xDE05__xD83D__xDE05_ https://t.co/Yj0ovLIlI3</t>
  </si>
  <si>
    <t>goashem
Pentik Anis - varttuneemman herrasmiehen
elegantti astiasarja _xD83D__xDE05__xD83D__xDE05_ https://t.co/Yj0ovLIlI3</t>
  </si>
  <si>
    <t>naururastas
Pentik Anis - varttuneemman herrasmiehen
elegantti astiasarja _xD83D__xDE05__xD83D__xDE05_ https://t.co/Yj0ovLIlI3</t>
  </si>
  <si>
    <t>hirmutwiittaa
Pentik Anis - varttuneemman herrasmiehen
elegantti astiasarja _xD83D__xDE05__xD83D__xDE05_ https://t.co/Yj0ovLIlI3</t>
  </si>
  <si>
    <t>kp_keto
Pentik Anis - varttuneemman herrasmiehen
elegantti astiasarja _xD83D__xDE05__xD83D__xDE05_ https://t.co/Yj0ovLIlI3</t>
  </si>
  <si>
    <t>suurimies
Pentik Anis - varttuneemman herrasmiehen
elegantti astiasarja _xD83D__xDE05__xD83D__xDE05_ https://t.co/Yj0ovLIlI3</t>
  </si>
  <si>
    <t>pekkalajanne
Pentik Anis - varttuneemman herrasmiehen
elegantti astiasarja _xD83D__xDE05__xD83D__xDE05_ https://t.co/Yj0ovLIlI3</t>
  </si>
  <si>
    <t>sambateveridei
@ohmybeautybank Kok lentik pny
mad pls wkwk. Biasanya gapernah
se pentik ini kl dijepit bulumata
nya https://t.co/tv2jDH47hh</t>
  </si>
  <si>
    <t xml:space="preserve">ohmybeautybank
</t>
  </si>
  <si>
    <t>jermulion
Pentik Anis - varttuneemman herrasmiehen
elegantti astiasarja _xD83D__xDE05__xD83D__xDE05_ https://t.co/Yj0ovLIlI3</t>
  </si>
  <si>
    <t>anttiseppala
Pentik Anis - varttuneemman herrasmiehen
elegantti astiasarja _xD83D__xDE05__xD83D__xDE05_ https://t.co/Yj0ovLIlI3</t>
  </si>
  <si>
    <t>ahaaparanta
Pentik Anis - varttuneemman herrasmiehen
elegantti astiasarja _xD83D__xDE05__xD83D__xDE05_ https://t.co/Yj0ovLIlI3</t>
  </si>
  <si>
    <t>granstromolavi
Pentik Anis - varttuneemman herrasmiehen
elegantti astiasarja _xD83D__xDE05__xD83D__xDE05_ https://t.co/Yj0ovLIlI3</t>
  </si>
  <si>
    <t>petripihko
Missä olit, kun kuulit Pentik Anis
-astiasarjasta? https://t.co/NQ3MkaNzio</t>
  </si>
  <si>
    <t>vesaukkonen
Pentik Anis - varttuneemman herrasmiehen
elegantti astiasarja _xD83D__xDE05__xD83D__xDE05_ https://t.co/Yj0ovLIlI3</t>
  </si>
  <si>
    <t>tinkeliini
Pentik Anis - varttuneemman herrasmiehen
elegantti astiasarja _xD83D__xDE05__xD83D__xDE05_ https://t.co/Yj0ovLIlI3</t>
  </si>
  <si>
    <t>jussisaarelma
Pentik Anis - varttuneemman herrasmiehen
elegantti astiasarja _xD83D__xDE05__xD83D__xDE05_ https://t.co/Yj0ovLIlI3</t>
  </si>
  <si>
    <t>malaprade
Tuohan tämä #Pentik Anis hymyä
muuten niin harmaaseen viestinnän
alkuvuoteen. #branding #markkinointi
https://t.co/jZV6Mal8yI</t>
  </si>
  <si>
    <t>dumbopumba
Pentik Anis - varttuneemman herrasmiehen
elegantti astiasarja _xD83D__xDE05__xD83D__xDE05_ https://t.co/Yj0ovLIlI3</t>
  </si>
  <si>
    <t>avaruushelmi
Pentik Anis - varttuneemman herrasmiehen
elegantti astiasarja _xD83D__xDE05__xD83D__xDE05_ https://t.co/Yj0ovLIlI3</t>
  </si>
  <si>
    <t>rahina
Pentik Anis - varttuneemman herrasmiehen
elegantti astiasarja _xD83D__xDE05__xD83D__xDE05_ https://t.co/Yj0ovLIlI3</t>
  </si>
  <si>
    <t>oleniusmatti
@aleksipahkala Pentik Anos.</t>
  </si>
  <si>
    <t>gaiafinn
Pentik Anis - varttuneemman herrasmiehen
elegantti astiasarja _xD83D__xDE05__xD83D__xDE05_ https://t.co/Yj0ovLIlI3</t>
  </si>
  <si>
    <t>mipelt
Pentik Anis - varttuneemman herrasmiehen
elegantti astiasarja _xD83D__xDE05__xD83D__xDE05_ https://t.co/Yj0ovLIlI3</t>
  </si>
  <si>
    <t>chouchocolat
狙ってたPentikの食器、忙しかったからあとでにしたら、sold
outしてしまった。もう2度とあんなに破格では買えないのにー。仕方ないので、同じシリーズの別のを買いました。</t>
  </si>
  <si>
    <t>samigabbouj
Pentik Anis - varttuneemman herrasmiehen
elegantti astiasarja _xD83D__xDE05__xD83D__xDE05_ https://t.co/Yj0ovLIlI3</t>
  </si>
  <si>
    <t>junttipekka
Jos saisi Jukka Pentti joskus ostaa
Pentik anis -astiaston rovaniemeläisestä
Sinikan posliinista, niin sen jälkeen
voisi hyvinkin kipaista Lillin
kukasta juoksukukat, ja sen jälkeen
pyytää kaffelle Kuoksu-Jukat. #rovaniemi
#munansaannos https://t.co/LoBXg6MGWC</t>
  </si>
  <si>
    <t>lottabacklund
Pentik Anis - varttuneemman herrasmiehen
elegantti astiasarja _xD83D__xDE05__xD83D__xDE05_ https://t.co/Yj0ovLIlI3</t>
  </si>
  <si>
    <t>niinamuyau
Pentik Anis - varttuneemman herrasmiehen
elegantti astiasarja _xD83D__xDE05__xD83D__xDE05_ https://t.co/Yj0ovLIlI3</t>
  </si>
  <si>
    <t>janiturku
Pentik Anis - varttuneemman herrasmiehen
elegantti astiasarja _xD83D__xDE05__xD83D__xDE05_ https://t.co/Yj0ovLIlI3</t>
  </si>
  <si>
    <t>arnkil
Pentik Anis - varttuneemman herrasmiehen
elegantti astiasarja _xD83D__xDE05__xD83D__xDE05_ https://t.co/Yj0ovLIlI3</t>
  </si>
  <si>
    <t>mikkohongisto
Ihastuttava uusi astiasto, Pentik
Anis.</t>
  </si>
  <si>
    <t>castrenr
Pentik Anis - varttuneemman herrasmiehen
elegantti astiasarja _xD83D__xDE05__xD83D__xDE05_ https://t.co/Yj0ovLIlI3</t>
  </si>
  <si>
    <t>jjjpellinen
Pentik Anis - varttuneemman herrasmiehen
elegantti astiasarja _xD83D__xDE05__xD83D__xDE05_ https://t.co/Yj0ovLIlI3</t>
  </si>
  <si>
    <t>jpkajan
Pentik Anis - varttuneemman herrasmiehen
elegantti astiasarja _xD83D__xDE05__xD83D__xDE05_ https://t.co/Yj0ovLIlI3</t>
  </si>
  <si>
    <t>samilaiho
Pentik Anis - varttuneemman herrasmiehen
elegantti astiasarja _xD83D__xDE05__xD83D__xDE05_ https://t.co/Yj0ovLIlI3</t>
  </si>
  <si>
    <t>millscgh
Pentik Anis - varttuneemman herrasmiehen
elegantti astiasarja _xD83D__xDE05__xD83D__xDE05_ https://t.co/Yj0ovLIlI3</t>
  </si>
  <si>
    <t>haraldhannelius
Pentik Anis - varttuneemman herrasmiehen
elegantti astiasarja _xD83D__xDE05__xD83D__xDE05_ https://t.co/Yj0ovLIlI3</t>
  </si>
  <si>
    <t>tiinaripatti
Pentik Anis - varttuneemman herrasmiehen
elegantti astiasarja _xD83D__xDE05__xD83D__xDE05_ https://t.co/Yj0ovLIlI3</t>
  </si>
  <si>
    <t>sinimarjah
@aleksipahkala Wohhohhohhoo! _xD83E__xDD2D_
Pentik Anan tarjoilu?</t>
  </si>
  <si>
    <t>aaponyholm
Pentik Anis - varttuneemman herrasmiehen
elegantti astiasarja _xD83D__xDE05__xD83D__xDE05_ https://t.co/Yj0ovLIlI3</t>
  </si>
  <si>
    <t>tallella2
Pentik Anis - varttuneemman herrasmiehen
elegantti astiasarja _xD83D__xDE05__xD83D__xDE05_ https://t.co/Yj0ovLIlI3</t>
  </si>
  <si>
    <t>docjares
Pentik Anis - varttuneemman herrasmiehen
elegantti astiasarja _xD83D__xDE05__xD83D__xDE05_ https://t.co/Yj0ovLIlI3</t>
  </si>
  <si>
    <t>koala79124457
Kai kuulitte jo sen, että Pentikillä
on tuotesarja nimeltä Anis. Siis
Pentik Anis. Antik Penis. En kestä
_xD83D__xDE02__xD83E__xDD23_ Sen on suunnitellut henkilö
nimeltä Kovanen. Ei sentään Jorma.
Anteeksi, mutta sisäinen pikkupoikani
heräsi. Hädin tuskin kykenin lopettamaan
nauramisen.</t>
  </si>
  <si>
    <t>hamalainenster
Pentik Anis - varttuneemman herrasmiehen
elegantti astiasarja _xD83D__xDE05__xD83D__xDE05_ https://t.co/Yj0ovLIlI3</t>
  </si>
  <si>
    <t>teemukorpiaho
Pentik Anis - varttuneemman herrasmiehen
elegantti astiasarja _xD83D__xDE05__xD83D__xDE05_ https://t.co/Yj0ovLIlI3</t>
  </si>
  <si>
    <t>lauriloven
Pentik Anis - varttuneemman herrasmiehen
elegantti astiasarja _xD83D__xDE05__xD83D__xDE05_ https://t.co/Yj0ovLIlI3</t>
  </si>
  <si>
    <t>sansincisor
Pentik Anis - varttuneemman herrasmiehen
elegantti astiasarja _xD83D__xDE05__xD83D__xDE05_ https://t.co/Yj0ovLIlI3</t>
  </si>
  <si>
    <t>nekoliini
Pentik Anis - varttuneemman herrasmiehen
elegantti astiasarja _xD83D__xDE05__xD83D__xDE05_ https://t.co/Yj0ovLIlI3</t>
  </si>
  <si>
    <t>ragzila
Pentik Anis - varttuneemman herrasmiehen
elegantti astiasarja _xD83D__xDE05__xD83D__xDE05_ https://t.co/Yj0ovLIlI3</t>
  </si>
  <si>
    <t>9h0hm
Pentik Anis - astiasarja vanhemmille
herrasmiehille. Lieneekö loppuun
asti mietitty nimi? via /r/Suomi
https://t.co/CWIejcB2fR</t>
  </si>
  <si>
    <t>kapt_suolisolmu
Pentik Anis - varttuneemman herrasmiehen
elegantti astiasarja _xD83D__xDE05__xD83D__xDE05_ https://t.co/Yj0ovLIlI3</t>
  </si>
  <si>
    <t>ks_rautalinko
Pentik Anis - varttuneemman herrasmiehen
elegantti astiasarja _xD83D__xDE05__xD83D__xDE05_ https://t.co/Yj0ovLIlI3</t>
  </si>
  <si>
    <t>ohtmaa
@SaniLeino Just kun olin lukenut
twiitin Pentik Anis sarjasta ja
nyt tämä _xD83D__xDE48__xD83D__xDE02__xD83D__xDE02_</t>
  </si>
  <si>
    <t xml:space="preserve">sanileino
</t>
  </si>
  <si>
    <t>toukoq
Vihdoinki sain tän hyllyn laitettua,
muutettiin tähän viime elokuussa.
Iski yhtäkkiä idis, että Ikean
pienet lastenastiat sopii tuohon
ku nenä päähän! 2.ylimmällä on
isotädiltä perityt pronssin väriset
astiat. Ylimmällä äidiltä saadut
#pentik|in sokeri- ja suola-astiat
https://t.co/5eSvGriDB3</t>
  </si>
  <si>
    <t>panuvatanen
Pentik Anis - varttuneemman herrasmiehen
elegantti astiasarja _xD83D__xDE05__xD83D__xDE05_ https://t.co/Yj0ovLIlI3</t>
  </si>
  <si>
    <t>oonasofias
Pentik Anis - varttuneemman herrasmiehen
elegantti astiasarja _xD83D__xDE05__xD83D__xDE05_ https://t.co/Yj0ovLIlI3</t>
  </si>
  <si>
    <t>renykdewi
Gapapa ga diposting sama ayang,yg
pentik cantik dimata orang lain
_xD83E__xDD2A_</t>
  </si>
  <si>
    <t>miccelsson
Pentik Anis - varttuneemman herrasmiehen
elegantti astiasarja _xD83D__xDE05__xD83D__xDE05_ https://t.co/Yj0ovLIlI3</t>
  </si>
  <si>
    <t>tapoykko
Pentik Anis - varttuneemman herrasmiehen
elegantti astiasarja _xD83D__xDE05__xD83D__xDE05_ https://t.co/Yj0ovLIlI3</t>
  </si>
  <si>
    <t>anttihaapala
Pentik Anis - varttuneemman herrasmiehen
elegantti astiasarja _xD83D__xDE05__xD83D__xDE05_ https://t.co/Yj0ovLIlI3</t>
  </si>
  <si>
    <t>arielneulaniemi
Pentik Anis - varttuneemman herrasmiehen
elegantti astiasarja _xD83D__xDE05__xD83D__xDE05_ https://t.co/Yj0ovLIlI3</t>
  </si>
  <si>
    <t>hs_visio
Yritykset | Suomalaisyhtiön Pentik
Anis -astiasto herättää hilpeyttä
sosiaalisessa mediassa – Soitto
yhtiöön paljastaa, ettei se ollut
tajunnut sanamuunnosta https://t.co/0p3vOKvepC</t>
  </si>
  <si>
    <t>vilpertt
Yritykset | Suomalaisyhtiön Pentik
Anis -astiasto herättää hilpeyttä
somessa – Soitto yhtiöön paljastaa,
ettei se ollut tajunnut sanamuunnosta
https://t.co/rzpKbKZmRC</t>
  </si>
  <si>
    <t>hsfi
Yritykset | Suomalaisyhtiön Pentik
Anis -astiasto herättää hilpeyttä
somessa – Soitto yhtiöön paljastaa,
ettei se ollut tajunnut sanamuunnosta
https://t.co/rzpKbKZmRC</t>
  </si>
  <si>
    <t>pekkarahko
Pentik Anis -astiaston vaalea yksinkertaisuus
jättää tilaa värikkäille tekstiileille
ja ruoka-annoksille. https://t.co/dl2rDmhjmP</t>
  </si>
  <si>
    <t>suomalainentyo
Upeaa #Pentik'in Posion tehtaalle
#Ekokompassi-#ympäristösertifikaatti
ja tavoitteena hiilineutraali keramiikkatehdas
#avainlippu #designfromfinland
#suomalainentyo https://t.co/4ZJHc8sLB7</t>
  </si>
  <si>
    <t>designfromfinla
Upeaa #Pentik'in Posion tehtaalle
#Ekokompassi-#ympäristösertifikaatti
ja tavoitteena hiilineutraali keramiikkatehdas
#avainlippu #designfromfinland
#suomalainentyo https://t.co/4ZJHc8sLB7</t>
  </si>
  <si>
    <t>yweuutiset
Ywitykset | Suomalaisyhtiön Pentik
Anyis -astiasto hewättää hiwpeyttä
sosiaawisessa mediassa – *cries*
Soitto yhtiöön *huggles tightly*
pawjastaa, ettei se owwut tajunnyut
sanyamuunnyosta (˘ሠ˘) (HS) https://t.co/lH29RUhJT3</t>
  </si>
  <si>
    <t>veikkakuusisto
@JuhaTenhonen Joo tää on aika onnistunut...
etenkin, kun a) astiasto on julkaistu
vuonna 2006 ja b) jälkikäteen Pentik-etuliite
(sussiunakkoon teitä kaksimielisiä!?)
lisätty mukaan... Ehkä on vaan
parasta lähteä salille vetämään
leukoja :D</t>
  </si>
  <si>
    <t xml:space="preserve">juhatenhonen
</t>
  </si>
  <si>
    <t>jerej
Eräässä kaveripiirissä minusta
käytetään vasen pakki Arto Ruotasesta
johdettua lempinimeä Arse. Niinpä
ajattelin tarjota Pentikille noloksi
käyneen Pentik Anis -sarjan korvaavaa
puuastiamallistoa Pentik Arse.</t>
  </si>
  <si>
    <t>minnaruokonen1
Pentik olisi tarvinnut #kieliasiantuntija'a,
jolla on luova ja likainen mielikuvitus
_xD83D__xDE05_ https://t.co/JOIPRViGSh</t>
  </si>
  <si>
    <t>hannuhynonen
Pentik Anis - hillitön kuppi. https://t.co/Rpp0PreHuK</t>
  </si>
  <si>
    <t>teemu_lahtinen
Pentik Anis - hillitön kuppi. https://t.co/Rpp0PreHuK</t>
  </si>
  <si>
    <t>teijalarikka
Pentik Anis. Hieman ohimoilta harmaantuneen
herrasmiehen astiastovalinta. https://t.co/MCOqqdjQOg</t>
  </si>
  <si>
    <t>anttivan
@AlmaOnali Kansa vaatii Pentik
Arvoa!</t>
  </si>
  <si>
    <t>almaonali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</si>
  <si>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mikkostenlund
@AlmaOnali Pentik: Tämä on meidän
taholta tahaton kikkelikukkanen,
joka valkeni meille vasta nyt.</t>
  </si>
  <si>
    <t>elina_hjr
Yritykset | Suomalaisyhtiön Pentik
Anis -astiasto herättää hilpeyttä
somessa – Soitto yhtiöön paljastaa,
ettei se ollut tajunnut sanamuunnosta
https://t.co/rzpKbKZmRC</t>
  </si>
  <si>
    <t>timopennanen
Pentik Aniksesta saa erään otsikon
mukaan "kaksimielisen" sananmuunnoksen.
Mä en kyllä keksi sille kuin yhden
merkityksen.</t>
  </si>
  <si>
    <t>koomikkokivi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</si>
  <si>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symbaaliapina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</si>
  <si>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vesavee
Yritykset | Suomalaisyhtiön Pentik
Anis -astiasto herättää hilpeyttä
somessa – Soitto yhtiöön paljastaa,
ettei se ollut tajunnut sanamuunnosta
https://t.co/rzpKbKZmRC</t>
  </si>
  <si>
    <t>walmerigaming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</si>
  <si>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salmusami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</si>
  <si>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markosuomi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</si>
  <si>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makaliok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</si>
  <si>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jarnaerika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</si>
  <si>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johannahellste2
Pitkäaikaisena sananmuunnosten
ystävänä arvostan tätä artikkelia
kovasti. Mies ihmettelee, kun nauran
vedet silmissä. #pentikanis https://t.co/LyVDs40eNL</t>
  </si>
  <si>
    <t>tiinanev
Pentik Anis - varttuneemman herrasmiehen
elegantti astiasarja _xD83D__xDE05__xD83D__xDE05_ https://t.co/Yj0ovLIlI3</t>
  </si>
  <si>
    <t>mitanaitanyon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</si>
  <si>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halereeni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</si>
  <si>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timokoivisto_
Pentik anis oli kyllä just sitä
mitä nyt tähän väliin kaivattiin.</t>
  </si>
  <si>
    <t>joutsenikko
Pentik anis oli kyllä just sitä
mitä nyt tähän väliin kaivattiin.</t>
  </si>
  <si>
    <t>pasikivioja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</si>
  <si>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jennijanakka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</si>
  <si>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mikaelhoo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</si>
  <si>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lassi_ylikojola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</si>
  <si>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turhaporu
”Tuote nimetään uudelleen tunnistettavuus
säilyttäen sekä Pentikin brand
heritagen mukaiseksi: Pentik Anu’s.”
#pentik #pentikanis #antikpenis
https://t.co/Ji9QyxUg5E</t>
  </si>
  <si>
    <t>iirorantala
Pentik Anis. Kovasen Lassen tuotantoa!!!
https://t.co/wX6tWtaxWS</t>
  </si>
  <si>
    <t>juusojoo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</si>
  <si>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nightisnotday45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</si>
  <si>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piapihlaja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</si>
  <si>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pasiyliuntinen
@joni_jaakkola I don't always buy
tableware but when I do it's Pentik
Anis</t>
  </si>
  <si>
    <t xml:space="preserve">joni_jaakkola
</t>
  </si>
  <si>
    <t>svuorikoski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</si>
  <si>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anttiparnanen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</si>
  <si>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panu
@MasaSaarnela Onko tämä Pentik
Anis -lautanen?</t>
  </si>
  <si>
    <t xml:space="preserve">masasaarnela
</t>
  </si>
  <si>
    <t>joonaslinkola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</si>
  <si>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nnancycos
Yritykset | Suomalaisyhtiön Pentik
Anis -astiasto herättää hilpeyttä
somessa – Soitto yhtiöön paljastaa,
ettei se ollut tajunnut sanamuunnosta
https://t.co/rzpKbKZmRC</t>
  </si>
  <si>
    <t>kanerva_mari
@joni_jaakkola Tuo on vielä pahempi
(tai parempi) kuin Pentik Anis
_xD83D__xDE01_</t>
  </si>
  <si>
    <t>vapaamielinen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</si>
  <si>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elinalappalaine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</si>
  <si>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punainenbarbi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</si>
  <si>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hpmaatta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</si>
  <si>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toikkis78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</si>
  <si>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sara_peltola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</si>
  <si>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satuvennala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</si>
  <si>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martinpaasi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</si>
  <si>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nuusa_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</si>
  <si>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timoturt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</si>
  <si>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raisaharjuautti
Sananmuunnos ykkösuutisena! Suomi
❤️suomen kieli ❤️ ”HR-päällikkömme
sanoi olevansa työkyvytön loppupäivän,
sillä hän ei voi lopettaa nauramista.”
#Pentik #Anis https://t.co/AcLgflbOEL</t>
  </si>
  <si>
    <t>aksu09845728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</si>
  <si>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erkka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</si>
  <si>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nahuman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</si>
  <si>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pinja_l
”HR-päällikkömme sanoi olevansa
työkyvytön loppupäivän, sillä hän
ei voi lopettaa nauramista.” #pentik
#anis https://t.co/SQSIimDzpl</t>
  </si>
  <si>
    <t>mhinkkanen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</si>
  <si>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aapojg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</si>
  <si>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marikarkkainen
Tää on ihan hulvaton viestiketju,
tilannehuumori on niin parasta
_xD83D__xDE02__xD83D__xDE0D_ #Pentik ❤️ https://t.co/THQKzub6RT</t>
  </si>
  <si>
    <t>fillari_iska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</si>
  <si>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ooppaooppa
Pentik Anis - varttuneemman herrasmiehen
elegantti astiasarja _xD83D__xDE05__xD83D__xDE05_ https://t.co/Yj0ovLIlI3</t>
  </si>
  <si>
    <t>akselilammi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</si>
  <si>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anna_ihminen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</si>
  <si>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idealacatariina
Okej NU förstod jag Pentik Anis-grejen.
(Skyller på att jag haft corona
OCH barnvecka med sjukt barn)</t>
  </si>
  <si>
    <t>merviemilia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</si>
  <si>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vsaarenketo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</si>
  <si>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kallixia
Tekeeköhän Pentik tästä todellisen
anispesun? Päivän hauskin juttu.
https://t.co/uMybI4vrVX</t>
  </si>
  <si>
    <t>elinaruoppa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</si>
  <si>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therealjosefi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</si>
  <si>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katriinapa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</si>
  <si>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pikkuhoo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</si>
  <si>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lpyokari
Anisruoho (Pimpinella anisum) todellakin
on pukinjuurten (Pimpinella) sukuun
kuuluva ruohovartinen kasvi #Pentik
_xD83D__xDE02_</t>
  </si>
  <si>
    <t>pilvialopaeus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</si>
  <si>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airastuomas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</si>
  <si>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annkatarine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</si>
  <si>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jormakarvonen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</si>
  <si>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soilihietaniemi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</si>
  <si>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sannaruoho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</si>
  <si>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slam70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</si>
  <si>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ellupaljarvi
Linkkarista puheenollen. @AlmaOnali
sun soitto #Pentik’ille johti heidät
googlailemaan aniksesta. Voin vain
kuvitella kahvihuoneen käkätyksen
_xD83E__xDD23_ https://t.co/menbJa2wW5</t>
  </si>
  <si>
    <t>leinovil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</si>
  <si>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juhokas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</si>
  <si>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mapaavon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</si>
  <si>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katjalappi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</si>
  <si>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tolkkitimo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</si>
  <si>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muumiainen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</si>
  <si>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auraotto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</si>
  <si>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petriwanner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</si>
  <si>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laineaki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</si>
  <si>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jkoskenkorva
Tänään aurinko paistanut myös Twitterin
risukasaan. Ensin Pentik Anis ja
sitten vielä tämä _xD83D__xDE02_ https://t.co/Aphp2ftOYc</t>
  </si>
  <si>
    <t>miianfaksi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</si>
  <si>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mariannejuntu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</si>
  <si>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m_simo
Pentik Anis - varttuneemman herrasmiehen
elegantti astiasarja _xD83D__xDE05__xD83D__xDE05_ https://t.co/Yj0ovLIlI3</t>
  </si>
  <si>
    <t>jonnemi
Näin sananmuunnoksia diggaavana
mun pitänee hankkia koko Pentik
Anis -sarja https://t.co/sXybm7j2qX</t>
  </si>
  <si>
    <t>hannuverronen
Näin sananmuunnoksia diggaavana
mun pitänee hankkia koko Pentik
Anis -sarja https://t.co/sXybm7j2qX</t>
  </si>
  <si>
    <t>pave_ko
Tänään, alkuperäisenä Perse giving
daynä, jolloin myös @AlmaOnali
selvitteli myös Kovasen muotoilemaa
#Pentik Aniksen alkuperää, tapahtuu
myös tällaista. Kollegan sanoin,
hyvää yötä. https://t.co/2cF93V1FuY</t>
  </si>
  <si>
    <t>mattimuukkonen
Tänään, alkuperäisenä Perse giving
daynä, jolloin myös @AlmaOnali
selvitteli myös Kovasen muotoilemaa
#Pentik Aniksen alkuperää, tapahtuu
myös tällaista. Kollegan sanoin,
hyvää yötä. https://t.co/2cF93V1FuY</t>
  </si>
  <si>
    <t>sammyrajala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</si>
  <si>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kestinen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</si>
  <si>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pursiainenolli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</si>
  <si>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korrud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</si>
  <si>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ctikerpuu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</si>
  <si>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tarjuccia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</si>
  <si>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harhanuoli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</si>
  <si>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hvorne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</si>
  <si>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ninnu_n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</si>
  <si>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tiinarytky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</si>
  <si>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anniilaugh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</si>
  <si>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janileinospr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</si>
  <si>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teuvo_moisa
Tänään, alkuperäisenä Perse giving
daynä, jolloin myös @AlmaOnali
selvitteli myös Kovasen muotoilemaa
#Pentik Aniksen alkuperää, tapahtuu
myös tällaista. Kollegan sanoin,
hyvää yötä. https://t.co/2cF93V1FuY</t>
  </si>
  <si>
    <t>riikkamarip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</si>
  <si>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holmesianna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</si>
  <si>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menchichannn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</si>
  <si>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kindly_anni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</si>
  <si>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jankoski15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</si>
  <si>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knifebackhouse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</si>
  <si>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suvirvainio
Tänään, alkuperäisenä Perse giving
daynä, jolloin myös @AlmaOnali
selvitteli myös Kovasen muotoilemaa
#Pentik Aniksen alkuperää, tapahtuu
myös tällaista. Kollegan sanoin,
hyvää yötä. https://t.co/2cF93V1FuY</t>
  </si>
  <si>
    <t>sakeranen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</si>
  <si>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apulkkis
@joni_jaakkola En tiedä, millainen
työyhteisö Pentikillä on noita
suunnitellessa. Mutta luulen, että
tällaisten vahinkojen riski kasvaa,
jos työyhteisö on iloton ja ilman
hassuttelua ja naurua. Kun jos
on tarpeeksi hassuttelua ja naurua,
joku huomaa myös Pentik Aniksen.</t>
  </si>
  <si>
    <t>villekoivuniemi
Nyt kun #PentikAnis trendaa, haastan
teidät, suomalaiset toimittajat!
Laitan rahaa likoon sen puolesta,
että ette uskalla käyttää jotain
seuraavan trilogian sanapareista
jossain jutussanne: – Putin siristi
– Putin silppusi – Putin sinersi</t>
  </si>
  <si>
    <t>outigrusander
Nyt kun #PentikAnis trendaa, haastan
teidät, suomalaiset toimittajat!
Laitan rahaa likoon sen puolesta,
että ette uskalla käyttää jotain
seuraavan trilogian sanapareista
jossain jutussanne: – Putin siristi
– Putin silppusi – Putin sinersi</t>
  </si>
  <si>
    <t>koivumakiraine
@Esasalminen3 Sinä tuotat niitä
palindromeja hämmästyttävästi.
Kai se on joku eri tapa katsoa
sanoja ja kirjaimia. Pentik Anis,
irtoaako siitä mitään järkeviä
palindromeja?</t>
  </si>
  <si>
    <t xml:space="preserve">esasalminen3
</t>
  </si>
  <si>
    <t>outikorpilahde
@MinnaLampinen @AlmaOnali Pentik
Anis kaikkien huulil.... en uskalla
jatkaa :D</t>
  </si>
  <si>
    <t>minnalampinen
https://t.co/zIEj95jMCo</t>
  </si>
  <si>
    <t>deepsami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</si>
  <si>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oliver_loser
Se on aivan varma, että meidän
talouteen ostetaan Pentik Anis
-nimisiä astioita seuraavaksi _xD83E__xDD1D_</t>
  </si>
  <si>
    <t>hhoenak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</si>
  <si>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villeilvonen
Pentik Anis-astiastoa suunnitellessaan
Lassella oli kovanen. Suomen kielen
diminutiivi on kaunis. https://t.co/OI0Ajn54w9</t>
  </si>
  <si>
    <t>olliz_
@AlmaOnali Tekeekö muuten mikään
muu suomalaisifirma keramiikkaansa
Suomessa kuin #Pentik? Arvostan,
nimittäin.</t>
  </si>
  <si>
    <t>helenahulkko
Saa nauraa. Ja nostaa hattua viestinnälle.
#viestintä #pentikanis https://t.co/AlZFSNySIQ</t>
  </si>
  <si>
    <t>katsojana
@Alfild Ne kai olivat joskus myöhemmin
vaihtaneet nimeämiskäytäntöä ja
alkaneet lisätä Pentik-sanan tuotenimen
alkuun, joten varsinainen sananmuunnos
on uudempi.</t>
  </si>
  <si>
    <t xml:space="preserve">alfild
</t>
  </si>
  <si>
    <t>juha_penttinen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</si>
  <si>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mies15807389
@AlmaOnali Entä jos yrityksen perustajan
taiteilijanimi Anu Saara Pentik
_xD83D__xDE31__xD83D__xDE06__xD83D__xDE02_</t>
  </si>
  <si>
    <t>satuhujanen
Jutun Pentik Anis -astiastosta
teki Alma Onali. Ystäväni ei voi
lopettaa hekotteluaan. Se alkoi
eilen illalla ja jatkuu yhä. Loppuisiko
se jollain hikkakikalla? #sanamuunnos
https://t.co/rvt7L1SqlQ</t>
  </si>
  <si>
    <t>heinilamarika
Pentik Aniksen suunnitteli Kovanen
(Lasse, ei sentään Jorma). Hesarin
jutun puolestaan kirjoitti... https://t.co/15dxiyzwuh
https://t.co/Nv0EtBgKBF</t>
  </si>
  <si>
    <t>totentanzcomics
Harvoin jaan kontenttia Linkkarin
ja Twitterin välillä, mutta tämä
on kyllä tarpeeksi laadukasta myös
tänne. Juuri sopivaa doomin &amp;amp;
gloomin karkoitukseen. #pentikanis
#pimpinella https://t.co/6He2DGjVb5</t>
  </si>
  <si>
    <t>pralinekaisa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</si>
  <si>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pasanen_satu
Viikon Pentik Anis -case taisi
tehdä astiastosta legendan ja keräilyharvinaisuuden.
Ehkä tuollainen Antik… eiku Pentik
Anis -piirakkavuoka pitää hankkia
_xD83D__xDE02_ #pentikanis #pentik #tuotteistus</t>
  </si>
  <si>
    <t>seikkulansuvi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</si>
  <si>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mimosan78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</si>
  <si>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jjflehtinen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</si>
  <si>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mmurdvee
Näin tämä kuuluu hoitaa. Bravo
Pentik! #pentik #pentikanis https://t.co/GFCC3ze1d6</t>
  </si>
  <si>
    <t>ladadude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</si>
  <si>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panopti92236644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</si>
  <si>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j_makr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</si>
  <si>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kreusharri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</si>
  <si>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rokrollhr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</si>
  <si>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laplandbusiness
Pentikin Posion keramiikkatehtaalle
on myönnetty Ekokompassi-ympäristösertifikaatti.
Pentik vähentää ympäristölupauksensa
mukaisesti tehtaassaan käytetyn
energian määrää. #Lappi @PosioLapland
#keramiikka https://t.co/gvEtQYBwE4</t>
  </si>
  <si>
    <t xml:space="preserve">posiolapland
</t>
  </si>
  <si>
    <t>jarkkod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</si>
  <si>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mustikkamunkki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</si>
  <si>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eilapertti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</si>
  <si>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lauraemiliait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</si>
  <si>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palloholisti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</si>
  <si>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peltolapeltsi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</si>
  <si>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wallellaa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</si>
  <si>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annakaisapirila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</si>
  <si>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rikupul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</si>
  <si>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joniaittola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</si>
  <si>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paakonhele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</si>
  <si>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jjrehn1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</si>
  <si>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jatkis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</si>
  <si>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maaninkavaara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</si>
  <si>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aapo_haavi
Hmm... koodi, koodi. Sesam dabra?
Täytyy myöntää, että alusta loppuun
nerokas kamppis #PentikAnis #sananmuunnos
#markkinointi https://t.co/MC0K3qbu9I</t>
  </si>
  <si>
    <t>__danc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</si>
  <si>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artovee
@MinnaLampinen @AlmaOnali Koska
tulee Pentik Arvo -tuotteet?</t>
  </si>
  <si>
    <t>muoriskaj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</si>
  <si>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datironass
Urani kiusallisin puhelu. Mie:
Sellaisella asialla soittelin,
että mikähän on tarina tämän....
(_xD83D__xDE4A_) Pentik Anis -nimen takana
Pentik: ??? Kuinka niin Meikä-pokerihai:
Nokun se on herättänyt hilpeyttä.
Pentik: Mikä Mie: No tiiäkkö...
(_xD83E__xDD75_) Pentik Anis https://t.co/ZqPVCtIxKE</t>
  </si>
  <si>
    <t>liljestrommarko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</si>
  <si>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joelrouvinen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</si>
  <si>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sarjakuvakauppa
Tahaton kielikukkasemme Pentik
Anis -sarjan nimen ympärillä on
herättänyt hilpeyttä mm. täällä
Twitterissä. Tämän kunniaksi tarjoamme
sarjasta 20 % kielimuunnosalennuksen
verkkokaupassamme koodin arvanneille.
Alennus on voimassa lauantaihin
26.3. klo 23:59 saakka _xD83D__xDE01_ #PentikAnis</t>
  </si>
  <si>
    <t>vlijeu
@kafleng matanya kaya pentik juga</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</si>
  <si>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</si>
  <si>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</si>
  <si>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</si>
  <si>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</si>
  <si>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t>
  </si>
  <si>
    <t xml:space="preserve">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</si>
  <si>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</si>
  <si>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</si>
  <si>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</si>
  <si>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</si>
  <si>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</si>
  <si>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</si>
  <si>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</si>
  <si>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</si>
  <si>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</si>
  <si>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</si>
  <si>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</si>
  <si>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</si>
  <si>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</si>
  <si>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</si>
  <si>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</si>
  <si>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</si>
  <si>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</si>
  <si>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</si>
  <si>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</si>
  <si>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</si>
  <si>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</si>
  <si>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</si>
  <si>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</si>
  <si>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</si>
  <si>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</si>
  <si>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</si>
  <si>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</si>
  <si>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</si>
  <si>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</si>
  <si>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</si>
  <si>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</si>
  <si>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</si>
  <si>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</si>
  <si>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</si>
  <si>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</si>
  <si>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</si>
  <si>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</si>
  <si>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</si>
  <si>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</si>
  <si>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</si>
  <si>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</si>
  <si>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</si>
  <si>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</si>
  <si>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</si>
  <si>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</si>
  <si>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</si>
  <si>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</si>
  <si>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</si>
  <si>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</si>
  <si>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</si>
  <si>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anis</t>
  </si>
  <si>
    <t>mie</t>
  </si>
  <si>
    <t>hilpeyttä</t>
  </si>
  <si>
    <t>nimen</t>
  </si>
  <si>
    <t>herättänyt</t>
  </si>
  <si>
    <t>urani</t>
  </si>
  <si>
    <t>kiusallisin</t>
  </si>
  <si>
    <t>puhelu</t>
  </si>
  <si>
    <t>sellaisella</t>
  </si>
  <si>
    <t>asialla</t>
  </si>
  <si>
    <t>soittelin</t>
  </si>
  <si>
    <t>mikähän</t>
  </si>
  <si>
    <t>tarina</t>
  </si>
  <si>
    <t>meikä</t>
  </si>
  <si>
    <t>pokerihai</t>
  </si>
  <si>
    <t>nokun</t>
  </si>
  <si>
    <t>no</t>
  </si>
  <si>
    <t>tiiäkkö</t>
  </si>
  <si>
    <t>herrasmiehen</t>
  </si>
  <si>
    <t>astiasarja</t>
  </si>
  <si>
    <t>varttuneemman</t>
  </si>
  <si>
    <t>elegantti</t>
  </si>
  <si>
    <t>#pentikanis</t>
  </si>
  <si>
    <t>tahaton</t>
  </si>
  <si>
    <t>sarjan</t>
  </si>
  <si>
    <t>sarjasta</t>
  </si>
  <si>
    <t>kielikukkasemme</t>
  </si>
  <si>
    <t>ympärillä</t>
  </si>
  <si>
    <t>mm</t>
  </si>
  <si>
    <t>twitterissä</t>
  </si>
  <si>
    <t>kunniaksi</t>
  </si>
  <si>
    <t>tarjoamme</t>
  </si>
  <si>
    <t>20</t>
  </si>
  <si>
    <t>kielimuunnosalennuksen</t>
  </si>
  <si>
    <t>verkkokaupassamme</t>
  </si>
  <si>
    <t>koodin</t>
  </si>
  <si>
    <t>arvanneille</t>
  </si>
  <si>
    <t>alennus</t>
  </si>
  <si>
    <t>voimassa</t>
  </si>
  <si>
    <t>lauantaihin</t>
  </si>
  <si>
    <t>26</t>
  </si>
  <si>
    <t>3</t>
  </si>
  <si>
    <t>klo</t>
  </si>
  <si>
    <t>23</t>
  </si>
  <si>
    <t>59</t>
  </si>
  <si>
    <t>#pentik</t>
  </si>
  <si>
    <t>astiasto</t>
  </si>
  <si>
    <t>soitto</t>
  </si>
  <si>
    <t>suomalaisyhtiön</t>
  </si>
  <si>
    <t>yhtiöön</t>
  </si>
  <si>
    <t>aniksen</t>
  </si>
  <si>
    <t>putin</t>
  </si>
  <si>
    <t>yritykset</t>
  </si>
  <si>
    <t>herättää</t>
  </si>
  <si>
    <t>paljastaa</t>
  </si>
  <si>
    <t>tajunnut</t>
  </si>
  <si>
    <t>sanamuunnosta</t>
  </si>
  <si>
    <t>kovasen</t>
  </si>
  <si>
    <t>somessa</t>
  </si>
  <si>
    <t>alkuperäisenä</t>
  </si>
  <si>
    <t>perse</t>
  </si>
  <si>
    <t>giving</t>
  </si>
  <si>
    <t>daynä</t>
  </si>
  <si>
    <t>selvitteli</t>
  </si>
  <si>
    <t>muotoilemaa</t>
  </si>
  <si>
    <t>alkuperää</t>
  </si>
  <si>
    <t>tapahtuu</t>
  </si>
  <si>
    <t>tällaista</t>
  </si>
  <si>
    <t>kollegan</t>
  </si>
  <si>
    <t>sanoin</t>
  </si>
  <si>
    <t>yötä</t>
  </si>
  <si>
    <t>via</t>
  </si>
  <si>
    <t>posion</t>
  </si>
  <si>
    <t>hankkia</t>
  </si>
  <si>
    <t>kovanen</t>
  </si>
  <si>
    <t>lopettaa</t>
  </si>
  <si>
    <t>uskalla</t>
  </si>
  <si>
    <t>just</t>
  </si>
  <si>
    <t>check</t>
  </si>
  <si>
    <t>out</t>
  </si>
  <si>
    <t>#vintage</t>
  </si>
  <si>
    <t>collectibles</t>
  </si>
  <si>
    <t>studio</t>
  </si>
  <si>
    <t>pottery</t>
  </si>
  <si>
    <t>#salvia</t>
  </si>
  <si>
    <t>#finland</t>
  </si>
  <si>
    <t>black</t>
  </si>
  <si>
    <t>#vase</t>
  </si>
  <si>
    <t>home</t>
  </si>
  <si>
    <t>decor</t>
  </si>
  <si>
    <t>koodi</t>
  </si>
  <si>
    <t>loppuun</t>
  </si>
  <si>
    <t>#markkinointi</t>
  </si>
  <si>
    <t>pentikin</t>
  </si>
  <si>
    <t>astiastosta</t>
  </si>
  <si>
    <t>antik</t>
  </si>
  <si>
    <t>twitterin</t>
  </si>
  <si>
    <t>tarpeeksi</t>
  </si>
  <si>
    <t>sentään</t>
  </si>
  <si>
    <t>jorma</t>
  </si>
  <si>
    <t>hesarin</t>
  </si>
  <si>
    <t>jutun</t>
  </si>
  <si>
    <t>anu</t>
  </si>
  <si>
    <t>sananmuunnos</t>
  </si>
  <si>
    <t>saa</t>
  </si>
  <si>
    <t>arvostan</t>
  </si>
  <si>
    <t>suomen</t>
  </si>
  <si>
    <t>d</t>
  </si>
  <si>
    <t>palindromeja</t>
  </si>
  <si>
    <t>trendaa</t>
  </si>
  <si>
    <t>haastan</t>
  </si>
  <si>
    <t>teidät</t>
  </si>
  <si>
    <t>suomalaiset</t>
  </si>
  <si>
    <t>toimittajat</t>
  </si>
  <si>
    <t>laitan</t>
  </si>
  <si>
    <t>rahaa</t>
  </si>
  <si>
    <t>likoon</t>
  </si>
  <si>
    <t>käyttää</t>
  </si>
  <si>
    <t>seuraavan</t>
  </si>
  <si>
    <t>trilogian</t>
  </si>
  <si>
    <t>sanapareista</t>
  </si>
  <si>
    <t>jossain</t>
  </si>
  <si>
    <t>jutussanne</t>
  </si>
  <si>
    <t>siristi</t>
  </si>
  <si>
    <t>silppusi</t>
  </si>
  <si>
    <t>sinersi</t>
  </si>
  <si>
    <t>työyhteisö</t>
  </si>
  <si>
    <t>pentikillä</t>
  </si>
  <si>
    <t>hassuttelua</t>
  </si>
  <si>
    <t>naurua</t>
  </si>
  <si>
    <t>sananmuunnoksia</t>
  </si>
  <si>
    <t>diggaavana</t>
  </si>
  <si>
    <t>mun</t>
  </si>
  <si>
    <t>pitänee</t>
  </si>
  <si>
    <t>sarja</t>
  </si>
  <si>
    <t>aniksesta</t>
  </si>
  <si>
    <t>pimpinella</t>
  </si>
  <si>
    <t>juttu</t>
  </si>
  <si>
    <t>jag</t>
  </si>
  <si>
    <t>tää</t>
  </si>
  <si>
    <t>parasta</t>
  </si>
  <si>
    <t>hr</t>
  </si>
  <si>
    <t>päällikkömme</t>
  </si>
  <si>
    <t>sanoi</t>
  </si>
  <si>
    <t>olevansa</t>
  </si>
  <si>
    <t>työkyvytön</t>
  </si>
  <si>
    <t>loppupäivän</t>
  </si>
  <si>
    <t>nauramista</t>
  </si>
  <si>
    <t>#anis</t>
  </si>
  <si>
    <t>suomi</t>
  </si>
  <si>
    <t>i</t>
  </si>
  <si>
    <t>väliin</t>
  </si>
  <si>
    <t>kaivattiin</t>
  </si>
  <si>
    <t>hillitön</t>
  </si>
  <si>
    <t>kuppi</t>
  </si>
  <si>
    <t>arse</t>
  </si>
  <si>
    <t>mediassa</t>
  </si>
  <si>
    <t>upeaa</t>
  </si>
  <si>
    <t>#pentik'in</t>
  </si>
  <si>
    <t>tehtaalle</t>
  </si>
  <si>
    <t>#ekokompassi</t>
  </si>
  <si>
    <t>#ympäristösertifikaatti</t>
  </si>
  <si>
    <t>hiilineutraali</t>
  </si>
  <si>
    <t>keramiikkatehdas</t>
  </si>
  <si>
    <t>#avainlippu</t>
  </si>
  <si>
    <t>#designfromfinland</t>
  </si>
  <si>
    <t>#suomalainentyo</t>
  </si>
  <si>
    <t>astiaston</t>
  </si>
  <si>
    <t>yg</t>
  </si>
  <si>
    <t>ylimmällä</t>
  </si>
  <si>
    <t>astiat</t>
  </si>
  <si>
    <t>nimeltä</t>
  </si>
  <si>
    <t>wkwk</t>
  </si>
  <si>
    <t>parlemen</t>
  </si>
  <si>
    <t>memiliki</t>
  </si>
  <si>
    <t>peran</t>
  </si>
  <si>
    <t>utk</t>
  </si>
  <si>
    <t>perkembangan</t>
  </si>
  <si>
    <t>demokrasi</t>
  </si>
  <si>
    <t>#puanpemimpinkita</t>
  </si>
  <si>
    <t>dukung</t>
  </si>
  <si>
    <t>ketua</t>
  </si>
  <si>
    <t>dpr</t>
  </si>
  <si>
    <t>ri</t>
  </si>
  <si>
    <t>titik</t>
  </si>
  <si>
    <t>berbulu</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</si>
  <si>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</si>
  <si>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</si>
  <si>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</si>
  <si>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</si>
  <si>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</si>
  <si>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</si>
  <si>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</si>
  <si>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</si>
  <si>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</si>
  <si>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</si>
  <si>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</si>
  <si>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</si>
  <si>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</si>
  <si>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</si>
  <si>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</si>
  <si>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</si>
  <si>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</si>
  <si>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</si>
  <si>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</si>
  <si>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</si>
  <si>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</si>
  <si>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</si>
  <si>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</si>
  <si>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</si>
  <si>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</si>
  <si>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</si>
  <si>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</si>
  <si>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</si>
  <si>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</si>
  <si>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</si>
  <si>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Tahaton</t>
  </si>
  <si>
    <t>Pentik</t>
  </si>
  <si>
    <t>Anis</t>
  </si>
  <si>
    <t>on</t>
  </si>
  <si>
    <t>täällä</t>
  </si>
  <si>
    <t>Twitterissä</t>
  </si>
  <si>
    <t>Tämän</t>
  </si>
  <si>
    <t>Alennus</t>
  </si>
  <si>
    <t>saakka</t>
  </si>
  <si>
    <t>PentikAnis</t>
  </si>
  <si>
    <t>Urani</t>
  </si>
  <si>
    <t>Mie</t>
  </si>
  <si>
    <t>Sellaisella</t>
  </si>
  <si>
    <t>että</t>
  </si>
  <si>
    <t>tämän</t>
  </si>
  <si>
    <t>takana</t>
  </si>
  <si>
    <t>Kuinka</t>
  </si>
  <si>
    <t>niin</t>
  </si>
  <si>
    <t>Meikä</t>
  </si>
  <si>
    <t>Nokun</t>
  </si>
  <si>
    <t>se</t>
  </si>
  <si>
    <t>Mikä</t>
  </si>
  <si>
    <t>MinnaLampinen</t>
  </si>
  <si>
    <t>AlmaOnali</t>
  </si>
  <si>
    <t>Koska</t>
  </si>
  <si>
    <t>tulee</t>
  </si>
  <si>
    <t>Arvo</t>
  </si>
  <si>
    <t>tuotteet</t>
  </si>
  <si>
    <t>Hmm</t>
  </si>
  <si>
    <t>Sesam</t>
  </si>
  <si>
    <t>dabra</t>
  </si>
  <si>
    <t>Täytyy</t>
  </si>
  <si>
    <t>myöntää</t>
  </si>
  <si>
    <t>alusta</t>
  </si>
  <si>
    <t>nerokas</t>
  </si>
  <si>
    <t>kamppis</t>
  </si>
  <si>
    <t>markkinointi</t>
  </si>
  <si>
    <t>Pentikin</t>
  </si>
  <si>
    <t>Posion</t>
  </si>
  <si>
    <t>keramiikkatehtaalle</t>
  </si>
  <si>
    <t>myönnetty</t>
  </si>
  <si>
    <t>Ekokompassi</t>
  </si>
  <si>
    <t>ympäristösertifikaatti</t>
  </si>
  <si>
    <t>vähentää</t>
  </si>
  <si>
    <t>ympäristölupauksensa</t>
  </si>
  <si>
    <t>mukaisesti</t>
  </si>
  <si>
    <t>tehtaassaan</t>
  </si>
  <si>
    <t>käytetyn</t>
  </si>
  <si>
    <t>energian</t>
  </si>
  <si>
    <t>määrää</t>
  </si>
  <si>
    <t>PosioLapland</t>
  </si>
  <si>
    <t>keramiikka</t>
  </si>
  <si>
    <t>Näin</t>
  </si>
  <si>
    <t>tämä</t>
  </si>
  <si>
    <t>kuuluu</t>
  </si>
  <si>
    <t>hoitaa</t>
  </si>
  <si>
    <t>Bravo</t>
  </si>
  <si>
    <t>Viikon</t>
  </si>
  <si>
    <t>case</t>
  </si>
  <si>
    <t>taisi</t>
  </si>
  <si>
    <t>tehdä</t>
  </si>
  <si>
    <t>legendan</t>
  </si>
  <si>
    <t>keräilyharvinaisuuden</t>
  </si>
  <si>
    <t>Ehkä</t>
  </si>
  <si>
    <t>tuollainen</t>
  </si>
  <si>
    <t>Antik</t>
  </si>
  <si>
    <t>eiku</t>
  </si>
  <si>
    <t>piirakkavuoka</t>
  </si>
  <si>
    <t>pitää</t>
  </si>
  <si>
    <t>tuotteistus</t>
  </si>
  <si>
    <t>Harvoin</t>
  </si>
  <si>
    <t>jaan</t>
  </si>
  <si>
    <t>kontenttia</t>
  </si>
  <si>
    <t>Linkkarin</t>
  </si>
  <si>
    <t>Twitterin</t>
  </si>
  <si>
    <t>välillä</t>
  </si>
  <si>
    <t>mutta</t>
  </si>
  <si>
    <t>kyllä</t>
  </si>
  <si>
    <t>laadukasta</t>
  </si>
  <si>
    <t>myös</t>
  </si>
  <si>
    <t>tänne</t>
  </si>
  <si>
    <t>Juuri</t>
  </si>
  <si>
    <t>sopivaa</t>
  </si>
  <si>
    <t>doomin</t>
  </si>
  <si>
    <t>amp</t>
  </si>
  <si>
    <t>gloomin</t>
  </si>
  <si>
    <t>karkoitukseen</t>
  </si>
  <si>
    <t>Aniksen</t>
  </si>
  <si>
    <t>suunnitteli</t>
  </si>
  <si>
    <t>Kovanen</t>
  </si>
  <si>
    <t>Lasse</t>
  </si>
  <si>
    <t>ei</t>
  </si>
  <si>
    <t>Jorma</t>
  </si>
  <si>
    <t>Hesarin</t>
  </si>
  <si>
    <t>puolestaan</t>
  </si>
  <si>
    <t>kirjoitti</t>
  </si>
  <si>
    <t>Jutun</t>
  </si>
  <si>
    <t>teki</t>
  </si>
  <si>
    <t>Alma</t>
  </si>
  <si>
    <t>Onali</t>
  </si>
  <si>
    <t>Ystäväni</t>
  </si>
  <si>
    <t>voi</t>
  </si>
  <si>
    <t>hekotteluaan</t>
  </si>
  <si>
    <t>Se</t>
  </si>
  <si>
    <t>alkoi</t>
  </si>
  <si>
    <t>eilen</t>
  </si>
  <si>
    <t>illalla</t>
  </si>
  <si>
    <t>jatkuu</t>
  </si>
  <si>
    <t>yhä</t>
  </si>
  <si>
    <t>Loppuisiko</t>
  </si>
  <si>
    <t>jollain</t>
  </si>
  <si>
    <t>hikkakikalla</t>
  </si>
  <si>
    <t>Entä</t>
  </si>
  <si>
    <t>jos</t>
  </si>
  <si>
    <t>yrityksen</t>
  </si>
  <si>
    <t>perustajan</t>
  </si>
  <si>
    <t>taiteilijanimi</t>
  </si>
  <si>
    <t>Anu</t>
  </si>
  <si>
    <t>Saara</t>
  </si>
  <si>
    <t>Alfild</t>
  </si>
  <si>
    <t>Ne</t>
  </si>
  <si>
    <t>kai</t>
  </si>
  <si>
    <t>olivat</t>
  </si>
  <si>
    <t>joskus</t>
  </si>
  <si>
    <t>myöhemmin</t>
  </si>
  <si>
    <t>vaihtaneet</t>
  </si>
  <si>
    <t>nimeämiskäytäntöä</t>
  </si>
  <si>
    <t>alkaneet</t>
  </si>
  <si>
    <t>lisätä</t>
  </si>
  <si>
    <t>sanan</t>
  </si>
  <si>
    <t>tuotenimen</t>
  </si>
  <si>
    <t>alkuun</t>
  </si>
  <si>
    <t>joten</t>
  </si>
  <si>
    <t>varsinainen</t>
  </si>
  <si>
    <t>uudempi</t>
  </si>
  <si>
    <t>Saa</t>
  </si>
  <si>
    <t>nauraa</t>
  </si>
  <si>
    <t>Ja</t>
  </si>
  <si>
    <t>nostaa</t>
  </si>
  <si>
    <t>hattua</t>
  </si>
  <si>
    <t>viestinnälle</t>
  </si>
  <si>
    <t>viestintä</t>
  </si>
  <si>
    <t>Tekeekö</t>
  </si>
  <si>
    <t>muuten</t>
  </si>
  <si>
    <t>mikään</t>
  </si>
  <si>
    <t>muu</t>
  </si>
  <si>
    <t>suomalaisifirma</t>
  </si>
  <si>
    <t>keramiikkaansa</t>
  </si>
  <si>
    <t>Suomessa</t>
  </si>
  <si>
    <t>kuin</t>
  </si>
  <si>
    <t>Arvostan</t>
  </si>
  <si>
    <t>nimittäin</t>
  </si>
  <si>
    <t>astiastoa</t>
  </si>
  <si>
    <t>suunnitellessaan</t>
  </si>
  <si>
    <t>Lassella</t>
  </si>
  <si>
    <t>oli</t>
  </si>
  <si>
    <t>Suomen</t>
  </si>
  <si>
    <t>kielen</t>
  </si>
  <si>
    <t>diminutiivi</t>
  </si>
  <si>
    <t>kaunis</t>
  </si>
  <si>
    <t>aivan</t>
  </si>
  <si>
    <t>varma</t>
  </si>
  <si>
    <t>meidän</t>
  </si>
  <si>
    <t>talouteen</t>
  </si>
  <si>
    <t>ostetaan</t>
  </si>
  <si>
    <t>nimisiä</t>
  </si>
  <si>
    <t>astioita</t>
  </si>
  <si>
    <t>seuraavaksi</t>
  </si>
  <si>
    <t>Aamukahvit</t>
  </si>
  <si>
    <t>mukista</t>
  </si>
  <si>
    <t>tietenkin</t>
  </si>
  <si>
    <t>kaikkien</t>
  </si>
  <si>
    <t>huulil</t>
  </si>
  <si>
    <t>jatkaa</t>
  </si>
  <si>
    <t>D</t>
  </si>
  <si>
    <t>Esasalminen3</t>
  </si>
  <si>
    <t>Sinä</t>
  </si>
  <si>
    <t>tuotat</t>
  </si>
  <si>
    <t>niitä</t>
  </si>
  <si>
    <t>hämmästyttävästi</t>
  </si>
  <si>
    <t>Kai</t>
  </si>
  <si>
    <t>joku</t>
  </si>
  <si>
    <t>eri</t>
  </si>
  <si>
    <t>tapa</t>
  </si>
  <si>
    <t>katsoa</t>
  </si>
  <si>
    <t>sanoja</t>
  </si>
  <si>
    <t>kirjaimia</t>
  </si>
  <si>
    <t>irtoaako</t>
  </si>
  <si>
    <t>siitä</t>
  </si>
  <si>
    <t>mitään</t>
  </si>
  <si>
    <t>järkeviä</t>
  </si>
  <si>
    <t>Nyt</t>
  </si>
  <si>
    <t>kun</t>
  </si>
  <si>
    <t>Laitan</t>
  </si>
  <si>
    <t>sen</t>
  </si>
  <si>
    <t>puolesta</t>
  </si>
  <si>
    <t>ette</t>
  </si>
  <si>
    <t>jotain</t>
  </si>
  <si>
    <t>Putin</t>
  </si>
  <si>
    <t>En</t>
  </si>
  <si>
    <t>tiedä</t>
  </si>
  <si>
    <t>millainen</t>
  </si>
  <si>
    <t>Pentikillä</t>
  </si>
  <si>
    <t>noita</t>
  </si>
  <si>
    <t>suunnitellessa</t>
  </si>
  <si>
    <t>Mutta</t>
  </si>
  <si>
    <t>luulen</t>
  </si>
  <si>
    <t>tällaisten</t>
  </si>
  <si>
    <t>vahinkojen</t>
  </si>
  <si>
    <t>riski</t>
  </si>
  <si>
    <t>kasvaa</t>
  </si>
  <si>
    <t>iloton</t>
  </si>
  <si>
    <t>ilman</t>
  </si>
  <si>
    <t>Kun</t>
  </si>
  <si>
    <t>huomaa</t>
  </si>
  <si>
    <t>Tänään</t>
  </si>
  <si>
    <t>Perse</t>
  </si>
  <si>
    <t>jolloin</t>
  </si>
  <si>
    <t>Kovasen</t>
  </si>
  <si>
    <t>Kollegan</t>
  </si>
  <si>
    <t>hyvää</t>
  </si>
  <si>
    <t>koko</t>
  </si>
  <si>
    <t>aurinko</t>
  </si>
  <si>
    <t>paistanut</t>
  </si>
  <si>
    <t>risukasaan</t>
  </si>
  <si>
    <t>Ensin</t>
  </si>
  <si>
    <t>sitten</t>
  </si>
  <si>
    <t>vielä</t>
  </si>
  <si>
    <t>Linkkarista</t>
  </si>
  <si>
    <t>puheenollen</t>
  </si>
  <si>
    <t>sun</t>
  </si>
  <si>
    <t>ille</t>
  </si>
  <si>
    <t>johti</t>
  </si>
  <si>
    <t>heidät</t>
  </si>
  <si>
    <t>googlailemaan</t>
  </si>
  <si>
    <t>Voin</t>
  </si>
  <si>
    <t>vain</t>
  </si>
  <si>
    <t>kuvitella</t>
  </si>
  <si>
    <t>kahvihuoneen</t>
  </si>
  <si>
    <t>käkätyksen</t>
  </si>
  <si>
    <t>Anisruoho</t>
  </si>
  <si>
    <t>Pimpinella</t>
  </si>
  <si>
    <t>anisum</t>
  </si>
  <si>
    <t>todellakin</t>
  </si>
  <si>
    <t>pukinjuurten</t>
  </si>
  <si>
    <t>sukuun</t>
  </si>
  <si>
    <t>kuuluva</t>
  </si>
  <si>
    <t>ruohovartinen</t>
  </si>
  <si>
    <t>kasvi</t>
  </si>
  <si>
    <t>Tekeeköhän</t>
  </si>
  <si>
    <t>tästä</t>
  </si>
  <si>
    <t>todellisen</t>
  </si>
  <si>
    <t>anispesun</t>
  </si>
  <si>
    <t>Päivän</t>
  </si>
  <si>
    <t>hauskin</t>
  </si>
  <si>
    <t>Okej</t>
  </si>
  <si>
    <t>NU</t>
  </si>
  <si>
    <t>förstod</t>
  </si>
  <si>
    <t>grejen</t>
  </si>
  <si>
    <t>Skyller</t>
  </si>
  <si>
    <t>på</t>
  </si>
  <si>
    <t>att</t>
  </si>
  <si>
    <t>haft</t>
  </si>
  <si>
    <t>corona</t>
  </si>
  <si>
    <t>OCH</t>
  </si>
  <si>
    <t>barnvecka</t>
  </si>
  <si>
    <t>med</t>
  </si>
  <si>
    <t>sjukt</t>
  </si>
  <si>
    <t>barn</t>
  </si>
  <si>
    <t>Tää</t>
  </si>
  <si>
    <t>ihan</t>
  </si>
  <si>
    <t>hulvaton</t>
  </si>
  <si>
    <t>viestiketju</t>
  </si>
  <si>
    <t>tilannehuumori</t>
  </si>
  <si>
    <t>HR</t>
  </si>
  <si>
    <t>sillä</t>
  </si>
  <si>
    <t>hän</t>
  </si>
  <si>
    <t>Sananmuunnos</t>
  </si>
  <si>
    <t>ykkösuutisena</t>
  </si>
  <si>
    <t>kieli</t>
  </si>
  <si>
    <t>Tuo</t>
  </si>
  <si>
    <t>pahempi</t>
  </si>
  <si>
    <t>tai</t>
  </si>
  <si>
    <t>parempi</t>
  </si>
  <si>
    <t>Yritykset</t>
  </si>
  <si>
    <t>Suomalaisyhtiön</t>
  </si>
  <si>
    <t>Soitto</t>
  </si>
  <si>
    <t>ettei</t>
  </si>
  <si>
    <t>ollut</t>
  </si>
  <si>
    <t>MasaSaarnela</t>
  </si>
  <si>
    <t>Onko</t>
  </si>
  <si>
    <t>lautanen</t>
  </si>
  <si>
    <t>I</t>
  </si>
  <si>
    <t>don't</t>
  </si>
  <si>
    <t>always</t>
  </si>
  <si>
    <t>buy</t>
  </si>
  <si>
    <t>tableware</t>
  </si>
  <si>
    <t>but</t>
  </si>
  <si>
    <t>when</t>
  </si>
  <si>
    <t>do</t>
  </si>
  <si>
    <t>it's</t>
  </si>
  <si>
    <t>Lassen</t>
  </si>
  <si>
    <t>tuotantoa</t>
  </si>
  <si>
    <t>Tuote</t>
  </si>
  <si>
    <t>nimetään</t>
  </si>
  <si>
    <t>uudelleen</t>
  </si>
  <si>
    <t>tunnistettavuus</t>
  </si>
  <si>
    <t>säilyttäen</t>
  </si>
  <si>
    <t>sekä</t>
  </si>
  <si>
    <t>brand</t>
  </si>
  <si>
    <t>heritagen</t>
  </si>
  <si>
    <t>mukaiseksi</t>
  </si>
  <si>
    <t>s</t>
  </si>
  <si>
    <t>antikpenis</t>
  </si>
  <si>
    <t>sitä</t>
  </si>
  <si>
    <t>mitä</t>
  </si>
  <si>
    <t>nyt</t>
  </si>
  <si>
    <t>tähän</t>
  </si>
  <si>
    <t>Pitkäaikaisena</t>
  </si>
  <si>
    <t>sananmuunnosten</t>
  </si>
  <si>
    <t>ystävänä</t>
  </si>
  <si>
    <t>tätä</t>
  </si>
  <si>
    <t>artikkelia</t>
  </si>
  <si>
    <t>kovasti</t>
  </si>
  <si>
    <t>ihmettelee</t>
  </si>
  <si>
    <t>nauran</t>
  </si>
  <si>
    <t>vedet</t>
  </si>
  <si>
    <t>silmissä</t>
  </si>
  <si>
    <t>Aniksesta</t>
  </si>
  <si>
    <t>erään</t>
  </si>
  <si>
    <t>otsikon</t>
  </si>
  <si>
    <t>mukaan</t>
  </si>
  <si>
    <t>kaksimielisen</t>
  </si>
  <si>
    <t>sananmuunnoksen</t>
  </si>
  <si>
    <t>Mä</t>
  </si>
  <si>
    <t>keksi</t>
  </si>
  <si>
    <t>sille</t>
  </si>
  <si>
    <t>yhden</t>
  </si>
  <si>
    <t>merkityksen</t>
  </si>
  <si>
    <t>Tämä</t>
  </si>
  <si>
    <t>taholta</t>
  </si>
  <si>
    <t>kikkelikukkanen</t>
  </si>
  <si>
    <t>joka</t>
  </si>
  <si>
    <t>valkeni</t>
  </si>
  <si>
    <t>meille</t>
  </si>
  <si>
    <t>vasta</t>
  </si>
  <si>
    <t>Kansa</t>
  </si>
  <si>
    <t>vaatii</t>
  </si>
  <si>
    <t>Arvoa</t>
  </si>
  <si>
    <t>Hieman</t>
  </si>
  <si>
    <t>ohimoilta</t>
  </si>
  <si>
    <t>harmaantuneen</t>
  </si>
  <si>
    <t>astiastovalinta</t>
  </si>
  <si>
    <t>olisi</t>
  </si>
  <si>
    <t>tarvinnut</t>
  </si>
  <si>
    <t>kieliasiantuntija'a</t>
  </si>
  <si>
    <t>jolla</t>
  </si>
  <si>
    <t>luova</t>
  </si>
  <si>
    <t>likainen</t>
  </si>
  <si>
    <t>mielikuvitus</t>
  </si>
  <si>
    <t>Eräässä</t>
  </si>
  <si>
    <t>kaveripiirissä</t>
  </si>
  <si>
    <t>minusta</t>
  </si>
  <si>
    <t>käytetään</t>
  </si>
  <si>
    <t>vasen</t>
  </si>
  <si>
    <t>pakki</t>
  </si>
  <si>
    <t>Arto</t>
  </si>
  <si>
    <t>Ruotasesta</t>
  </si>
  <si>
    <t>johdettua</t>
  </si>
  <si>
    <t>lempinimeä</t>
  </si>
  <si>
    <t>Arse</t>
  </si>
  <si>
    <t>Niinpä</t>
  </si>
  <si>
    <t>ajattelin</t>
  </si>
  <si>
    <t>tarjota</t>
  </si>
  <si>
    <t>Pentikille</t>
  </si>
  <si>
    <t>noloksi</t>
  </si>
  <si>
    <t>käyneen</t>
  </si>
  <si>
    <t>korvaavaa</t>
  </si>
  <si>
    <t>puuastiamallistoa</t>
  </si>
  <si>
    <t>JuhaTenhonen</t>
  </si>
  <si>
    <t>Joo</t>
  </si>
  <si>
    <t>aika</t>
  </si>
  <si>
    <t>onnistunut</t>
  </si>
  <si>
    <t>etenkin</t>
  </si>
  <si>
    <t>a</t>
  </si>
  <si>
    <t>julkaistu</t>
  </si>
  <si>
    <t>vuonna</t>
  </si>
  <si>
    <t>b</t>
  </si>
  <si>
    <t>jälkikäteen</t>
  </si>
  <si>
    <t>etuliite</t>
  </si>
  <si>
    <t>sussiunakkoon</t>
  </si>
  <si>
    <t>teitä</t>
  </si>
  <si>
    <t>kaksimielisiä</t>
  </si>
  <si>
    <t>lisätty</t>
  </si>
  <si>
    <t>vaan</t>
  </si>
  <si>
    <t>lähteä</t>
  </si>
  <si>
    <t>salille</t>
  </si>
  <si>
    <t>vetämään</t>
  </si>
  <si>
    <t>leukoja</t>
  </si>
  <si>
    <t>Ywitykset</t>
  </si>
  <si>
    <t>Anyis</t>
  </si>
  <si>
    <t>hewättää</t>
  </si>
  <si>
    <t>hiwpeyttä</t>
  </si>
  <si>
    <t>sosiaawisessa</t>
  </si>
  <si>
    <t>cries</t>
  </si>
  <si>
    <t>huggles</t>
  </si>
  <si>
    <t>tightly</t>
  </si>
  <si>
    <t>pawjastaa</t>
  </si>
  <si>
    <t>owwut</t>
  </si>
  <si>
    <t>tajunnyut</t>
  </si>
  <si>
    <t>sanyamuunnyosta</t>
  </si>
  <si>
    <t>ሠ</t>
  </si>
  <si>
    <t>HS</t>
  </si>
  <si>
    <t>Upeaa</t>
  </si>
  <si>
    <t>Pentik'in</t>
  </si>
  <si>
    <t>tavoitteena</t>
  </si>
  <si>
    <t>avainlippu</t>
  </si>
  <si>
    <t>designfromfinland</t>
  </si>
  <si>
    <t>vaalea</t>
  </si>
  <si>
    <t>yksinkertaisuus</t>
  </si>
  <si>
    <t>jättää</t>
  </si>
  <si>
    <t>tilaa</t>
  </si>
  <si>
    <t>värikkäille</t>
  </si>
  <si>
    <t>tekstiileille</t>
  </si>
  <si>
    <t>ruoka</t>
  </si>
  <si>
    <t>annoksille</t>
  </si>
  <si>
    <t>sosiaalisessa</t>
  </si>
  <si>
    <t>Gapapa</t>
  </si>
  <si>
    <t>ga</t>
  </si>
  <si>
    <t>diposting</t>
  </si>
  <si>
    <t>sama</t>
  </si>
  <si>
    <t>ayang</t>
  </si>
  <si>
    <t>cantik</t>
  </si>
  <si>
    <t>dimata</t>
  </si>
  <si>
    <t>orang</t>
  </si>
  <si>
    <t>lain</t>
  </si>
  <si>
    <t>Vihdoinki</t>
  </si>
  <si>
    <t>sain</t>
  </si>
  <si>
    <t>tän</t>
  </si>
  <si>
    <t>hyllyn</t>
  </si>
  <si>
    <t>laitettua</t>
  </si>
  <si>
    <t>muutettiin</t>
  </si>
  <si>
    <t>viime</t>
  </si>
  <si>
    <t>elokuussa</t>
  </si>
  <si>
    <t>Iski</t>
  </si>
  <si>
    <t>yhtäkkiä</t>
  </si>
  <si>
    <t>idis</t>
  </si>
  <si>
    <t>Ikean</t>
  </si>
  <si>
    <t>pienet</t>
  </si>
  <si>
    <t>lastenastiat</t>
  </si>
  <si>
    <t>sopii</t>
  </si>
  <si>
    <t>tuohon</t>
  </si>
  <si>
    <t>ku</t>
  </si>
  <si>
    <t>nenä</t>
  </si>
  <si>
    <t>päähän</t>
  </si>
  <si>
    <t>isotädiltä</t>
  </si>
  <si>
    <t>perityt</t>
  </si>
  <si>
    <t>pronssin</t>
  </si>
  <si>
    <t>väriset</t>
  </si>
  <si>
    <t>Ylimmällä</t>
  </si>
  <si>
    <t>äidiltä</t>
  </si>
  <si>
    <t>saadut</t>
  </si>
  <si>
    <t>sokeri</t>
  </si>
  <si>
    <t>suola</t>
  </si>
  <si>
    <t>SaniLeino</t>
  </si>
  <si>
    <t>Just</t>
  </si>
  <si>
    <t>olin</t>
  </si>
  <si>
    <t>lukenut</t>
  </si>
  <si>
    <t>twiitin</t>
  </si>
  <si>
    <t>vanhemmille</t>
  </si>
  <si>
    <t>herrasmiehille</t>
  </si>
  <si>
    <t>Lieneekö</t>
  </si>
  <si>
    <t>asti</t>
  </si>
  <si>
    <t>mietitty</t>
  </si>
  <si>
    <t>nimi</t>
  </si>
  <si>
    <t>r</t>
  </si>
  <si>
    <t>kuulitte</t>
  </si>
  <si>
    <t>jo</t>
  </si>
  <si>
    <t>tuotesarja</t>
  </si>
  <si>
    <t>Siis</t>
  </si>
  <si>
    <t>Penis</t>
  </si>
  <si>
    <t>kestä</t>
  </si>
  <si>
    <t>Sen</t>
  </si>
  <si>
    <t>suunnitellut</t>
  </si>
  <si>
    <t>henkilö</t>
  </si>
  <si>
    <t>Ei</t>
  </si>
  <si>
    <t>Anteeksi</t>
  </si>
  <si>
    <t>sisäinen</t>
  </si>
  <si>
    <t>pikkupoikani</t>
  </si>
  <si>
    <t>heräsi</t>
  </si>
  <si>
    <t>Hädin</t>
  </si>
  <si>
    <t>tuskin</t>
  </si>
  <si>
    <t>kykenin</t>
  </si>
  <si>
    <t>lopettamaan</t>
  </si>
  <si>
    <t>nauramisen</t>
  </si>
  <si>
    <t>Wohhohhohhoo</t>
  </si>
  <si>
    <t>Anan</t>
  </si>
  <si>
    <t>tarjoilu</t>
  </si>
  <si>
    <t>Ihastuttava</t>
  </si>
  <si>
    <t>uusi</t>
  </si>
  <si>
    <t>Jos</t>
  </si>
  <si>
    <t>saisi</t>
  </si>
  <si>
    <t>Jukka</t>
  </si>
  <si>
    <t>Pentti</t>
  </si>
  <si>
    <t>ostaa</t>
  </si>
  <si>
    <t>rovaniemeläisestä</t>
  </si>
  <si>
    <t>Sinikan</t>
  </si>
  <si>
    <t>posliinista</t>
  </si>
  <si>
    <t>jälkeen</t>
  </si>
  <si>
    <t>voisi</t>
  </si>
  <si>
    <t>hyvinkin</t>
  </si>
  <si>
    <t>kipaista</t>
  </si>
  <si>
    <t>Lillin</t>
  </si>
  <si>
    <t>kukasta</t>
  </si>
  <si>
    <t>juoksukukat</t>
  </si>
  <si>
    <t>pyytää</t>
  </si>
  <si>
    <t>kaffelle</t>
  </si>
  <si>
    <t>Kuoksu</t>
  </si>
  <si>
    <t>Jukat</t>
  </si>
  <si>
    <t>rovaniemi</t>
  </si>
  <si>
    <t>munansaannos</t>
  </si>
  <si>
    <t>狙ってたPentikの食器</t>
  </si>
  <si>
    <t>忙しかったからあとでにしたら</t>
  </si>
  <si>
    <t>sold</t>
  </si>
  <si>
    <t>outしてしまった</t>
  </si>
  <si>
    <t>もう2度とあんなに破格では買えないのにー</t>
  </si>
  <si>
    <t>仕方ないので</t>
  </si>
  <si>
    <t>同じシリーズの別のを買いました</t>
  </si>
  <si>
    <t>Anos</t>
  </si>
  <si>
    <t>Tuohan</t>
  </si>
  <si>
    <t>hymyä</t>
  </si>
  <si>
    <t>harmaaseen</t>
  </si>
  <si>
    <t>viestinnän</t>
  </si>
  <si>
    <t>alkuvuoteen</t>
  </si>
  <si>
    <t>branding</t>
  </si>
  <si>
    <t>Missä</t>
  </si>
  <si>
    <t>olit</t>
  </si>
  <si>
    <t>kuulit</t>
  </si>
  <si>
    <t>astiasarjasta</t>
  </si>
  <si>
    <t>Kok</t>
  </si>
  <si>
    <t>lentik</t>
  </si>
  <si>
    <t>pny</t>
  </si>
  <si>
    <t>mad</t>
  </si>
  <si>
    <t>pls</t>
  </si>
  <si>
    <t>Biasanya</t>
  </si>
  <si>
    <t>gapernah</t>
  </si>
  <si>
    <t>ini</t>
  </si>
  <si>
    <t>kl</t>
  </si>
  <si>
    <t>dijepit</t>
  </si>
  <si>
    <t>bulumata</t>
  </si>
  <si>
    <t>nya</t>
  </si>
  <si>
    <t>fiddy</t>
  </si>
  <si>
    <t>luetuin</t>
  </si>
  <si>
    <t>Olkaa</t>
  </si>
  <si>
    <t>hyvä</t>
  </si>
  <si>
    <t>pistäkää</t>
  </si>
  <si>
    <t>kunnon</t>
  </si>
  <si>
    <t>mainonta</t>
  </si>
  <si>
    <t>käyntiin</t>
  </si>
  <si>
    <t>rikkokaa</t>
  </si>
  <si>
    <t>myyntiennätyksiä</t>
  </si>
  <si>
    <t>OT7PLACE</t>
  </si>
  <si>
    <t>PENTIK</t>
  </si>
  <si>
    <t>DONK</t>
  </si>
  <si>
    <t>Parlemen</t>
  </si>
  <si>
    <t>PuanPemimpinKita</t>
  </si>
  <si>
    <t>Dukung</t>
  </si>
  <si>
    <t>Ketua</t>
  </si>
  <si>
    <t>DPR</t>
  </si>
  <si>
    <t>RI</t>
  </si>
  <si>
    <t>Check</t>
  </si>
  <si>
    <t>Vintage</t>
  </si>
  <si>
    <t>Collectibles</t>
  </si>
  <si>
    <t>Studio</t>
  </si>
  <si>
    <t>SALVIA</t>
  </si>
  <si>
    <t>Black</t>
  </si>
  <si>
    <t>VASE</t>
  </si>
  <si>
    <t>Home</t>
  </si>
  <si>
    <t>Decor</t>
  </si>
  <si>
    <t>Faaayn</t>
  </si>
  <si>
    <t>il</t>
  </si>
  <si>
    <t>doit</t>
  </si>
  <si>
    <t>te</t>
  </si>
  <si>
    <t>int</t>
  </si>
  <si>
    <t>fort</t>
  </si>
  <si>
    <t>BEBASAGC</t>
  </si>
  <si>
    <t>oke</t>
  </si>
  <si>
    <t>kalimat</t>
  </si>
  <si>
    <t>diakhiri</t>
  </si>
  <si>
    <t>dengan</t>
  </si>
  <si>
    <t>ada</t>
  </si>
  <si>
    <t>ya</t>
  </si>
  <si>
    <t>Mau</t>
  </si>
  <si>
    <t>tidak</t>
  </si>
  <si>
    <t>yang</t>
  </si>
  <si>
    <t>harum</t>
  </si>
  <si>
    <t>matanya</t>
  </si>
  <si>
    <t>kaya</t>
  </si>
  <si>
    <t>juga</t>
  </si>
  <si>
    <t>aiemmin</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</si>
  <si>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</si>
  <si>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</si>
  <si>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</si>
  <si>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</si>
  <si>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</si>
  <si>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</si>
  <si>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</si>
  <si>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</si>
  <si>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</si>
  <si>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</si>
  <si>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</si>
  <si>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</si>
  <si>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</si>
  <si>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</si>
  <si>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</si>
  <si>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</si>
  <si>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</si>
  <si>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</si>
  <si>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ajan</t>
  </si>
  <si>
    <t>älä</t>
  </si>
  <si>
    <t>alas</t>
  </si>
  <si>
    <t>alemmas</t>
  </si>
  <si>
    <t>älköön</t>
  </si>
  <si>
    <t>alkuisin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</si>
  <si>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</si>
  <si>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</si>
  <si>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</si>
  <si>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</si>
  <si>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</si>
  <si>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</si>
  <si>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</si>
  <si>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</si>
  <si>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</si>
  <si>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</si>
  <si>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</si>
  <si>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</si>
  <si>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</si>
  <si>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</si>
  <si>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</si>
  <si>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</si>
  <si>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</si>
  <si>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</si>
  <si>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</si>
  <si>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</si>
  <si>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</si>
  <si>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annettavaksi</t>
  </si>
  <si>
    <t>annetteva</t>
  </si>
  <si>
    <t>annettu</t>
  </si>
  <si>
    <t>antaa</t>
  </si>
  <si>
    <t>antamatta</t>
  </si>
  <si>
    <t>antoi</t>
  </si>
  <si>
    <t>aoua</t>
  </si>
  <si>
    <t>apu</t>
  </si>
  <si>
    <t>asia</t>
  </si>
  <si>
    <t>asiaa</t>
  </si>
  <si>
    <t>asian</t>
  </si>
  <si>
    <t>asiasta</t>
  </si>
  <si>
    <t>asiat</t>
  </si>
  <si>
    <t>asioiden</t>
  </si>
  <si>
    <t>asioihin</t>
  </si>
  <si>
    <t>asioita</t>
  </si>
  <si>
    <t>avuksi</t>
  </si>
  <si>
    <t>avulla</t>
  </si>
  <si>
    <t>avun</t>
  </si>
  <si>
    <t>avutta</t>
  </si>
  <si>
    <t>edellä</t>
  </si>
  <si>
    <t>edelle</t>
  </si>
  <si>
    <t>edelleen</t>
  </si>
  <si>
    <t>edeltä</t>
  </si>
  <si>
    <t>edemmäs</t>
  </si>
  <si>
    <t>edes</t>
  </si>
  <si>
    <t>edessä</t>
  </si>
  <si>
    <t>edestä</t>
  </si>
  <si>
    <t>ehkä</t>
  </si>
  <si>
    <t>eikä</t>
  </si>
  <si>
    <t>eivät</t>
  </si>
  <si>
    <t>eli</t>
  </si>
  <si>
    <t>ellei</t>
  </si>
  <si>
    <t>elleivät</t>
  </si>
  <si>
    <t>ellemme</t>
  </si>
  <si>
    <t>ellen</t>
  </si>
  <si>
    <t>ellet</t>
  </si>
  <si>
    <t>ellette</t>
  </si>
  <si>
    <t>emme</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</si>
  <si>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</si>
  <si>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</si>
  <si>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</si>
  <si>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</si>
  <si>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</si>
  <si>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</si>
  <si>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</si>
  <si>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</si>
  <si>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</si>
  <si>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</si>
  <si>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</si>
  <si>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</si>
  <si>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</si>
  <si>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</si>
  <si>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</si>
  <si>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</si>
  <si>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</si>
  <si>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</si>
  <si>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</si>
  <si>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</si>
  <si>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</si>
  <si>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</si>
  <si>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</si>
  <si>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erittäin</t>
  </si>
  <si>
    <t>erityisesti</t>
  </si>
  <si>
    <t>esi</t>
  </si>
  <si>
    <t>esiin</t>
  </si>
  <si>
    <t>esillä</t>
  </si>
  <si>
    <t>esimerkiksi</t>
  </si>
  <si>
    <t>eteen</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</si>
  <si>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</si>
  <si>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</si>
  <si>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</si>
  <si>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</si>
  <si>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</si>
  <si>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</si>
  <si>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</si>
  <si>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</si>
  <si>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</si>
  <si>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</si>
  <si>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</si>
  <si>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</si>
  <si>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</si>
  <si>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</si>
  <si>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</si>
  <si>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</si>
  <si>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</si>
  <si>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häneen</t>
  </si>
  <si>
    <t>hänellä</t>
  </si>
  <si>
    <t>hänelle</t>
  </si>
  <si>
    <t>häneltä</t>
  </si>
  <si>
    <t>hänen</t>
  </si>
  <si>
    <t>hänessä</t>
  </si>
  <si>
    <t>hänestä</t>
  </si>
  <si>
    <t>hänet</t>
  </si>
  <si>
    <t>he</t>
  </si>
  <si>
    <t>hei</t>
  </si>
  <si>
    <t>heidän</t>
  </si>
  <si>
    <t>heihin</t>
  </si>
  <si>
    <t>heille</t>
  </si>
  <si>
    <t>heiltä</t>
  </si>
  <si>
    <t>heissä</t>
  </si>
  <si>
    <t>heistä</t>
  </si>
  <si>
    <t>heitä</t>
  </si>
  <si>
    <t>helposti</t>
  </si>
  <si>
    <t>heti</t>
  </si>
  <si>
    <t>hetkellä</t>
  </si>
  <si>
    <t>hieman</t>
  </si>
  <si>
    <t>huolimatta</t>
  </si>
  <si>
    <t>huomenna</t>
  </si>
  <si>
    <t>hyvät</t>
  </si>
  <si>
    <t>hyviä</t>
  </si>
  <si>
    <t>hyvien</t>
  </si>
  <si>
    <t>hyviin</t>
  </si>
  <si>
    <t>hyviksi</t>
  </si>
  <si>
    <t>hyville</t>
  </si>
  <si>
    <t>hyviltä</t>
  </si>
  <si>
    <t>hyvin</t>
  </si>
  <si>
    <t>hyvinä</t>
  </si>
  <si>
    <t>hyvissä</t>
  </si>
  <si>
    <t>hyvistä</t>
  </si>
  <si>
    <t>ilmeisesti</t>
  </si>
  <si>
    <t>itse</t>
  </si>
  <si>
    <t>itseään</t>
  </si>
  <si>
    <t>itsensä</t>
  </si>
  <si>
    <t>jää</t>
  </si>
  <si>
    <t>jälleen</t>
  </si>
  <si>
    <t>johon</t>
  </si>
  <si>
    <t>joiden</t>
  </si>
  <si>
    <t>joihin</t>
  </si>
  <si>
    <t>joiksi</t>
  </si>
  <si>
    <t>joilla</t>
  </si>
  <si>
    <t>joille</t>
  </si>
  <si>
    <t>joilta</t>
  </si>
  <si>
    <t>joissa</t>
  </si>
  <si>
    <t>joista</t>
  </si>
  <si>
    <t>joita</t>
  </si>
  <si>
    <t>jokainen</t>
  </si>
  <si>
    <t>jokin</t>
  </si>
  <si>
    <t>joko</t>
  </si>
  <si>
    <t>jolle</t>
  </si>
  <si>
    <t>jolta</t>
  </si>
  <si>
    <t>jompikumpi</t>
  </si>
  <si>
    <t>jonka</t>
  </si>
  <si>
    <t>jonkin</t>
  </si>
  <si>
    <t>jonne</t>
  </si>
  <si>
    <t>joo</t>
  </si>
  <si>
    <t>jopa</t>
  </si>
  <si>
    <t>jossa</t>
  </si>
  <si>
    <t>josta</t>
  </si>
  <si>
    <t>jota</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</si>
  <si>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</si>
  <si>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</si>
  <si>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</si>
  <si>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</si>
  <si>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</si>
  <si>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</si>
  <si>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</si>
  <si>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</si>
  <si>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</si>
  <si>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</si>
  <si>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</si>
  <si>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</si>
  <si>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</si>
  <si>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</si>
  <si>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</si>
  <si>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</si>
  <si>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</si>
  <si>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</si>
  <si>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</si>
  <si>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</si>
  <si>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</si>
  <si>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</si>
  <si>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</si>
  <si>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</si>
  <si>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</si>
  <si>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</si>
  <si>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</si>
  <si>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</si>
  <si>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</si>
  <si>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</si>
  <si>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</si>
  <si>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kaiken</t>
  </si>
  <si>
    <t>kaikille</t>
  </si>
  <si>
    <t>kaikilta</t>
  </si>
  <si>
    <t>kaikkea</t>
  </si>
  <si>
    <t>kaikki</t>
  </si>
  <si>
    <t>kaikkia</t>
  </si>
  <si>
    <t>kaikkiaan</t>
  </si>
  <si>
    <t>kaikkialla</t>
  </si>
  <si>
    <t>kaikkialle</t>
  </si>
  <si>
    <t>kaikkialta</t>
  </si>
  <si>
    <t>kaikkin</t>
  </si>
  <si>
    <t>kaksi</t>
  </si>
  <si>
    <t>kannalta</t>
  </si>
  <si>
    <t>kannattaa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</si>
  <si>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</si>
  <si>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</si>
  <si>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</si>
  <si>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</si>
  <si>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</si>
  <si>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</si>
  <si>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</si>
  <si>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</si>
  <si>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</si>
  <si>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</si>
  <si>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</si>
  <si>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</si>
  <si>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</si>
  <si>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</si>
  <si>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</si>
  <si>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</si>
  <si>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</si>
  <si>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</si>
  <si>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</si>
  <si>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</si>
  <si>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</si>
  <si>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</si>
  <si>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</si>
  <si>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</si>
  <si>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</si>
  <si>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</si>
  <si>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</si>
  <si>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</si>
  <si>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</si>
  <si>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</si>
  <si>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</si>
  <si>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</si>
  <si>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</si>
  <si>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</si>
  <si>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</si>
  <si>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</si>
  <si>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</si>
  <si>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</si>
  <si>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</si>
  <si>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</si>
  <si>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</si>
  <si>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</si>
  <si>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</si>
  <si>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kokonaan</t>
  </si>
  <si>
    <t>kolmas</t>
  </si>
  <si>
    <t>kolme</t>
  </si>
  <si>
    <t>kolmen</t>
  </si>
  <si>
    <t>kolmesti</t>
  </si>
  <si>
    <t>koska</t>
  </si>
  <si>
    <t>koskaan</t>
  </si>
  <si>
    <t>kovin</t>
  </si>
  <si>
    <t>kuinka</t>
  </si>
  <si>
    <t>kuitenkaan</t>
  </si>
  <si>
    <t>kuitenkin</t>
  </si>
  <si>
    <t>kuka</t>
  </si>
  <si>
    <t>kukaan</t>
  </si>
  <si>
    <t>kukin</t>
  </si>
  <si>
    <t>kumpainen</t>
  </si>
  <si>
    <t>kumpainenkaan</t>
  </si>
  <si>
    <t>kumpi</t>
  </si>
  <si>
    <t>kumpikaan</t>
  </si>
  <si>
    <t>kumpikin</t>
  </si>
  <si>
    <t>kuten</t>
  </si>
  <si>
    <t>kuuden</t>
  </si>
  <si>
    <t>kuusi</t>
  </si>
  <si>
    <t>kuutta</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</si>
  <si>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</si>
  <si>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</si>
  <si>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</si>
  <si>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</si>
  <si>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</si>
  <si>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</si>
  <si>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</si>
  <si>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</si>
  <si>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</si>
  <si>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</si>
  <si>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</si>
  <si>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</si>
  <si>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</si>
  <si>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</si>
  <si>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</si>
  <si>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</si>
  <si>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</si>
  <si>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</si>
  <si>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</si>
  <si>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</si>
  <si>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</si>
  <si>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</si>
  <si>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</si>
  <si>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</si>
  <si>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</si>
  <si>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</si>
  <si>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</si>
  <si>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</si>
  <si>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</si>
  <si>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</si>
  <si>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</si>
  <si>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</si>
  <si>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</si>
  <si>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</si>
  <si>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</si>
  <si>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</si>
  <si>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</si>
  <si>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</si>
  <si>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t>
  </si>
  <si>
    <t>mikäli</t>
  </si>
  <si>
    <t>mikin</t>
  </si>
  <si>
    <t>miksi</t>
  </si>
  <si>
    <t>milloin</t>
  </si>
  <si>
    <t>minä</t>
  </si>
  <si>
    <t>minne</t>
  </si>
  <si>
    <t>minun</t>
  </si>
  <si>
    <t>minut</t>
  </si>
  <si>
    <t>missä</t>
  </si>
  <si>
    <t>mistä</t>
  </si>
  <si>
    <t>miten</t>
  </si>
  <si>
    <t>moi</t>
  </si>
  <si>
    <t>molemmat</t>
  </si>
  <si>
    <t>mones</t>
  </si>
  <si>
    <t>monesti</t>
  </si>
  <si>
    <t>monet</t>
  </si>
  <si>
    <t>moni</t>
  </si>
  <si>
    <t>moniaalla</t>
  </si>
  <si>
    <t>moniaalle</t>
  </si>
  <si>
    <t>moniaalta</t>
  </si>
  <si>
    <t>monta</t>
  </si>
  <si>
    <t>muassa</t>
  </si>
  <si>
    <t>muiden</t>
  </si>
  <si>
    <t>muita</t>
  </si>
  <si>
    <t>muka</t>
  </si>
  <si>
    <t>mukaansa</t>
  </si>
  <si>
    <t>mukana</t>
  </si>
  <si>
    <t>muualla</t>
  </si>
  <si>
    <t>muualle</t>
  </si>
  <si>
    <t>muualta</t>
  </si>
  <si>
    <t>muuanne</t>
  </si>
  <si>
    <t>muulloin</t>
  </si>
  <si>
    <t>muun</t>
  </si>
  <si>
    <t>muut</t>
  </si>
  <si>
    <t>muuta</t>
  </si>
  <si>
    <t>muutama</t>
  </si>
  <si>
    <t>muutaman</t>
  </si>
  <si>
    <t>myöskään</t>
  </si>
  <si>
    <t>myöskin</t>
  </si>
  <si>
    <t>myötä</t>
  </si>
  <si>
    <t>näiden</t>
  </si>
  <si>
    <t>näin</t>
  </si>
  <si>
    <t>näissä</t>
  </si>
  <si>
    <t>näissähin</t>
  </si>
  <si>
    <t>näissälle</t>
  </si>
  <si>
    <t>näissältä</t>
  </si>
  <si>
    <t>näissästä</t>
  </si>
  <si>
    <t>näitä</t>
  </si>
  <si>
    <t>nämä</t>
  </si>
  <si>
    <t>ne</t>
  </si>
  <si>
    <t>neljä</t>
  </si>
  <si>
    <t>neljää</t>
  </si>
  <si>
    <t>neljän</t>
  </si>
  <si>
    <t>niiden</t>
  </si>
  <si>
    <t>niistä</t>
  </si>
  <si>
    <t>noin</t>
  </si>
  <si>
    <t>nopeammin</t>
  </si>
  <si>
    <t>nopeasti</t>
  </si>
  <si>
    <t>nopeiten</t>
  </si>
  <si>
    <t>nro</t>
  </si>
  <si>
    <t>nuo</t>
  </si>
  <si>
    <t>ohi</t>
  </si>
  <si>
    <t>oikein</t>
  </si>
  <si>
    <t>ole</t>
  </si>
  <si>
    <t>olemme</t>
  </si>
  <si>
    <t>olen</t>
  </si>
  <si>
    <t>olet</t>
  </si>
  <si>
    <t>olette</t>
  </si>
  <si>
    <t>oleva</t>
  </si>
  <si>
    <t>olevan</t>
  </si>
  <si>
    <t>olevat</t>
  </si>
  <si>
    <t>olimme</t>
  </si>
  <si>
    <t>olisimme</t>
  </si>
  <si>
    <t>olisin</t>
  </si>
  <si>
    <t>olisit</t>
  </si>
  <si>
    <t>olisitte</t>
  </si>
  <si>
    <t>olisivat</t>
  </si>
  <si>
    <t>olitte</t>
  </si>
  <si>
    <t>olla</t>
  </si>
  <si>
    <t>olleet</t>
  </si>
  <si>
    <t>olli</t>
  </si>
  <si>
    <t>oma</t>
  </si>
  <si>
    <t>omaa</t>
  </si>
  <si>
    <t>omaan</t>
  </si>
  <si>
    <t>omaksi</t>
  </si>
  <si>
    <t>omalle</t>
  </si>
  <si>
    <t>omalta</t>
  </si>
  <si>
    <t>oman</t>
  </si>
  <si>
    <t>omassa</t>
  </si>
  <si>
    <t>omat</t>
  </si>
  <si>
    <t>omia</t>
  </si>
  <si>
    <t>omien</t>
  </si>
  <si>
    <t>omiin</t>
  </si>
  <si>
    <t>omiksi</t>
  </si>
  <si>
    <t>omille</t>
  </si>
  <si>
    <t>omilta</t>
  </si>
  <si>
    <t>omissa</t>
  </si>
  <si>
    <t>omista</t>
  </si>
  <si>
    <t>onkin</t>
  </si>
  <si>
    <t>onko</t>
  </si>
  <si>
    <t>ovat</t>
  </si>
  <si>
    <t>päälle</t>
  </si>
  <si>
    <t>paikoittain</t>
  </si>
  <si>
    <t>paitsi</t>
  </si>
  <si>
    <t>pakosti</t>
  </si>
  <si>
    <t>paljon</t>
  </si>
  <si>
    <t>paremmin</t>
  </si>
  <si>
    <t>parhaillaan</t>
  </si>
  <si>
    <t>parhaiten</t>
  </si>
  <si>
    <t>peräti</t>
  </si>
  <si>
    <t>perusteella</t>
  </si>
  <si>
    <t>pian</t>
  </si>
  <si>
    <t>pieneen</t>
  </si>
  <si>
    <t>pieneksi</t>
  </si>
  <si>
    <t>pienellä</t>
  </si>
  <si>
    <t>pienelle</t>
  </si>
  <si>
    <t>pieneltä</t>
  </si>
  <si>
    <t>pienempi</t>
  </si>
  <si>
    <t>pienestä</t>
  </si>
  <si>
    <t>pieni</t>
  </si>
  <si>
    <t>pienin</t>
  </si>
  <si>
    <t>runsaasti</t>
  </si>
  <si>
    <t>sadam</t>
  </si>
  <si>
    <t>samaa</t>
  </si>
  <si>
    <t>samaan</t>
  </si>
  <si>
    <t>samalla</t>
  </si>
  <si>
    <t>samallalta</t>
  </si>
  <si>
    <t>samallassa</t>
  </si>
  <si>
    <t>samallasta</t>
  </si>
  <si>
    <t>saman</t>
  </si>
  <si>
    <t>samat</t>
  </si>
  <si>
    <t>samoin</t>
  </si>
  <si>
    <t>sata</t>
  </si>
  <si>
    <t>sataa</t>
  </si>
  <si>
    <t>satojen</t>
  </si>
  <si>
    <t>seitsemän</t>
  </si>
  <si>
    <t>seuraavat</t>
  </si>
  <si>
    <t>siellä</t>
  </si>
  <si>
    <t>sieltä</t>
  </si>
  <si>
    <t>siihen</t>
  </si>
  <si>
    <t>siinä</t>
  </si>
  <si>
    <t>siis</t>
  </si>
  <si>
    <t>sijaan</t>
  </si>
  <si>
    <t>siksi</t>
  </si>
  <si>
    <t>silloin</t>
  </si>
  <si>
    <t>silti</t>
  </si>
  <si>
    <t>sinä</t>
  </si>
  <si>
    <t>sinne</t>
  </si>
  <si>
    <t>sinua</t>
  </si>
  <si>
    <t>sinulle</t>
  </si>
  <si>
    <t>sinulta</t>
  </si>
  <si>
    <t>sinun</t>
  </si>
  <si>
    <t>sinussa</t>
  </si>
  <si>
    <t>sinusta</t>
  </si>
  <si>
    <t>sinut</t>
  </si>
  <si>
    <t>sisäkkäin</t>
  </si>
  <si>
    <t>sisällä</t>
  </si>
  <si>
    <t>siten</t>
  </si>
  <si>
    <t>suoraan</t>
  </si>
  <si>
    <t>suuntaan</t>
  </si>
  <si>
    <t>suuren</t>
  </si>
  <si>
    <t>suuret</t>
  </si>
  <si>
    <t>suuri</t>
  </si>
  <si>
    <t>suuria</t>
  </si>
  <si>
    <t>suurin</t>
  </si>
  <si>
    <t>suurten</t>
  </si>
  <si>
    <t>taa</t>
  </si>
  <si>
    <t>täältä</t>
  </si>
  <si>
    <t>taas</t>
  </si>
  <si>
    <t>taemmas</t>
  </si>
  <si>
    <t>tahansa</t>
  </si>
  <si>
    <t>takaa</t>
  </si>
  <si>
    <t>takaisin</t>
  </si>
  <si>
    <t>takia</t>
  </si>
  <si>
    <t>tällä</t>
  </si>
  <si>
    <t>tällöin</t>
  </si>
  <si>
    <t>tänä</t>
  </si>
  <si>
    <t>tänään</t>
  </si>
  <si>
    <t>tapauksessa</t>
  </si>
  <si>
    <t>tässä</t>
  </si>
  <si>
    <t>täten</t>
  </si>
  <si>
    <t>tavalla</t>
  </si>
  <si>
    <t>täysin</t>
  </si>
  <si>
    <t>täytyvät</t>
  </si>
  <si>
    <t>täytyy</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</si>
  <si>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</si>
  <si>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</si>
  <si>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</si>
  <si>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</si>
  <si>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</si>
  <si>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</si>
  <si>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</si>
  <si>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</si>
  <si>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</si>
  <si>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</si>
  <si>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</si>
  <si>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</si>
  <si>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</si>
  <si>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</si>
  <si>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</si>
  <si>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</si>
  <si>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</si>
  <si>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</si>
  <si>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</si>
  <si>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</si>
  <si>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</si>
  <si>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</si>
  <si>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</si>
  <si>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</si>
  <si>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</si>
  <si>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</si>
  <si>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</si>
  <si>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</si>
  <si>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</si>
  <si>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</si>
  <si>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</si>
  <si>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</si>
  <si>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</si>
  <si>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</si>
  <si>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</si>
  <si>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</si>
  <si>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</si>
  <si>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</si>
  <si>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</si>
  <si>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</si>
  <si>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</si>
  <si>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</si>
  <si>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</si>
  <si>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</si>
  <si>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</si>
  <si>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</si>
  <si>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</si>
  <si>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</si>
  <si>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tykö</t>
  </si>
  <si>
    <t>usea</t>
  </si>
  <si>
    <t>useasti</t>
  </si>
  <si>
    <t>useimmiten</t>
  </si>
  <si>
    <t>usein</t>
  </si>
  <si>
    <t>useita</t>
  </si>
  <si>
    <t>uudeksi</t>
  </si>
  <si>
    <t>uuden</t>
  </si>
  <si>
    <t>uudet</t>
  </si>
  <si>
    <t>uusia</t>
  </si>
  <si>
    <t>uusien</t>
  </si>
  <si>
    <t>uusinta</t>
  </si>
  <si>
    <t>uuteen</t>
  </si>
  <si>
    <t>uutta</t>
  </si>
  <si>
    <t>vähän</t>
  </si>
  <si>
    <t>vähemmän</t>
  </si>
  <si>
    <t>vähintään</t>
  </si>
  <si>
    <t>vähiten</t>
  </si>
  <si>
    <t>vai</t>
  </si>
  <si>
    <t>vaiheessa</t>
  </si>
  <si>
    <t>vaikea</t>
  </si>
  <si>
    <t>vaikean</t>
  </si>
  <si>
    <t>vaikeat</t>
  </si>
  <si>
    <t>vaikeilla</t>
  </si>
  <si>
    <t>vaikeille</t>
  </si>
  <si>
    <t>vaikeilta</t>
  </si>
  <si>
    <t>vaikeissa</t>
  </si>
  <si>
    <t>vaikeista</t>
  </si>
  <si>
    <t>vaikka</t>
  </si>
  <si>
    <t>varmasti</t>
  </si>
  <si>
    <t>varsin</t>
  </si>
  <si>
    <t>varsinkin</t>
  </si>
  <si>
    <t>varten</t>
  </si>
  <si>
    <t>vastaan</t>
  </si>
  <si>
    <t>vastakkain</t>
  </si>
  <si>
    <t>verran</t>
  </si>
  <si>
    <t>vierekkäin</t>
  </si>
  <si>
    <t>vieri</t>
  </si>
  <si>
    <t>viiden</t>
  </si>
  <si>
    <t>viimeinen</t>
  </si>
  <si>
    <t>viimeisen</t>
  </si>
  <si>
    <t>viimeksi</t>
  </si>
  <si>
    <t>viisi</t>
  </si>
  <si>
    <t>voidaan</t>
  </si>
  <si>
    <t>voimme</t>
  </si>
  <si>
    <t>voin</t>
  </si>
  <si>
    <t>voit</t>
  </si>
  <si>
    <t>voitte</t>
  </si>
  <si>
    <t>voivat</t>
  </si>
  <si>
    <t>vuoden</t>
  </si>
  <si>
    <t>vuoksi</t>
  </si>
  <si>
    <t>vuosi</t>
  </si>
  <si>
    <t>vuosien</t>
  </si>
  <si>
    <t>vuosina</t>
  </si>
  <si>
    <t>vuotta</t>
  </si>
  <si>
    <t>yhdeksän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</si>
  <si>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</si>
  <si>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</si>
  <si>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</si>
  <si>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</si>
  <si>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</si>
  <si>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</si>
  <si>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</si>
  <si>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</si>
  <si>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</si>
  <si>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</si>
  <si>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</si>
  <si>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</si>
  <si>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</si>
  <si>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</si>
  <si>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</si>
  <si>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</si>
  <si>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</si>
  <si>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</si>
  <si>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</si>
  <si>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</si>
  <si>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</si>
  <si>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</si>
  <si>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</si>
  <si>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</si>
  <si>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</si>
  <si>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</si>
  <si>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</si>
  <si>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</si>
  <si>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</si>
  <si>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</si>
  <si>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</si>
  <si>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</si>
  <si>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</si>
  <si>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</si>
  <si>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</si>
  <si>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</si>
  <si>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</si>
  <si>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</si>
  <si>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</si>
  <si>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</si>
  <si>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</si>
  <si>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</si>
  <si>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</si>
  <si>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</si>
  <si>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</si>
  <si>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</si>
  <si>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</si>
  <si>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</si>
  <si>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</si>
  <si>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</si>
  <si>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</si>
  <si>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</si>
  <si>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</si>
  <si>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</si>
  <si>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</si>
  <si>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</si>
  <si>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</si>
  <si>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</si>
  <si>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</si>
  <si>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</si>
  <si>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</si>
  <si>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</si>
  <si>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</si>
  <si>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</si>
  <si>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</si>
  <si>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</si>
  <si>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https://www.hs.fi/talous/art-2000008704863.html</t>
  </si>
  <si>
    <t>https://twitter.com/DarthPutinKGB/status/1507079035528126470</t>
  </si>
  <si>
    <t>https://twitter.com/almaonali/status/1506994320288759817</t>
  </si>
  <si>
    <t>https://www.ebay.com/itm/185318779952?mkevt=1&amp;mkcid=16&amp;mkrid=711-127632-2357-0&amp;media=TWITTER&amp;sojTags=media%3Dmedia</t>
  </si>
  <si>
    <t>https://twitter.com/MinnaLampinen/status/1507295956009639939</t>
  </si>
  <si>
    <t>https://www.pentik.com/collections/anis</t>
  </si>
  <si>
    <t>https://www.pentik.com/collections/anis?gclid=CjwKCAjwxOCRBhA8EiwA0X8hi9Gk80gFEnaj3jQNsvfA4dxl6tXhZA4BiJyx_lKeygCqudYr6q_vDhoC5SMQAvD_BwE</t>
  </si>
  <si>
    <t>https://www.hs.fi/talous/art-2000008704863.html?share=59c56cf8b07d650537f4bc62829a94af</t>
  </si>
  <si>
    <t>https://twitter.com/AlmaOnali/status/1506994320288759817</t>
  </si>
  <si>
    <t>https://suomalainentyo.fi/2022/03/24/kohti-hiilineutraalia-pentik-keramiikkatehdasta-ensimmaisena-askeleena-posion-tehtaalle-ekokompassi-ymparistosertifikaatti/</t>
  </si>
  <si>
    <t>Entire Graph Count</t>
  </si>
  <si>
    <t>Top URLs in Tweet in G1</t>
  </si>
  <si>
    <t>https://www.linkedin.com/posts/riikka-wulff_onhan-se-hirmu-kivaa-olla-t%C3%A4m%C3%A4n-hetken-hesarin-activity-6912775396618907648-oqEF?utm_source=linkedin_share&amp;utm_medium=ios_app</t>
  </si>
  <si>
    <t>Top URLs in Tweet in G2</t>
  </si>
  <si>
    <t>G1 Count</t>
  </si>
  <si>
    <t>Top URLs in Tweet in G3</t>
  </si>
  <si>
    <t>G2 Count</t>
  </si>
  <si>
    <t>https://twitter.com/aleksipahkala/status/1506619784791826438</t>
  </si>
  <si>
    <t>https://www.reddit.com/r/Suomi/comments/tkwpbr/pentik_anis_astiasarja_vanhemmille_herrasmiehille/?utm_source=ifttt</t>
  </si>
  <si>
    <t>https://www.hs.fi/talous/art-2000008704863.html?utm_source=dlvr.it&amp;utm_medium=twitter</t>
  </si>
  <si>
    <t>https://twitter.com/joni_jaakkola/status/1506997454335627272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</si>
  <si>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</si>
  <si>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</si>
  <si>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</si>
  <si>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</si>
  <si>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</si>
  <si>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</si>
  <si>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</si>
  <si>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</si>
  <si>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</si>
  <si>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</si>
  <si>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</si>
  <si>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</si>
  <si>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https://www.lapinkansa.fi/pentik-sai-keramiikkatehtaalleen-posiolle-ymparist/4463159</t>
  </si>
  <si>
    <t>Top URLs in Tweet in G10</t>
  </si>
  <si>
    <t>G9 Count</t>
  </si>
  <si>
    <t>G10 Count</t>
  </si>
  <si>
    <t>Top URLs in Tweet</t>
  </si>
  <si>
    <t>https://www.hs.fi/talous/art-2000008704863.html https://twitter.com/DarthPutinKGB/status/1507079035528126470 https://www.linkedin.com/posts/riikka-wulff_onhan-se-hirmu-kivaa-olla-t%C3%A4m%C3%A4n-hetken-hesarin-activity-6912775396618907648-oqEF?utm_source=linkedin_share&amp;utm_medium=ios_app</t>
  </si>
  <si>
    <t>https://www.hs.fi/talous/art-2000008704863.html https://twitter.com/almaonali/status/1506994320288759817 https://twitter.com/aleksipahkala/status/1506619784791826438 https://twitter.com/AlmaOnali/status/1506994320288759817 https://www.hs.fi/talous/art-2000008704863.html?share=59c56cf8b07d650537f4bc62829a94af https://twitter.com/MinnaLampinen/status/1507295956009639939 https://www.reddit.com/r/Suomi/comments/tkwpbr/pentik_anis_astiasarja_vanhemmille_herrasmiehille/?utm_source=ifttt https://www.hs.fi/talous/art-2000008704863.html?utm_source=dlvr.it&amp;utm_medium=twitter https://twitter.com/joni_jaakkola/status/1506997454335627272 https://www.pentik.com/collections/anis</t>
  </si>
  <si>
    <t>https://www.pentik.com/collections/anis https://www.hs.fi/talous/art-2000008704863.html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</si>
  <si>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</si>
  <si>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</si>
  <si>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</si>
  <si>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</si>
  <si>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</si>
  <si>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</si>
  <si>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</si>
  <si>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</si>
  <si>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</si>
  <si>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</si>
  <si>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</si>
  <si>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</si>
  <si>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hs.fi twitter.com linkedin.com</t>
  </si>
  <si>
    <t>twitter.com hs.fi reddit.com pentik.com</t>
  </si>
  <si>
    <t>pentik.com hs.fi</t>
  </si>
  <si>
    <t>Top Hashtags in Tweet in Entire Graph</t>
  </si>
  <si>
    <t>vintage</t>
  </si>
  <si>
    <t>salvia</t>
  </si>
  <si>
    <t>finland</t>
  </si>
  <si>
    <t>vase</t>
  </si>
  <si>
    <t>ekokompassi</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</si>
  <si>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</si>
  <si>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</si>
  <si>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</si>
  <si>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</si>
  <si>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</si>
  <si>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</si>
  <si>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</si>
  <si>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</si>
  <si>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</si>
  <si>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lappi</t>
  </si>
  <si>
    <t>Top Hashtags in Tweet in G10</t>
  </si>
  <si>
    <t>Top Hashtags in Tweet</t>
  </si>
  <si>
    <t>pentik pentikanis puanpemimpinkita markkinointi anis branding rovaniemi munansaannos kieliasiantuntija antikpenis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</si>
  <si>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</si>
  <si>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</si>
  <si>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</si>
  <si>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</si>
  <si>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</si>
  <si>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</si>
  <si>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</si>
  <si>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</si>
  <si>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</si>
  <si>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</si>
  <si>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</si>
  <si>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</si>
  <si>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pentik mie anis urani kiusallisin puhelu sellaisella asialla soittelin mikähän</t>
  </si>
  <si>
    <t>pentik anis varttuneemman herrasmiehen elegantti astiasarja mie urani kiusallisin puhelu</t>
  </si>
  <si>
    <t>pentik anis #pentik #pentikanis astiasto kovanen lopettaa parlemen memiliki peran</t>
  </si>
  <si>
    <t>pentik anis nimen herättänyt hilpeyttä #pentikanis tahaton kielikukkasemme sarjan ympärillä</t>
  </si>
  <si>
    <t>yritykset suomalaisyhtiön pentik anis astiasto herättää hilpeyttä somessa soitto yhtiöön</t>
  </si>
  <si>
    <t>joni_jaakkola pentik työyhteisö hassuttelua naurua anis i</t>
  </si>
  <si>
    <t>check out #vintage collectibles studio pottery #salvia #pentik #finland black</t>
  </si>
  <si>
    <t>pentik mie anis</t>
  </si>
  <si>
    <t>putin #pentikanis trendaa haastan teidät suomalaiset toimittajat laitan rahaa likoon</t>
  </si>
  <si>
    <t>sananmuunnoksia diggaavana mun pitänee hankkia pentik anis sarja</t>
  </si>
  <si>
    <t>pentik anis just väliin kaivattiin</t>
  </si>
  <si>
    <t>pentik anis hillitön kuppi</t>
  </si>
  <si>
    <t>upeaa #pentik'in posion tehtaalle #ekokompassi #ympäristösertifikaatti hiilineutraali keramiikkatehdas #avainlippu #designfromfinland</t>
  </si>
  <si>
    <t>Top Word Pairs in Tweet in Entire Graph</t>
  </si>
  <si>
    <t>pentik,anis</t>
  </si>
  <si>
    <t>herättänyt,hilpeyttä</t>
  </si>
  <si>
    <t>urani,kiusallisin</t>
  </si>
  <si>
    <t>kiusallisin,puhelu</t>
  </si>
  <si>
    <t>puhelu,mie</t>
  </si>
  <si>
    <t>mie,sellaisella</t>
  </si>
  <si>
    <t>sellaisella,asialla</t>
  </si>
  <si>
    <t>asialla,soittelin</t>
  </si>
  <si>
    <t>soittelin,mikähän</t>
  </si>
  <si>
    <t>mikähän,tarina</t>
  </si>
  <si>
    <t>Top Word Pairs in Tweet in G1</t>
  </si>
  <si>
    <t>tarina,pentik</t>
  </si>
  <si>
    <t>Top Word Pairs in Tweet in G2</t>
  </si>
  <si>
    <t>anis,varttuneemman</t>
  </si>
  <si>
    <t>varttuneemman,herrasmiehen</t>
  </si>
  <si>
    <t>herrasmiehen,elegantti</t>
  </si>
  <si>
    <t>elegantti,astiasarja</t>
  </si>
  <si>
    <t>Top Word Pairs in Tweet in G3</t>
  </si>
  <si>
    <t>parlemen,memiliki</t>
  </si>
  <si>
    <t>memiliki,peran</t>
  </si>
  <si>
    <t>peran,pentik</t>
  </si>
  <si>
    <t>pentik,utk</t>
  </si>
  <si>
    <t>utk,perkembangan</t>
  </si>
  <si>
    <t>perkembangan,demokrasi</t>
  </si>
  <si>
    <t>demokrasi,#puanpemimpinkita</t>
  </si>
  <si>
    <t>#puanpemimpinkita,dukung</t>
  </si>
  <si>
    <t>dukung,ketua</t>
  </si>
  <si>
    <t>Top Word Pairs in Tweet in G4</t>
  </si>
  <si>
    <t>tahaton,kielikukkasemme</t>
  </si>
  <si>
    <t>kielikukkasemme,pentik</t>
  </si>
  <si>
    <t>anis,sarjan</t>
  </si>
  <si>
    <t>sarjan,nimen</t>
  </si>
  <si>
    <t>nimen,ympärillä</t>
  </si>
  <si>
    <t>ympärillä,herättänyt</t>
  </si>
  <si>
    <t>hilpeyttä,mm</t>
  </si>
  <si>
    <t>mm,twitterissä</t>
  </si>
  <si>
    <t>Top Word Pairs in Tweet in G5</t>
  </si>
  <si>
    <t>yritykset,suomalaisyhtiön</t>
  </si>
  <si>
    <t>suomalaisyhtiön,pentik</t>
  </si>
  <si>
    <t>anis,astiasto</t>
  </si>
  <si>
    <t>astiasto,herättää</t>
  </si>
  <si>
    <t>herättää,hilpeyttä</t>
  </si>
  <si>
    <t>hilpeyttä,somessa</t>
  </si>
  <si>
    <t>somessa,soitto</t>
  </si>
  <si>
    <t>soitto,yhtiöön</t>
  </si>
  <si>
    <t>yhtiöön,paljastaa</t>
  </si>
  <si>
    <t>Top Word Pairs in Tweet in G6</t>
  </si>
  <si>
    <t>hassuttelua,naurua</t>
  </si>
  <si>
    <t>Top Word Pairs in Tweet in G7</t>
  </si>
  <si>
    <t>check,out</t>
  </si>
  <si>
    <t>out,#vintage</t>
  </si>
  <si>
    <t>#vintage,collectibles</t>
  </si>
  <si>
    <t>collectibles,studio</t>
  </si>
  <si>
    <t>studio,pottery</t>
  </si>
  <si>
    <t>pottery,#salvia</t>
  </si>
  <si>
    <t>#salvia,#pentik</t>
  </si>
  <si>
    <t>#pentik,#finland</t>
  </si>
  <si>
    <t>#finland,black</t>
  </si>
  <si>
    <t>black,#vase</t>
  </si>
  <si>
    <t>Top Word Pairs in Tweet in G8</t>
  </si>
  <si>
    <t>Top Word Pairs in Tweet in G9</t>
  </si>
  <si>
    <t>Top Word Pairs in Tweet in G10</t>
  </si>
  <si>
    <t>Top Word Pairs in Tweet</t>
  </si>
  <si>
    <t>pentik,anis  urani,kiusallisin  kiusallisin,puhelu  puhelu,mie  mie,sellaisella  sellaisella,asialla  asialla,soittelin  soittelin,mikähän  mikähän,tarina  tarina,pentik</t>
  </si>
  <si>
    <t>pentik,anis  anis,varttuneemman  varttuneemman,herrasmiehen  herrasmiehen,elegantti  elegantti,astiasarja  urani,kiusallisin  kiusallisin,puhelu  puhelu,mie  mie,sellaisella  sellaisella,asialla</t>
  </si>
  <si>
    <t>pentik,anis  parlemen,memiliki  memiliki,peran  peran,pentik  pentik,utk  utk,perkembangan  perkembangan,demokrasi  demokrasi,#puanpemimpinkita  #puanpemimpinkita,dukung  dukung,ketua</t>
  </si>
  <si>
    <t>pentik,anis  herättänyt,hilpeyttä  tahaton,kielikukkasemme  kielikukkasemme,pentik  anis,sarjan  sarjan,nimen  nimen,ympärillä  ympärillä,herättänyt  hilpeyttä,mm  mm,twitterissä</t>
  </si>
  <si>
    <t>yritykset,suomalaisyhtiön  suomalaisyhtiön,pentik  pentik,anis  anis,astiasto  astiasto,herättää  herättää,hilpeyttä  hilpeyttä,somessa  somessa,soitto  soitto,yhtiöön  yhtiöön,paljastaa</t>
  </si>
  <si>
    <t>hassuttelua,naurua  pentik,anis</t>
  </si>
  <si>
    <t>check,out  out,#vintage  #vintage,collectibles  collectibles,studio  studio,pottery  pottery,#salvia  #salvia,#pentik  #pentik,#finland  #finland,black  black,#vase</t>
  </si>
  <si>
    <t>#pentikanis,trendaa  trendaa,haastan  haastan,teidät  teidät,suomalaiset  suomalaiset,toimittajat  toimittajat,laitan  laitan,rahaa  rahaa,likoon  likoon,uskalla  uskalla,käyttää</t>
  </si>
  <si>
    <t>sananmuunnoksia,diggaavana  diggaavana,mun  mun,pitänee  pitänee,hankkia  hankkia,pentik  pentik,anis  anis,sarja</t>
  </si>
  <si>
    <t>pentik,anis  anis,just  just,väliin  väliin,kaivattiin</t>
  </si>
  <si>
    <t>pentik,anis  anis,hillitön  hillitön,kuppi</t>
  </si>
  <si>
    <t>upeaa,#pentik'in  #pentik'in,posion  posion,tehtaalle  tehtaalle,#ekokompassi  #ekokompassi,#ympäristösertifikaatti  #ympäristösertifikaatti,hiilineutraali  hiilineutraali,keramiikkatehdas  keramiikkatehdas,#avainlippu  #avainlippu,#designfromfinland  #designfromfinland,#suomalainentyo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</si>
  <si>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</si>
  <si>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</si>
  <si>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</si>
  <si>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</si>
  <si>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</si>
  <si>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</si>
  <si>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</si>
  <si>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</si>
  <si>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</si>
  <si>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</si>
  <si>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</si>
  <si>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</si>
  <si>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</si>
  <si>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</si>
  <si>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</si>
  <si>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</si>
  <si>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</si>
  <si>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</si>
  <si>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</si>
  <si>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</si>
  <si>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</si>
  <si>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</si>
  <si>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</si>
  <si>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</si>
  <si>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</si>
  <si>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</si>
  <si>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</si>
  <si>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</si>
  <si>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</si>
  <si>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</si>
  <si>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</si>
  <si>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</si>
  <si>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</si>
  <si>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</si>
  <si>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</si>
  <si>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</si>
  <si>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kestinen joonaslinkola nuusa_ harhanuoli markosuomi datironass mattimuukkonen anttiparnanen svuorikoski vapaamielinen</t>
  </si>
  <si>
    <t>mipelt koomikkokivi kapt_suolisolmu janiturku haraldhannelius jermulion gaiafinn naururastas aleksipahkala lottabacklund</t>
  </si>
  <si>
    <t>9h0hm mikkohongisto toukoq iirorantala pekkarahko yweuutiset idealacatariina johannahellste2 satuhujanen petripihko</t>
  </si>
  <si>
    <t>maaninkavaara lauraemiliait peltolapeltsi __danc palloholisti j_makr wallellaa joelrouvinen panopti92236644 sarjakuvakauppa</t>
  </si>
  <si>
    <t>hsfi nnancycos elina_hjr vilpertt vesavee</t>
  </si>
  <si>
    <t>apulkkis joni_jaakkola kanerva_mari pasiyliuntinen</t>
  </si>
  <si>
    <t>cozyatoz forcollecting ebay</t>
  </si>
  <si>
    <t>ihdaltandigau lisajandamuda melinasahara</t>
  </si>
  <si>
    <t>laplandbusiness posiolapland</t>
  </si>
  <si>
    <t>alfild katsojana</t>
  </si>
  <si>
    <t>esasalminen3 koivumakiraine</t>
  </si>
  <si>
    <t>villekoivuniemi outigrusander</t>
  </si>
  <si>
    <t>jonnemi hannuverronen</t>
  </si>
  <si>
    <t>masasaarnela panu</t>
  </si>
  <si>
    <t>joutsenikko timokoivisto_</t>
  </si>
  <si>
    <t>hannuhynonen teemu_lahtinen</t>
  </si>
  <si>
    <t>veikkakuusisto juhatenhonen</t>
  </si>
  <si>
    <t>suomalainentyo designfromfinla</t>
  </si>
  <si>
    <t>sanileino ohtmaa</t>
  </si>
  <si>
    <t>ohmybeautybank sambateveridei</t>
  </si>
  <si>
    <t>inirpjk ot7place</t>
  </si>
  <si>
    <t>faaayn nesteagg</t>
  </si>
  <si>
    <t>jenongolongol bebasagc</t>
  </si>
  <si>
    <t>kafleng vlijeu</t>
  </si>
  <si>
    <t>URLs in Tweet by Count</t>
  </si>
  <si>
    <t>https://twitter.com/jmkorhonen/status/1506985820456108033</t>
  </si>
  <si>
    <t>https://twitter.com/SiniKorpinen/status/1507002634938380300</t>
  </si>
  <si>
    <t>URLs in Tweet by Salience</t>
  </si>
  <si>
    <t>Domains in Tweet by Count</t>
  </si>
  <si>
    <t>Domains in Tweet by Salience</t>
  </si>
  <si>
    <t>Hashtags in Tweet by Count</t>
  </si>
  <si>
    <t>Hashtags in Tweet by Salience</t>
  </si>
  <si>
    <t>Top Words in Tweet by Count</t>
  </si>
  <si>
    <t>kafleng matanya kaya juga</t>
  </si>
  <si>
    <t>berbulu melinasahara lisajandamuda mau tidak yang harum</t>
  </si>
  <si>
    <t>titik bebasagc oke 1 kalimat diakhiri dengan yg ada ya</t>
  </si>
  <si>
    <t>faaayn il doit te int fort</t>
  </si>
  <si>
    <t>parlemen memiliki peran utk perkembangan demokrasi #puanpemimpinkita dukung ketua dpr</t>
  </si>
  <si>
    <t>ot7place donk</t>
  </si>
  <si>
    <t>anis varttuneemman herrasmiehen elegantti astiasarja</t>
  </si>
  <si>
    <t>anis ei fiddy hesarin luetuin juttu olkaa hyvä nyt pistäkää</t>
  </si>
  <si>
    <t>ohmybeautybank kok lentik pny mad pls wkwk biasanya gapernah se</t>
  </si>
  <si>
    <t>missä olit kun kuulit anis astiasarjasta</t>
  </si>
  <si>
    <t>tuohan tämä #pentik anis hymyä muuten niin harmaaseen viestinnän alkuvuoteen</t>
  </si>
  <si>
    <t>aleksipahkala anos</t>
  </si>
  <si>
    <t>狙ってたpentikの食器 忙しかったからあとでにしたら sold outしてしまった もう2度とあんなに破格では買えないのにー 仕方ないので 同じシリーズの別のを買いました</t>
  </si>
  <si>
    <t>sen jälkeen jos saisi jukka pentti joskus ostaa anis astiaston</t>
  </si>
  <si>
    <t>ihastuttava uusi astiasto anis</t>
  </si>
  <si>
    <t>aleksipahkala wohhohhohhoo anan tarjoilu</t>
  </si>
  <si>
    <t>sen on nimeltä anis kai kuulitte jo että pentikillä tuotesarja</t>
  </si>
  <si>
    <t>anis astiasarja vanhemmille herrasmiehille lieneekö loppuun asti mietitty nimi via</t>
  </si>
  <si>
    <t>sanileino just kun olin lukenut twiitin anis sarjasta ja nyt</t>
  </si>
  <si>
    <t>ylimmällä astiat vihdoinki sain tän hyllyn laitettua muutettiin tähän viime</t>
  </si>
  <si>
    <t>gapapa ga diposting sama ayang yg cantik dimata orang lain</t>
  </si>
  <si>
    <t>yritykset suomalaisyhtiön anis astiasto herättää hilpeyttä sosiaalisessa mediassa soitto yhtiöön</t>
  </si>
  <si>
    <t>yritykset suomalaisyhtiön anis astiasto herättää hilpeyttä somessa soitto yhtiöön paljastaa</t>
  </si>
  <si>
    <t>anis astiaston vaalea yksinkertaisuus jättää tilaa värikkäille tekstiileille ja ruoka</t>
  </si>
  <si>
    <t>upeaa #pentik'in posion tehtaalle #ekokompassi #ympäristösertifikaatti ja tavoitteena hiilineutraali keramiikkatehdas</t>
  </si>
  <si>
    <t>ywitykset suomalaisyhtiön anyis astiasto hewättää hiwpeyttä sosiaawisessa mediassa cries soitto</t>
  </si>
  <si>
    <t>on juhatenhonen joo tää aika onnistunut etenkin kun a astiasto</t>
  </si>
  <si>
    <t>arse eräässä kaveripiirissä minusta käytetään vasen pakki arto ruotasesta johdettua</t>
  </si>
  <si>
    <t>olisi tarvinnut #kieliasiantuntija'a jolla on luova ja likainen mielikuvitus</t>
  </si>
  <si>
    <t>anis hillitön kuppi</t>
  </si>
  <si>
    <t>anis hieman ohimoilta harmaantuneen herrasmiehen astiastovalinta</t>
  </si>
  <si>
    <t>almaonali kansa vaatii arvoa</t>
  </si>
  <si>
    <t>mie on anis urani kiusallisin puhelu sellaisella asialla soittelin että</t>
  </si>
  <si>
    <t>almaonali tämä on meidän taholta tahaton kikkelikukkanen joka valkeni meille</t>
  </si>
  <si>
    <t>aniksesta saa erään otsikon mukaan kaksimielisen sananmuunnoksen mä en kyllä</t>
  </si>
  <si>
    <t>anis mie on urani kiusallisin puhelu sellaisella asialla soittelin että</t>
  </si>
  <si>
    <t>pitkäaikaisena sananmuunnosten ystävänä arvostan tätä artikkelia kovasti mies ihmettelee kun</t>
  </si>
  <si>
    <t>anis oli kyllä just sitä mitä nyt tähän väliin kaivattiin</t>
  </si>
  <si>
    <t>tuote nimetään uudelleen tunnistettavuus säilyttäen sekä pentikin brand heritagen mukaiseksi</t>
  </si>
  <si>
    <t>anis kovasen lassen tuotantoa</t>
  </si>
  <si>
    <t>i joni_jaakkola don't always buy tableware but when do it's</t>
  </si>
  <si>
    <t>masasaarnela onko tämä anis lautanen</t>
  </si>
  <si>
    <t>joni_jaakkola tuo on vielä pahempi tai parempi kuin anis</t>
  </si>
  <si>
    <t>sananmuunnos ykkösuutisena suomi suomen kieli hr päällikkömme sanoi olevansa työkyvytön</t>
  </si>
  <si>
    <t>hr päällikkömme sanoi olevansa työkyvytön loppupäivän sillä hän ei voi</t>
  </si>
  <si>
    <t>on tää ihan hulvaton viestiketju tilannehuumori niin parasta #pentik</t>
  </si>
  <si>
    <t>jag okej nu förstod anis grejen skyller på att haft</t>
  </si>
  <si>
    <t>tekeeköhän tästä todellisen anispesun päivän hauskin juttu</t>
  </si>
  <si>
    <t>pimpinella anisruoho anisum todellakin on pukinjuurten sukuun kuuluva ruohovartinen kasvi</t>
  </si>
  <si>
    <t>linkkarista puheenollen almaonali sun soitto #pentik ille johti heidät googlailemaan</t>
  </si>
  <si>
    <t>tänään aurinko paistanut myös twitterin risukasaan ensin anis ja sitten</t>
  </si>
  <si>
    <t>näin sananmuunnoksia diggaavana mun pitänee hankkia koko anis sarja</t>
  </si>
  <si>
    <t>myös tänään alkuperäisenä perse giving daynä jolloin almaonali selvitteli kovasen</t>
  </si>
  <si>
    <t>on ja työyhteisö jos hassuttelua naurua joni_jaakkola en tiedä millainen</t>
  </si>
  <si>
    <t>putin nyt kun trendaa haastan teidät suomalaiset toimittajat laitan rahaa</t>
  </si>
  <si>
    <t>palindromeja esasalminen3 sinä tuotat niitä hämmästyttävästi kai se on joku</t>
  </si>
  <si>
    <t>minnalampinen almaonali anis kaikkien huulil en uskalla jatkaa d</t>
  </si>
  <si>
    <t>anis on tahaton kielikukkasemme sarjan nimen ympärillä herättänyt hilpeyttä mm</t>
  </si>
  <si>
    <t>se on aivan varma että meidän talouteen ostetaan anis nimisiä</t>
  </si>
  <si>
    <t>anis astiastoa suunnitellessaan lassella oli kovanen suomen kielen diminutiivi on</t>
  </si>
  <si>
    <t>almaonali tekeekö muuten mikään muu suomalaisifirma keramiikkaansa suomessa kuin #pentik</t>
  </si>
  <si>
    <t>saa nauraa ja nostaa hattua viestinnälle #viestintä</t>
  </si>
  <si>
    <t>on mie anis alfild ne kai olivat joskus myöhemmin vaihtaneet</t>
  </si>
  <si>
    <t>almaonali entä jos yrityksen perustajan taiteilijanimi anu saara</t>
  </si>
  <si>
    <t>se jutun anis astiastosta teki alma onali ystäväni ei voi</t>
  </si>
  <si>
    <t>aniksen suunnitteli kovanen lasse ei sentään jorma hesarin jutun puolestaan</t>
  </si>
  <si>
    <t>harvoin jaan kontenttia linkkarin ja twitterin välillä mutta tämä on</t>
  </si>
  <si>
    <t>anis viikon case taisi tehdä astiastosta legendan ja keräilyharvinaisuuden ehkä</t>
  </si>
  <si>
    <t>on tahaton kielikukkasemme anis sarjan nimen ympärillä herättänyt hilpeyttä mm</t>
  </si>
  <si>
    <t>näin tämä kuuluu hoitaa bravo #pentik</t>
  </si>
  <si>
    <t>pentikin posion keramiikkatehtaalle on myönnetty ekokompassi ympäristösertifikaatti vähentää ympäristölupauksensa mukaisesti</t>
  </si>
  <si>
    <t>on anis nimen herättänyt hilpeyttä tämän mie tahaton kielikukkasemme sarjan</t>
  </si>
  <si>
    <t>koodi hmm sesam dabra täytyy myöntää että alusta loppuun nerokas</t>
  </si>
  <si>
    <t>minnalampinen almaonali koska tulee arvo tuotteet</t>
  </si>
  <si>
    <t>Top Words in Tweet by Salience</t>
  </si>
  <si>
    <t>ei fiddy hesarin luetuin juttu olkaa hyvä nyt pistäkää kunnon</t>
  </si>
  <si>
    <t>mie on urani kiusallisin puhelu sellaisella asialla soittelin että mikähän</t>
  </si>
  <si>
    <t>on tahaton kielikukkasemme sarjan nimen ympärillä herättänyt hilpeyttä mm täällä</t>
  </si>
  <si>
    <t>mie anis alfild ne kai olivat joskus myöhemmin vaihtaneet nimeämiskäytäntöä</t>
  </si>
  <si>
    <t>mie tahaton kielikukkasemme sarjan ympärillä mm täällä twitterissä kunniaksi tarjoamme</t>
  </si>
  <si>
    <t>Top Word Pairs in Tweet by Count</t>
  </si>
  <si>
    <t>kafleng,matanya  matanya,kaya  kaya,pentik  pentik,juga</t>
  </si>
  <si>
    <t>melinasahara,lisajandamuda  lisajandamuda,mau  mau,berbulu  berbulu,tidak  tidak,berbulu  berbulu,yang  yang,pentik  pentik,harum</t>
  </si>
  <si>
    <t>bebasagc,oke  oke,1  1,kalimat  kalimat,diakhiri  diakhiri,dengan  dengan,titik  titik,yg  yg,pentik  pentik,ada  ada,titik</t>
  </si>
  <si>
    <t>faaayn,pentik  pentik,il  il,doit  doit,te  te,int  int,fort</t>
  </si>
  <si>
    <t>parlemen,memiliki  memiliki,peran  peran,pentik  pentik,utk  utk,perkembangan  perkembangan,demokrasi  demokrasi,#puanpemimpinkita  #puanpemimpinkita,dukung  dukung,ketua  ketua,dpr</t>
  </si>
  <si>
    <t>ot7place,pentik  pentik,donk</t>
  </si>
  <si>
    <t>pentik,anis  anis,varttuneemman  varttuneemman,herrasmiehen  herrasmiehen,elegantti  elegantti,astiasarja</t>
  </si>
  <si>
    <t>pentik,anis  ei,fiddy  fiddy,hesarin  hesarin,luetuin  luetuin,juttu  juttu,olkaa  olkaa,hyvä  hyvä,pentik  pentik,nyt  nyt,pistäkää</t>
  </si>
  <si>
    <t>ohmybeautybank,kok  kok,lentik  lentik,pny  pny,mad  mad,pls  pls,wkwk  wkwk,biasanya  biasanya,gapernah  gapernah,se  se,pentik</t>
  </si>
  <si>
    <t>missä,olit  olit,kun  kun,kuulit  kuulit,pentik  pentik,anis  anis,astiasarjasta</t>
  </si>
  <si>
    <t>tuohan,tämä  tämä,#pentik  #pentik,anis  anis,hymyä  hymyä,muuten  muuten,niin  niin,harmaaseen  harmaaseen,viestinnän  viestinnän,alkuvuoteen  alkuvuoteen,#branding</t>
  </si>
  <si>
    <t>aleksipahkala,pentik  pentik,anos</t>
  </si>
  <si>
    <t>狙ってたpentikの食器,忙しかったからあとでにしたら  忙しかったからあとでにしたら,sold  sold,outしてしまった  outしてしまった,もう2度とあんなに破格では買えないのにー  もう2度とあんなに破格では買えないのにー,仕方ないので  仕方ないので,同じシリーズの別のを買いました</t>
  </si>
  <si>
    <t>sen,jälkeen  jos,saisi  saisi,jukka  jukka,pentti  pentti,joskus  joskus,ostaa  ostaa,pentik  pentik,anis  anis,astiaston  astiaston,rovaniemeläisestä</t>
  </si>
  <si>
    <t>ihastuttava,uusi  uusi,astiasto  astiasto,pentik  pentik,anis</t>
  </si>
  <si>
    <t>aleksipahkala,wohhohhohhoo  wohhohhohhoo,pentik  pentik,anan  anan,tarjoilu</t>
  </si>
  <si>
    <t>kai,kuulitte  kuulitte,jo  jo,sen  sen,että  että,pentikillä  pentikillä,on  on,tuotesarja  tuotesarja,nimeltä  nimeltä,anis  anis,siis</t>
  </si>
  <si>
    <t>pentik,anis  anis,astiasarja  astiasarja,vanhemmille  vanhemmille,herrasmiehille  herrasmiehille,lieneekö  lieneekö,loppuun  loppuun,asti  asti,mietitty  mietitty,nimi  nimi,via</t>
  </si>
  <si>
    <t>sanileino,just  just,kun  kun,olin  olin,lukenut  lukenut,twiitin  twiitin,pentik  pentik,anis  anis,sarjasta  sarjasta,ja  ja,nyt</t>
  </si>
  <si>
    <t>vihdoinki,sain  sain,tän  tän,hyllyn  hyllyn,laitettua  laitettua,muutettiin  muutettiin,tähän  tähän,viime  viime,elokuussa  elokuussa,iski  iski,yhtäkkiä</t>
  </si>
  <si>
    <t>gapapa,ga  ga,diposting  diposting,sama  sama,ayang  ayang,yg  yg,pentik  pentik,cantik  cantik,dimata  dimata,orang  orang,lain</t>
  </si>
  <si>
    <t>yritykset,suomalaisyhtiön  suomalaisyhtiön,pentik  pentik,anis  anis,astiasto  astiasto,herättää  herättää,hilpeyttä  hilpeyttä,sosiaalisessa  sosiaalisessa,mediassa  mediassa,soitto  soitto,yhtiöön</t>
  </si>
  <si>
    <t>pentik,anis  anis,astiaston  astiaston,vaalea  vaalea,yksinkertaisuus  yksinkertaisuus,jättää  jättää,tilaa  tilaa,värikkäille  värikkäille,tekstiileille  tekstiileille,ja  ja,ruoka</t>
  </si>
  <si>
    <t>upeaa,#pentik'in  #pentik'in,posion  posion,tehtaalle  tehtaalle,#ekokompassi  #ekokompassi,#ympäristösertifikaatti  #ympäristösertifikaatti,ja  ja,tavoitteena  tavoitteena,hiilineutraali  hiilineutraali,keramiikkatehdas  keramiikkatehdas,#avainlippu</t>
  </si>
  <si>
    <t>ywitykset,suomalaisyhtiön  suomalaisyhtiön,pentik  pentik,anyis  anyis,astiasto  astiasto,hewättää  hewättää,hiwpeyttä  hiwpeyttä,sosiaawisessa  sosiaawisessa,mediassa  mediassa,cries  cries,soitto</t>
  </si>
  <si>
    <t>juhatenhonen,joo  joo,tää  tää,on  on,aika  aika,onnistunut  onnistunut,etenkin  etenkin,kun  kun,a  a,astiasto  astiasto,on</t>
  </si>
  <si>
    <t>eräässä,kaveripiirissä  kaveripiirissä,minusta  minusta,käytetään  käytetään,vasen  vasen,pakki  pakki,arto  arto,ruotasesta  ruotasesta,johdettua  johdettua,lempinimeä  lempinimeä,arse</t>
  </si>
  <si>
    <t>pentik,olisi  olisi,tarvinnut  tarvinnut,#kieliasiantuntija'a  #kieliasiantuntija'a,jolla  jolla,on  on,luova  luova,ja  ja,likainen  likainen,mielikuvitus</t>
  </si>
  <si>
    <t>pentik,anis  anis,hieman  hieman,ohimoilta  ohimoilta,harmaantuneen  harmaantuneen,herrasmiehen  herrasmiehen,astiastovalinta</t>
  </si>
  <si>
    <t>almaonali,kansa  kansa,vaatii  vaatii,pentik  pentik,arvoa</t>
  </si>
  <si>
    <t>pentik,anis  urani,kiusallisin  kiusallisin,puhelu  puhelu,mie  mie,sellaisella  sellaisella,asialla  asialla,soittelin  soittelin,että  että,mikähän  mikähän,on</t>
  </si>
  <si>
    <t>almaonali,pentik  pentik,tämä  tämä,on  on,meidän  meidän,taholta  taholta,tahaton  tahaton,kikkelikukkanen  kikkelikukkanen,joka  joka,valkeni  valkeni,meille</t>
  </si>
  <si>
    <t>pentik,aniksesta  aniksesta,saa  saa,erään  erään,otsikon  otsikon,mukaan  mukaan,kaksimielisen  kaksimielisen,sananmuunnoksen  sananmuunnoksen,mä  mä,en  en,kyllä</t>
  </si>
  <si>
    <t>pitkäaikaisena,sananmuunnosten  sananmuunnosten,ystävänä  ystävänä,arvostan  arvostan,tätä  tätä,artikkelia  artikkelia,kovasti  kovasti,mies  mies,ihmettelee  ihmettelee,kun  kun,nauran</t>
  </si>
  <si>
    <t>pentik,anis  anis,oli  oli,kyllä  kyllä,just  just,sitä  sitä,mitä  mitä,nyt  nyt,tähän  tähän,väliin  väliin,kaivattiin</t>
  </si>
  <si>
    <t>tuote,nimetään  nimetään,uudelleen  uudelleen,tunnistettavuus  tunnistettavuus,säilyttäen  säilyttäen,sekä  sekä,pentikin  pentikin,brand  brand,heritagen  heritagen,mukaiseksi  mukaiseksi,pentik</t>
  </si>
  <si>
    <t>pentik,anis  anis,kovasen  kovasen,lassen  lassen,tuotantoa</t>
  </si>
  <si>
    <t>joni_jaakkola,i  i,don't  don't,always  always,buy  buy,tableware  tableware,but  but,when  when,i  i,do  do,it's</t>
  </si>
  <si>
    <t>masasaarnela,onko  onko,tämä  tämä,pentik  pentik,anis  anis,lautanen</t>
  </si>
  <si>
    <t>joni_jaakkola,tuo  tuo,on  on,vielä  vielä,pahempi  pahempi,tai  tai,parempi  parempi,kuin  kuin,pentik  pentik,anis</t>
  </si>
  <si>
    <t>sananmuunnos,ykkösuutisena  ykkösuutisena,suomi  suomi,suomen  suomen,kieli  kieli,hr  hr,päällikkömme  päällikkömme,sanoi  sanoi,olevansa  olevansa,työkyvytön  työkyvytön,loppupäivän</t>
  </si>
  <si>
    <t>hr,päällikkömme  päällikkömme,sanoi  sanoi,olevansa  olevansa,työkyvytön  työkyvytön,loppupäivän  loppupäivän,sillä  sillä,hän  hän,ei  ei,voi  voi,lopettaa</t>
  </si>
  <si>
    <t>tää,on  on,ihan  ihan,hulvaton  hulvaton,viestiketju  viestiketju,tilannehuumori  tilannehuumori,on  on,niin  niin,parasta  parasta,#pentik</t>
  </si>
  <si>
    <t>okej,nu  nu,förstod  förstod,jag  jag,pentik  pentik,anis  anis,grejen  grejen,skyller  skyller,på  på,att  att,jag</t>
  </si>
  <si>
    <t>tekeeköhän,pentik  pentik,tästä  tästä,todellisen  todellisen,anispesun  anispesun,päivän  päivän,hauskin  hauskin,juttu</t>
  </si>
  <si>
    <t>anisruoho,pimpinella  pimpinella,anisum  anisum,todellakin  todellakin,on  on,pukinjuurten  pukinjuurten,pimpinella  pimpinella,sukuun  sukuun,kuuluva  kuuluva,ruohovartinen  ruohovartinen,kasvi</t>
  </si>
  <si>
    <t>linkkarista,puheenollen  puheenollen,almaonali  almaonali,sun  sun,soitto  soitto,#pentik  #pentik,ille  ille,johti  johti,heidät  heidät,googlailemaan  googlailemaan,aniksesta</t>
  </si>
  <si>
    <t>tänään,aurinko  aurinko,paistanut  paistanut,myös  myös,twitterin  twitterin,risukasaan  risukasaan,ensin  ensin,pentik  pentik,anis  anis,ja  ja,sitten</t>
  </si>
  <si>
    <t>näin,sananmuunnoksia  sananmuunnoksia,diggaavana  diggaavana,mun  mun,pitänee  pitänee,hankkia  hankkia,koko  koko,pentik  pentik,anis  anis,sarja</t>
  </si>
  <si>
    <t>tänään,alkuperäisenä  alkuperäisenä,perse  perse,giving  giving,daynä  daynä,jolloin  jolloin,myös  myös,almaonali  almaonali,selvitteli  selvitteli,myös  myös,kovasen</t>
  </si>
  <si>
    <t>hassuttelua,ja  ja,naurua  joni_jaakkola,en  en,tiedä  tiedä,millainen  millainen,työyhteisö  työyhteisö,pentikillä  pentikillä,on  on,noita  noita,suunnitellessa</t>
  </si>
  <si>
    <t>nyt,kun  kun,#pentikanis  #pentikanis,trendaa  trendaa,haastan  haastan,teidät  teidät,suomalaiset  suomalaiset,toimittajat  toimittajat,laitan  laitan,rahaa  rahaa,likoon</t>
  </si>
  <si>
    <t>esasalminen3,sinä  sinä,tuotat  tuotat,niitä  niitä,palindromeja  palindromeja,hämmästyttävästi  hämmästyttävästi,kai  kai,se  se,on  on,joku  joku,eri</t>
  </si>
  <si>
    <t>minnalampinen,almaonali  almaonali,pentik  pentik,anis  anis,kaikkien  kaikkien,huulil  huulil,en  en,uskalla  uskalla,jatkaa  jatkaa,d</t>
  </si>
  <si>
    <t>pentik,anis  tahaton,kielikukkasemme  kielikukkasemme,pentik  anis,sarjan  sarjan,nimen  nimen,ympärillä  ympärillä,on  on,herättänyt  herättänyt,hilpeyttä  hilpeyttä,mm</t>
  </si>
  <si>
    <t>se,on  on,aivan  aivan,varma  varma,että  että,meidän  meidän,talouteen  talouteen,ostetaan  ostetaan,pentik  pentik,anis  anis,nimisiä</t>
  </si>
  <si>
    <t>pentik,anis  anis,astiastoa  astiastoa,suunnitellessaan  suunnitellessaan,lassella  lassella,oli  oli,kovanen  kovanen,suomen  suomen,kielen  kielen,diminutiivi  diminutiivi,on</t>
  </si>
  <si>
    <t>almaonali,tekeekö  tekeekö,muuten  muuten,mikään  mikään,muu  muu,suomalaisifirma  suomalaisifirma,keramiikkaansa  keramiikkaansa,suomessa  suomessa,kuin  kuin,#pentik  #pentik,arvostan</t>
  </si>
  <si>
    <t>saa,nauraa  nauraa,ja  ja,nostaa  nostaa,hattua  hattua,viestinnälle  viestinnälle,#viestintä  #viestintä,#pentikanis</t>
  </si>
  <si>
    <t>pentik,anis  alfild,ne  ne,kai  kai,olivat  olivat,joskus  joskus,myöhemmin  myöhemmin,vaihtaneet  vaihtaneet,nimeämiskäytäntöä  nimeämiskäytäntöä,ja  ja,alkaneet</t>
  </si>
  <si>
    <t>almaonali,entä  entä,jos  jos,yrityksen  yrityksen,perustajan  perustajan,taiteilijanimi  taiteilijanimi,anu  anu,saara  saara,pentik</t>
  </si>
  <si>
    <t>jutun,pentik  pentik,anis  anis,astiastosta  astiastosta,teki  teki,alma  alma,onali  onali,ystäväni  ystäväni,ei  ei,voi  voi,lopettaa</t>
  </si>
  <si>
    <t>pentik,aniksen  aniksen,suunnitteli  suunnitteli,kovanen  kovanen,lasse  lasse,ei  ei,sentään  sentään,jorma  jorma,hesarin  hesarin,jutun  jutun,puolestaan</t>
  </si>
  <si>
    <t>harvoin,jaan  jaan,kontenttia  kontenttia,linkkarin  linkkarin,ja  ja,twitterin  twitterin,välillä  välillä,mutta  mutta,tämä  tämä,on  on,kyllä</t>
  </si>
  <si>
    <t>pentik,anis  viikon,pentik  anis,case  case,taisi  taisi,tehdä  tehdä,astiastosta  astiastosta,legendan  legendan,ja  ja,keräilyharvinaisuuden  keräilyharvinaisuuden,ehkä</t>
  </si>
  <si>
    <t>tahaton,kielikukkasemme  kielikukkasemme,pentik  pentik,anis  anis,sarjan  sarjan,nimen  nimen,ympärillä  ympärillä,on  on,herättänyt  herättänyt,hilpeyttä  hilpeyttä,mm</t>
  </si>
  <si>
    <t>näin,tämä  tämä,kuuluu  kuuluu,hoitaa  hoitaa,bravo  bravo,pentik  pentik,#pentik  #pentik,#pentikanis</t>
  </si>
  <si>
    <t>pentikin,posion  posion,keramiikkatehtaalle  keramiikkatehtaalle,on  on,myönnetty  myönnetty,ekokompassi  ekokompassi,ympäristösertifikaatti  ympäristösertifikaatti,pentik  pentik,vähentää  vähentää,ympäristölupauksensa  ympäristölupauksensa,mukaisesti</t>
  </si>
  <si>
    <t>pentik,anis  on,herättänyt  herättänyt,hilpeyttä  tahaton,kielikukkasemme  kielikukkasemme,pentik  anis,sarjan  sarjan,nimen  nimen,ympärillä  ympärillä,on  hilpeyttä,mm</t>
  </si>
  <si>
    <t>hmm,koodi  koodi,koodi  koodi,sesam  sesam,dabra  dabra,täytyy  täytyy,myöntää  myöntää,että  että,alusta  alusta,loppuun  loppuun,nerokas</t>
  </si>
  <si>
    <t>minnalampinen,almaonali  almaonali,koska  koska,tulee  tulee,pentik  pentik,arvo  arvo,tuotteet</t>
  </si>
  <si>
    <t>Top Word Pairs in Tweet by Salience</t>
  </si>
  <si>
    <t>ei,fiddy  fiddy,hesarin  hesarin,luetuin  luetuin,juttu  juttu,olkaa  olkaa,hyvä  hyvä,pentik  pentik,nyt  nyt,pistäkää  pistäkää,kunnon</t>
  </si>
  <si>
    <t>urani,kiusallisin  kiusallisin,puhelu  puhelu,mie  mie,sellaisella  sellaisella,asialla  asialla,soittelin  soittelin,että  että,mikähän  mikähän,on  on,tarina</t>
  </si>
  <si>
    <t>tahaton,kielikukkasemme  kielikukkasemme,pentik  anis,sarjan  sarjan,nimen  nimen,ympärillä  ympärillä,on  on,herättänyt  herättänyt,hilpeyttä  hilpeyttä,mm  mm,täällä</t>
  </si>
  <si>
    <t>tahaton,kielikukkasemme  kielikukkasemme,pentik  anis,sarjan  sarjan,nimen  nimen,ympärillä  ympärillä,on  hilpeyttä,mm  mm,täällä  täällä,twitterissä  twitterissä,tämän</t>
  </si>
  <si>
    <t>192, 192, 192</t>
  </si>
  <si>
    <t>Red</t>
  </si>
  <si>
    <t>Green</t>
  </si>
  <si>
    <t>85, 85, 0</t>
  </si>
  <si>
    <t>7, 125, 0</t>
  </si>
  <si>
    <t>99, 79, 0</t>
  </si>
  <si>
    <t>170, 43, 0</t>
  </si>
  <si>
    <t>203, 26, 0</t>
  </si>
  <si>
    <t>13, 121, 0</t>
  </si>
  <si>
    <t>125, 66, 0</t>
  </si>
  <si>
    <t>20, 118, 0</t>
  </si>
  <si>
    <t>26, 115, 0</t>
  </si>
  <si>
    <t>33, 112, 0</t>
  </si>
  <si>
    <t>112, 72, 0</t>
  </si>
  <si>
    <t>39, 108, 0</t>
  </si>
  <si>
    <t>46, 105, 0</t>
  </si>
  <si>
    <t>53, 102, 0</t>
  </si>
  <si>
    <t>59, 98, 0</t>
  </si>
  <si>
    <t>143, 56, 0</t>
  </si>
  <si>
    <t>72, 92, 0</t>
  </si>
  <si>
    <t>79, 89, 0</t>
  </si>
  <si>
    <t>G1: pentik</t>
  </si>
  <si>
    <t>G3: pentik pentikanis puanpemimpinkita markkinointi anis branding rovaniemi munansaannos kieliasiantuntija antikpenis</t>
  </si>
  <si>
    <t>G4: pentikanis</t>
  </si>
  <si>
    <t>G7: vintage salvia pentik finland vase</t>
  </si>
  <si>
    <t>G9: lappi keramiikka</t>
  </si>
  <si>
    <t>G12: pentikanis</t>
  </si>
  <si>
    <t>G18: pentik ekokompassi ympäristösertifikaatti avainlippu designfromfinland suomalainentyo</t>
  </si>
  <si>
    <t>Edge Weight▓1▓1▓0▓True▓Silver▓Red▓▓Edge Weight▓1▓1▓0▓1▓10▓True▓Edge Weight▓1▓1▓0▓32▓10▓False▓▓0▓0▓0▓True▓Black▓Black▓▓In-Degree▓1▓5▓0▓10▓1000▓True▓▓0▓0▓0▓0▓0▓False▓▓0▓0▓0▓0▓0▓False▓▓0▓0▓0▓0▓0▓False</t>
  </si>
  <si>
    <t>GraphSource░TwitterSearch▓GraphTerm░pentik OR #pentikanis▓ImportDescription░The graph represents a network of 276 Twitter users whose recent tweets contained "pentik OR #pentikanis", or who were replied to or mentioned in those tweets, taken from a data set limited to a maximum of 18 000 tweets.  The network was obtained from Twitter on Friday, 25 March 2022 at 10:40 UTC.
The tweets in the network were tweeted over the 6-day, 17-hour, 33-minute period from Friday, 18 March 2022 at 17:02 UTC to Friday, 25 March 2022 at 10:36 UTC.
There is an edge for each "replies-to" relationship in a tweet, an edge for each "mentions" relationship in a tweet, and a self-loop edge for each tweet that is not a "replies-to" or "mentions".▓ImportSuggestedTitle░pentik OR #pentikanis Twitter NodeXL SNA Map and Report for perjantai, 25 maaliskuuta 2022 at 10.40 UTC▓ImportSuggestedFileNameNoExtension░2022-03-25 10-40-20 NodeXL Twitter Search pentik OR #pentikanis▓GroupingDescription░The graph's vertices were grouped by cluster using the Clauset-Newman-Moore cluster algorithm.▓LayoutAlgorithm░The graph was laid out using the Fruchterman-Reingold layout algorithm.▓GraphDirectedness░The graph is directed.</t>
  </si>
  <si>
    <t xml:space="preserve">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&lt;/</t>
  </si>
  <si>
    <t>setting&gt;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&lt;value&gt;PackedRectangles&lt;/value&gt;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t>
  </si>
  <si>
    <t>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</si>
  <si>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</si>
  <si>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pentik OR #pentikanis</t>
  </si>
  <si>
    <t>The graph represents a network of 276 Twitter users whose recent tweets contained "pentik OR #pentikanis", or who were replied to or mentioned in those tweets, taken from a data set limited to a maximum of 18 000 tweets.  The network was obtained from Twitter on Friday, 25 March 2022 at 10:40 UTC.
The tweets in the network were tweeted over the 6-day, 17-hour, 33-minute period from Friday, 18 March 2022 at 17:02 UTC to Friday, 25 March 2022 at 10:36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</si>
  <si>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</si>
  <si>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</si>
  <si>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https://nodexlgraphgallery.org/Pages/Graph.aspx?graphID=273700</t>
  </si>
  <si>
    <t>https://nodexlgraphgallery.org/Images/Image.ashx?graphID=273700&amp;type=f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</si>
</sst>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887678"/>
        <c:axId val="60227055"/>
      </c:barChart>
      <c:catAx>
        <c:axId val="588876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227055"/>
        <c:crosses val="autoZero"/>
        <c:auto val="1"/>
        <c:lblOffset val="100"/>
        <c:noMultiLvlLbl val="0"/>
      </c:catAx>
      <c:valAx>
        <c:axId val="60227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7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72584"/>
        <c:axId val="46553257"/>
      </c:barChart>
      <c:catAx>
        <c:axId val="51725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553257"/>
        <c:crosses val="autoZero"/>
        <c:auto val="1"/>
        <c:lblOffset val="100"/>
        <c:noMultiLvlLbl val="0"/>
      </c:catAx>
      <c:valAx>
        <c:axId val="4655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2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326130"/>
        <c:axId val="12717443"/>
      </c:barChart>
      <c:catAx>
        <c:axId val="163261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717443"/>
        <c:crosses val="autoZero"/>
        <c:auto val="1"/>
        <c:lblOffset val="100"/>
        <c:noMultiLvlLbl val="0"/>
      </c:catAx>
      <c:valAx>
        <c:axId val="12717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26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348124"/>
        <c:axId val="23479933"/>
      </c:barChart>
      <c:catAx>
        <c:axId val="473481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479933"/>
        <c:crosses val="autoZero"/>
        <c:auto val="1"/>
        <c:lblOffset val="100"/>
        <c:noMultiLvlLbl val="0"/>
      </c:catAx>
      <c:valAx>
        <c:axId val="23479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48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992806"/>
        <c:axId val="22826391"/>
      </c:barChart>
      <c:catAx>
        <c:axId val="99928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826391"/>
        <c:crosses val="autoZero"/>
        <c:auto val="1"/>
        <c:lblOffset val="100"/>
        <c:noMultiLvlLbl val="0"/>
      </c:catAx>
      <c:valAx>
        <c:axId val="22826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92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10928"/>
        <c:axId val="36998353"/>
      </c:barChart>
      <c:catAx>
        <c:axId val="41109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998353"/>
        <c:crosses val="autoZero"/>
        <c:auto val="1"/>
        <c:lblOffset val="100"/>
        <c:noMultiLvlLbl val="0"/>
      </c:catAx>
      <c:valAx>
        <c:axId val="36998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549722"/>
        <c:axId val="44076587"/>
      </c:barChart>
      <c:catAx>
        <c:axId val="645497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076587"/>
        <c:crosses val="autoZero"/>
        <c:auto val="1"/>
        <c:lblOffset val="100"/>
        <c:noMultiLvlLbl val="0"/>
      </c:catAx>
      <c:valAx>
        <c:axId val="4407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49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144964"/>
        <c:axId val="13433765"/>
      </c:barChart>
      <c:catAx>
        <c:axId val="611449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433765"/>
        <c:crosses val="autoZero"/>
        <c:auto val="1"/>
        <c:lblOffset val="100"/>
        <c:noMultiLvlLbl val="0"/>
      </c:catAx>
      <c:valAx>
        <c:axId val="1343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44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795022"/>
        <c:axId val="14393151"/>
      </c:barChart>
      <c:catAx>
        <c:axId val="53795022"/>
        <c:scaling>
          <c:orientation val="minMax"/>
        </c:scaling>
        <c:axPos val="b"/>
        <c:delete val="1"/>
        <c:majorTickMark val="out"/>
        <c:minorTickMark val="none"/>
        <c:tickLblPos val="none"/>
        <c:crossAx val="14393151"/>
        <c:crosses val="autoZero"/>
        <c:auto val="1"/>
        <c:lblOffset val="100"/>
        <c:noMultiLvlLbl val="0"/>
      </c:catAx>
      <c:valAx>
        <c:axId val="14393151"/>
        <c:scaling>
          <c:orientation val="minMax"/>
        </c:scaling>
        <c:axPos val="l"/>
        <c:delete val="1"/>
        <c:majorTickMark val="out"/>
        <c:minorTickMark val="none"/>
        <c:tickLblPos val="none"/>
        <c:crossAx val="537950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80" totalsRowShown="0" headerRowDxfId="443" dataDxfId="407">
  <autoFilter ref="A2:BN280"/>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9" totalsRowShown="0" headerRowDxfId="295" dataDxfId="294">
  <autoFilter ref="A1:G42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4" totalsRowShown="0" headerRowDxfId="286" dataDxfId="285">
  <autoFilter ref="A1:L354"/>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58" totalsRowShown="0" headerRowDxfId="244" dataDxfId="243">
  <autoFilter ref="A1:C4858"/>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235" dataDxfId="234">
  <autoFilter ref="A2:C29"/>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2" totalsRowShown="0" headerRowDxfId="186" dataDxfId="185">
  <autoFilter ref="A14:V22"/>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8" totalsRowShown="0" headerRowDxfId="442" dataDxfId="393">
  <autoFilter ref="A2:BT278"/>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5:V35" totalsRowShown="0" headerRowDxfId="161" dataDxfId="160">
  <autoFilter ref="A25:V35"/>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8:V48" totalsRowShown="0" headerRowDxfId="136" dataDxfId="135">
  <autoFilter ref="A38:V48"/>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1:V61" totalsRowShown="0" headerRowDxfId="111" dataDxfId="110">
  <autoFilter ref="A51:V61"/>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4:V74" totalsRowShown="0" headerRowDxfId="86" dataDxfId="85">
  <autoFilter ref="A64:V74"/>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7:V81" totalsRowShown="0" headerRowDxfId="83" dataDxfId="82">
  <autoFilter ref="A77:V81"/>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4:V94" totalsRowShown="0" headerRowDxfId="36" dataDxfId="35">
  <autoFilter ref="A84:V94"/>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41">
  <autoFilter ref="A2:AO26"/>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7" totalsRowShown="0" headerRowDxfId="438" dataDxfId="437">
  <autoFilter ref="A1:C277"/>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hs.fi/talous/art-2000008704863.html" TargetMode="External" /><Relationship Id="rId2" Type="http://schemas.openxmlformats.org/officeDocument/2006/relationships/hyperlink" Target="https://twitter.com/DarthPutinKGB/status/1507079035528126470" TargetMode="External" /><Relationship Id="rId3" Type="http://schemas.openxmlformats.org/officeDocument/2006/relationships/hyperlink" Target="https://twitter.com/almaonali/status/1506994320288759817" TargetMode="External" /><Relationship Id="rId4" Type="http://schemas.openxmlformats.org/officeDocument/2006/relationships/hyperlink" Target="https://www.ebay.com/itm/185318779952?mkevt=1&amp;mkcid=16&amp;mkrid=711-127632-2357-0&amp;media=TWITTER&amp;sojTags=media%3Dmedia" TargetMode="External" /><Relationship Id="rId5" Type="http://schemas.openxmlformats.org/officeDocument/2006/relationships/hyperlink" Target="https://twitter.com/MinnaLampinen/status/1507295956009639939" TargetMode="External" /><Relationship Id="rId6" Type="http://schemas.openxmlformats.org/officeDocument/2006/relationships/hyperlink" Target="https://www.pentik.com/collections/anis" TargetMode="External" /><Relationship Id="rId7" Type="http://schemas.openxmlformats.org/officeDocument/2006/relationships/hyperlink" Target="https://www.pentik.com/collections/anis?gclid=CjwKCAjwxOCRBhA8EiwA0X8hi9Gk80gFEnaj3jQNsvfA4dxl6tXhZA4BiJyx_lKeygCqudYr6q_vDhoC5SMQAvD_BwE" TargetMode="External" /><Relationship Id="rId8" Type="http://schemas.openxmlformats.org/officeDocument/2006/relationships/hyperlink" Target="https://www.hs.fi/talous/art-2000008704863.html?share=59c56cf8b07d650537f4bc62829a94af" TargetMode="External" /><Relationship Id="rId9" Type="http://schemas.openxmlformats.org/officeDocument/2006/relationships/hyperlink" Target="https://twitter.com/AlmaOnali/status/1506994320288759817" TargetMode="External" /><Relationship Id="rId10" Type="http://schemas.openxmlformats.org/officeDocument/2006/relationships/hyperlink" Target="https://suomalainentyo.fi/2022/03/24/kohti-hiilineutraalia-pentik-keramiikkatehdasta-ensimmaisena-askeleena-posion-tehtaalle-ekokompassi-ymparistosertifikaatti/" TargetMode="External" /><Relationship Id="rId11" Type="http://schemas.openxmlformats.org/officeDocument/2006/relationships/hyperlink" Target="https://www.hs.fi/talous/art-2000008704863.html" TargetMode="External" /><Relationship Id="rId12" Type="http://schemas.openxmlformats.org/officeDocument/2006/relationships/hyperlink" Target="https://twitter.com/DarthPutinKGB/status/1507079035528126470" TargetMode="External" /><Relationship Id="rId13" Type="http://schemas.openxmlformats.org/officeDocument/2006/relationships/hyperlink" Target="https://www.linkedin.com/posts/riikka-wulff_onhan-se-hirmu-kivaa-olla-t%C3%A4m%C3%A4n-hetken-hesarin-activity-6912775396618907648-oqEF?utm_source=linkedin_share&amp;utm_medium=ios_app" TargetMode="External" /><Relationship Id="rId14" Type="http://schemas.openxmlformats.org/officeDocument/2006/relationships/hyperlink" Target="https://www.hs.fi/talous/art-2000008704863.html" TargetMode="External" /><Relationship Id="rId15" Type="http://schemas.openxmlformats.org/officeDocument/2006/relationships/hyperlink" Target="https://www.hs.fi/talous/art-2000008704863.html" TargetMode="External" /><Relationship Id="rId16" Type="http://schemas.openxmlformats.org/officeDocument/2006/relationships/hyperlink" Target="https://twitter.com/almaonali/status/1506994320288759817" TargetMode="External" /><Relationship Id="rId17" Type="http://schemas.openxmlformats.org/officeDocument/2006/relationships/hyperlink" Target="https://twitter.com/aleksipahkala/status/1506619784791826438" TargetMode="External" /><Relationship Id="rId18" Type="http://schemas.openxmlformats.org/officeDocument/2006/relationships/hyperlink" Target="https://twitter.com/AlmaOnali/status/1506994320288759817" TargetMode="External" /><Relationship Id="rId19" Type="http://schemas.openxmlformats.org/officeDocument/2006/relationships/hyperlink" Target="https://www.hs.fi/talous/art-2000008704863.html?share=59c56cf8b07d650537f4bc62829a94af" TargetMode="External" /><Relationship Id="rId20" Type="http://schemas.openxmlformats.org/officeDocument/2006/relationships/hyperlink" Target="https://twitter.com/MinnaLampinen/status/1507295956009639939" TargetMode="External" /><Relationship Id="rId21" Type="http://schemas.openxmlformats.org/officeDocument/2006/relationships/hyperlink" Target="https://www.reddit.com/r/Suomi/comments/tkwpbr/pentik_anis_astiasarja_vanhemmille_herrasmiehille/?utm_source=ifttt" TargetMode="External" /><Relationship Id="rId22" Type="http://schemas.openxmlformats.org/officeDocument/2006/relationships/hyperlink" Target="https://www.hs.fi/talous/art-2000008704863.html?utm_source=dlvr.it&amp;utm_medium=twitter" TargetMode="External" /><Relationship Id="rId23" Type="http://schemas.openxmlformats.org/officeDocument/2006/relationships/hyperlink" Target="https://twitter.com/joni_jaakkola/status/1506997454335627272" TargetMode="External" /><Relationship Id="rId24" Type="http://schemas.openxmlformats.org/officeDocument/2006/relationships/hyperlink" Target="https://www.pentik.com/collections/anis" TargetMode="External" /><Relationship Id="rId25" Type="http://schemas.openxmlformats.org/officeDocument/2006/relationships/hyperlink" Target="https://www.pentik.com/collections/anis" TargetMode="External" /><Relationship Id="rId26" Type="http://schemas.openxmlformats.org/officeDocument/2006/relationships/hyperlink" Target="https://www.hs.fi/talous/art-2000008704863.html" TargetMode="External" /><Relationship Id="rId27" Type="http://schemas.openxmlformats.org/officeDocument/2006/relationships/hyperlink" Target="https://www.hs.fi/talous/art-2000008704863.html" TargetMode="External" /><Relationship Id="rId28" Type="http://schemas.openxmlformats.org/officeDocument/2006/relationships/hyperlink" Target="https://www.ebay.com/itm/185318779952?mkevt=1&amp;mkcid=16&amp;mkrid=711-127632-2357-0&amp;media=TWITTER&amp;sojTags=media%3Dmedia" TargetMode="External" /><Relationship Id="rId29" Type="http://schemas.openxmlformats.org/officeDocument/2006/relationships/hyperlink" Target="https://www.lapinkansa.fi/pentik-sai-keramiikkatehtaalleen-posiolle-ymparist/4463159" TargetMode="External" /><Relationship Id="rId30" Type="http://schemas.openxmlformats.org/officeDocument/2006/relationships/hyperlink" Target="https://www.hs.fi/talous/art-2000008704863.html" TargetMode="Externa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2424</v>
      </c>
      <c r="BD2" s="13" t="s">
        <v>2462</v>
      </c>
      <c r="BE2" s="13" t="s">
        <v>2463</v>
      </c>
      <c r="BF2" s="54" t="s">
        <v>2678</v>
      </c>
      <c r="BG2" s="54" t="s">
        <v>2679</v>
      </c>
      <c r="BH2" s="54" t="s">
        <v>2680</v>
      </c>
      <c r="BI2" s="54" t="s">
        <v>2681</v>
      </c>
      <c r="BJ2" s="54" t="s">
        <v>2682</v>
      </c>
      <c r="BK2" s="54" t="s">
        <v>2683</v>
      </c>
      <c r="BL2" s="54" t="s">
        <v>2684</v>
      </c>
      <c r="BM2" s="54" t="s">
        <v>2685</v>
      </c>
      <c r="BN2" s="54" t="s">
        <v>2686</v>
      </c>
    </row>
    <row r="3" spans="1:66" ht="15" customHeight="1">
      <c r="A3" s="65" t="s">
        <v>485</v>
      </c>
      <c r="B3" s="65" t="s">
        <v>500</v>
      </c>
      <c r="C3" s="66" t="s">
        <v>4392</v>
      </c>
      <c r="D3" s="67">
        <v>1</v>
      </c>
      <c r="E3" s="68" t="s">
        <v>132</v>
      </c>
      <c r="F3" s="69">
        <v>32</v>
      </c>
      <c r="G3" s="66" t="s">
        <v>51</v>
      </c>
      <c r="H3" s="70"/>
      <c r="I3" s="71"/>
      <c r="J3" s="71"/>
      <c r="K3" s="35" t="s">
        <v>65</v>
      </c>
      <c r="L3" s="72">
        <v>3</v>
      </c>
      <c r="M3" s="72"/>
      <c r="N3" s="73"/>
      <c r="O3" s="80" t="s">
        <v>502</v>
      </c>
      <c r="P3" s="82">
        <v>44638.71</v>
      </c>
      <c r="Q3" s="80" t="s">
        <v>578</v>
      </c>
      <c r="R3" s="80"/>
      <c r="S3" s="80"/>
      <c r="T3" s="80"/>
      <c r="U3" s="80"/>
      <c r="V3" s="86" t="str">
        <f>HYPERLINK("https://pbs.twimg.com/profile_images/1475844172670144512/EnlgWQnN_normal.png")</f>
        <v>https://pbs.twimg.com/profile_images/1475844172670144512/EnlgWQnN_normal.png</v>
      </c>
      <c r="W3" s="82">
        <v>44638.71</v>
      </c>
      <c r="X3" s="87">
        <v>44638</v>
      </c>
      <c r="Y3" s="89" t="s">
        <v>872</v>
      </c>
      <c r="Z3" s="86" t="str">
        <f>HYPERLINK("https://twitter.com/vlijeu/status/1504865817305169920")</f>
        <v>https://twitter.com/vlijeu/status/1504865817305169920</v>
      </c>
      <c r="AA3" s="80"/>
      <c r="AB3" s="80"/>
      <c r="AC3" s="89" t="s">
        <v>1142</v>
      </c>
      <c r="AD3" s="89" t="s">
        <v>1158</v>
      </c>
      <c r="AE3" s="80" t="b">
        <v>0</v>
      </c>
      <c r="AF3" s="80">
        <v>0</v>
      </c>
      <c r="AG3" s="89" t="s">
        <v>1175</v>
      </c>
      <c r="AH3" s="80" t="b">
        <v>0</v>
      </c>
      <c r="AI3" s="80" t="s">
        <v>1176</v>
      </c>
      <c r="AJ3" s="80"/>
      <c r="AK3" s="89" t="s">
        <v>1162</v>
      </c>
      <c r="AL3" s="80" t="b">
        <v>0</v>
      </c>
      <c r="AM3" s="80">
        <v>0</v>
      </c>
      <c r="AN3" s="89" t="s">
        <v>1162</v>
      </c>
      <c r="AO3" s="89" t="s">
        <v>1190</v>
      </c>
      <c r="AP3" s="80" t="b">
        <v>0</v>
      </c>
      <c r="AQ3" s="89" t="s">
        <v>1158</v>
      </c>
      <c r="AR3" s="80" t="s">
        <v>187</v>
      </c>
      <c r="AS3" s="80">
        <v>0</v>
      </c>
      <c r="AT3" s="80">
        <v>0</v>
      </c>
      <c r="AU3" s="80"/>
      <c r="AV3" s="80"/>
      <c r="AW3" s="80"/>
      <c r="AX3" s="80"/>
      <c r="AY3" s="80"/>
      <c r="AZ3" s="80"/>
      <c r="BA3" s="80"/>
      <c r="BB3" s="80"/>
      <c r="BC3">
        <v>1</v>
      </c>
      <c r="BD3" s="80" t="str">
        <f>REPLACE(INDEX(GroupVertices[Group],MATCH(Edges[[#This Row],[Vertex 1]],GroupVertices[Vertex],0)),1,1,"")</f>
        <v>24</v>
      </c>
      <c r="BE3" s="80" t="str">
        <f>REPLACE(INDEX(GroupVertices[Group],MATCH(Edges[[#This Row],[Vertex 2]],GroupVertices[Vertex],0)),1,1,"")</f>
        <v>24</v>
      </c>
      <c r="BF3" s="49">
        <v>0</v>
      </c>
      <c r="BG3" s="50">
        <v>0</v>
      </c>
      <c r="BH3" s="49">
        <v>0</v>
      </c>
      <c r="BI3" s="50">
        <v>0</v>
      </c>
      <c r="BJ3" s="49">
        <v>0</v>
      </c>
      <c r="BK3" s="50">
        <v>0</v>
      </c>
      <c r="BL3" s="49">
        <v>5</v>
      </c>
      <c r="BM3" s="50">
        <v>100</v>
      </c>
      <c r="BN3" s="49">
        <v>5</v>
      </c>
    </row>
    <row r="4" spans="1:66" ht="15" customHeight="1">
      <c r="A4" s="65" t="s">
        <v>225</v>
      </c>
      <c r="B4" s="65" t="s">
        <v>486</v>
      </c>
      <c r="C4" s="66" t="s">
        <v>4392</v>
      </c>
      <c r="D4" s="67">
        <v>1</v>
      </c>
      <c r="E4" s="68" t="s">
        <v>132</v>
      </c>
      <c r="F4" s="69">
        <v>32</v>
      </c>
      <c r="G4" s="66" t="s">
        <v>51</v>
      </c>
      <c r="H4" s="70"/>
      <c r="I4" s="71"/>
      <c r="J4" s="71"/>
      <c r="K4" s="35" t="s">
        <v>65</v>
      </c>
      <c r="L4" s="79">
        <v>4</v>
      </c>
      <c r="M4" s="79"/>
      <c r="N4" s="73"/>
      <c r="O4" s="81" t="s">
        <v>501</v>
      </c>
      <c r="P4" s="83">
        <v>44639.393125</v>
      </c>
      <c r="Q4" s="81" t="s">
        <v>505</v>
      </c>
      <c r="R4" s="81"/>
      <c r="S4" s="81"/>
      <c r="T4" s="81"/>
      <c r="U4" s="81"/>
      <c r="V4" s="84" t="str">
        <f>HYPERLINK("https://pbs.twimg.com/profile_images/1503800675712794630/8YCm3bSw_normal.jpg")</f>
        <v>https://pbs.twimg.com/profile_images/1503800675712794630/8YCm3bSw_normal.jpg</v>
      </c>
      <c r="W4" s="83">
        <v>44639.393125</v>
      </c>
      <c r="X4" s="88">
        <v>44639</v>
      </c>
      <c r="Y4" s="85" t="s">
        <v>604</v>
      </c>
      <c r="Z4" s="84" t="str">
        <f>HYPERLINK("https://twitter.com/ihdaltandigau/status/1505113371678748673")</f>
        <v>https://twitter.com/ihdaltandigau/status/1505113371678748673</v>
      </c>
      <c r="AA4" s="81"/>
      <c r="AB4" s="81"/>
      <c r="AC4" s="85" t="s">
        <v>873</v>
      </c>
      <c r="AD4" s="85" t="s">
        <v>1143</v>
      </c>
      <c r="AE4" s="81" t="b">
        <v>0</v>
      </c>
      <c r="AF4" s="81">
        <v>0</v>
      </c>
      <c r="AG4" s="85" t="s">
        <v>1159</v>
      </c>
      <c r="AH4" s="81" t="b">
        <v>0</v>
      </c>
      <c r="AI4" s="81" t="s">
        <v>1176</v>
      </c>
      <c r="AJ4" s="81"/>
      <c r="AK4" s="85" t="s">
        <v>1162</v>
      </c>
      <c r="AL4" s="81" t="b">
        <v>0</v>
      </c>
      <c r="AM4" s="81">
        <v>0</v>
      </c>
      <c r="AN4" s="85" t="s">
        <v>1162</v>
      </c>
      <c r="AO4" s="85" t="s">
        <v>1188</v>
      </c>
      <c r="AP4" s="81" t="b">
        <v>0</v>
      </c>
      <c r="AQ4" s="85" t="s">
        <v>1143</v>
      </c>
      <c r="AR4" s="81" t="s">
        <v>187</v>
      </c>
      <c r="AS4" s="81">
        <v>0</v>
      </c>
      <c r="AT4" s="81">
        <v>0</v>
      </c>
      <c r="AU4" s="81"/>
      <c r="AV4" s="81"/>
      <c r="AW4" s="81"/>
      <c r="AX4" s="81"/>
      <c r="AY4" s="81"/>
      <c r="AZ4" s="81"/>
      <c r="BA4" s="81"/>
      <c r="BB4" s="81"/>
      <c r="BC4">
        <v>1</v>
      </c>
      <c r="BD4" s="80" t="str">
        <f>REPLACE(INDEX(GroupVertices[Group],MATCH(Edges[[#This Row],[Vertex 1]],GroupVertices[Vertex],0)),1,1,"")</f>
        <v>8</v>
      </c>
      <c r="BE4" s="80" t="str">
        <f>REPLACE(INDEX(GroupVertices[Group],MATCH(Edges[[#This Row],[Vertex 2]],GroupVertices[Vertex],0)),1,1,"")</f>
        <v>8</v>
      </c>
      <c r="BF4" s="49"/>
      <c r="BG4" s="50"/>
      <c r="BH4" s="49"/>
      <c r="BI4" s="50"/>
      <c r="BJ4" s="49"/>
      <c r="BK4" s="50"/>
      <c r="BL4" s="49"/>
      <c r="BM4" s="50"/>
      <c r="BN4" s="49"/>
    </row>
    <row r="5" spans="1:66" ht="15">
      <c r="A5" s="65" t="s">
        <v>225</v>
      </c>
      <c r="B5" s="65" t="s">
        <v>487</v>
      </c>
      <c r="C5" s="66" t="s">
        <v>4392</v>
      </c>
      <c r="D5" s="67">
        <v>1</v>
      </c>
      <c r="E5" s="68" t="s">
        <v>132</v>
      </c>
      <c r="F5" s="69">
        <v>32</v>
      </c>
      <c r="G5" s="66" t="s">
        <v>51</v>
      </c>
      <c r="H5" s="70"/>
      <c r="I5" s="71"/>
      <c r="J5" s="71"/>
      <c r="K5" s="35" t="s">
        <v>65</v>
      </c>
      <c r="L5" s="79">
        <v>5</v>
      </c>
      <c r="M5" s="79"/>
      <c r="N5" s="73"/>
      <c r="O5" s="81" t="s">
        <v>502</v>
      </c>
      <c r="P5" s="83">
        <v>44639.393125</v>
      </c>
      <c r="Q5" s="81" t="s">
        <v>505</v>
      </c>
      <c r="R5" s="81"/>
      <c r="S5" s="81"/>
      <c r="T5" s="81"/>
      <c r="U5" s="81"/>
      <c r="V5" s="84" t="str">
        <f>HYPERLINK("https://pbs.twimg.com/profile_images/1503800675712794630/8YCm3bSw_normal.jpg")</f>
        <v>https://pbs.twimg.com/profile_images/1503800675712794630/8YCm3bSw_normal.jpg</v>
      </c>
      <c r="W5" s="83">
        <v>44639.393125</v>
      </c>
      <c r="X5" s="88">
        <v>44639</v>
      </c>
      <c r="Y5" s="85" t="s">
        <v>604</v>
      </c>
      <c r="Z5" s="84" t="str">
        <f>HYPERLINK("https://twitter.com/ihdaltandigau/status/1505113371678748673")</f>
        <v>https://twitter.com/ihdaltandigau/status/1505113371678748673</v>
      </c>
      <c r="AA5" s="81"/>
      <c r="AB5" s="81"/>
      <c r="AC5" s="85" t="s">
        <v>873</v>
      </c>
      <c r="AD5" s="85" t="s">
        <v>1143</v>
      </c>
      <c r="AE5" s="81" t="b">
        <v>0</v>
      </c>
      <c r="AF5" s="81">
        <v>0</v>
      </c>
      <c r="AG5" s="85" t="s">
        <v>1159</v>
      </c>
      <c r="AH5" s="81" t="b">
        <v>0</v>
      </c>
      <c r="AI5" s="81" t="s">
        <v>1176</v>
      </c>
      <c r="AJ5" s="81"/>
      <c r="AK5" s="85" t="s">
        <v>1162</v>
      </c>
      <c r="AL5" s="81" t="b">
        <v>0</v>
      </c>
      <c r="AM5" s="81">
        <v>0</v>
      </c>
      <c r="AN5" s="85" t="s">
        <v>1162</v>
      </c>
      <c r="AO5" s="85" t="s">
        <v>1188</v>
      </c>
      <c r="AP5" s="81" t="b">
        <v>0</v>
      </c>
      <c r="AQ5" s="85" t="s">
        <v>1143</v>
      </c>
      <c r="AR5" s="81" t="s">
        <v>187</v>
      </c>
      <c r="AS5" s="81">
        <v>0</v>
      </c>
      <c r="AT5" s="81">
        <v>0</v>
      </c>
      <c r="AU5" s="81"/>
      <c r="AV5" s="81"/>
      <c r="AW5" s="81"/>
      <c r="AX5" s="81"/>
      <c r="AY5" s="81"/>
      <c r="AZ5" s="81"/>
      <c r="BA5" s="81"/>
      <c r="BB5" s="81"/>
      <c r="BC5">
        <v>1</v>
      </c>
      <c r="BD5" s="80" t="str">
        <f>REPLACE(INDEX(GroupVertices[Group],MATCH(Edges[[#This Row],[Vertex 1]],GroupVertices[Vertex],0)),1,1,"")</f>
        <v>8</v>
      </c>
      <c r="BE5" s="80" t="str">
        <f>REPLACE(INDEX(GroupVertices[Group],MATCH(Edges[[#This Row],[Vertex 2]],GroupVertices[Vertex],0)),1,1,"")</f>
        <v>8</v>
      </c>
      <c r="BF5" s="49">
        <v>0</v>
      </c>
      <c r="BG5" s="50">
        <v>0</v>
      </c>
      <c r="BH5" s="49">
        <v>0</v>
      </c>
      <c r="BI5" s="50">
        <v>0</v>
      </c>
      <c r="BJ5" s="49">
        <v>0</v>
      </c>
      <c r="BK5" s="50">
        <v>0</v>
      </c>
      <c r="BL5" s="49">
        <v>9</v>
      </c>
      <c r="BM5" s="50">
        <v>100</v>
      </c>
      <c r="BN5" s="49">
        <v>9</v>
      </c>
    </row>
    <row r="6" spans="1:66" ht="15">
      <c r="A6" s="65" t="s">
        <v>226</v>
      </c>
      <c r="B6" s="65" t="s">
        <v>488</v>
      </c>
      <c r="C6" s="66" t="s">
        <v>4392</v>
      </c>
      <c r="D6" s="67">
        <v>1</v>
      </c>
      <c r="E6" s="68" t="s">
        <v>132</v>
      </c>
      <c r="F6" s="69">
        <v>32</v>
      </c>
      <c r="G6" s="66" t="s">
        <v>51</v>
      </c>
      <c r="H6" s="70"/>
      <c r="I6" s="71"/>
      <c r="J6" s="71"/>
      <c r="K6" s="35" t="s">
        <v>65</v>
      </c>
      <c r="L6" s="79">
        <v>6</v>
      </c>
      <c r="M6" s="79"/>
      <c r="N6" s="73"/>
      <c r="O6" s="81" t="s">
        <v>502</v>
      </c>
      <c r="P6" s="83">
        <v>44640.07234953704</v>
      </c>
      <c r="Q6" s="81" t="s">
        <v>506</v>
      </c>
      <c r="R6" s="81"/>
      <c r="S6" s="81"/>
      <c r="T6" s="81"/>
      <c r="U6" s="81"/>
      <c r="V6" s="84" t="str">
        <f>HYPERLINK("https://pbs.twimg.com/profile_images/1505867175562604545/TqWpdmTS_normal.jpg")</f>
        <v>https://pbs.twimg.com/profile_images/1505867175562604545/TqWpdmTS_normal.jpg</v>
      </c>
      <c r="W6" s="83">
        <v>44640.07234953704</v>
      </c>
      <c r="X6" s="88">
        <v>44640</v>
      </c>
      <c r="Y6" s="85" t="s">
        <v>605</v>
      </c>
      <c r="Z6" s="84" t="str">
        <f>HYPERLINK("https://twitter.com/jenongolongol/status/1505359516866519043")</f>
        <v>https://twitter.com/jenongolongol/status/1505359516866519043</v>
      </c>
      <c r="AA6" s="81"/>
      <c r="AB6" s="81"/>
      <c r="AC6" s="85" t="s">
        <v>874</v>
      </c>
      <c r="AD6" s="85" t="s">
        <v>1144</v>
      </c>
      <c r="AE6" s="81" t="b">
        <v>0</v>
      </c>
      <c r="AF6" s="81">
        <v>0</v>
      </c>
      <c r="AG6" s="85" t="s">
        <v>1160</v>
      </c>
      <c r="AH6" s="81" t="b">
        <v>0</v>
      </c>
      <c r="AI6" s="81" t="s">
        <v>1176</v>
      </c>
      <c r="AJ6" s="81"/>
      <c r="AK6" s="85" t="s">
        <v>1162</v>
      </c>
      <c r="AL6" s="81" t="b">
        <v>0</v>
      </c>
      <c r="AM6" s="81">
        <v>0</v>
      </c>
      <c r="AN6" s="85" t="s">
        <v>1162</v>
      </c>
      <c r="AO6" s="85" t="s">
        <v>1188</v>
      </c>
      <c r="AP6" s="81" t="b">
        <v>0</v>
      </c>
      <c r="AQ6" s="85" t="s">
        <v>1144</v>
      </c>
      <c r="AR6" s="81" t="s">
        <v>187</v>
      </c>
      <c r="AS6" s="81">
        <v>0</v>
      </c>
      <c r="AT6" s="81">
        <v>0</v>
      </c>
      <c r="AU6" s="81"/>
      <c r="AV6" s="81"/>
      <c r="AW6" s="81"/>
      <c r="AX6" s="81"/>
      <c r="AY6" s="81"/>
      <c r="AZ6" s="81"/>
      <c r="BA6" s="81"/>
      <c r="BB6" s="81"/>
      <c r="BC6">
        <v>1</v>
      </c>
      <c r="BD6" s="80" t="str">
        <f>REPLACE(INDEX(GroupVertices[Group],MATCH(Edges[[#This Row],[Vertex 1]],GroupVertices[Vertex],0)),1,1,"")</f>
        <v>23</v>
      </c>
      <c r="BE6" s="80" t="str">
        <f>REPLACE(INDEX(GroupVertices[Group],MATCH(Edges[[#This Row],[Vertex 2]],GroupVertices[Vertex],0)),1,1,"")</f>
        <v>23</v>
      </c>
      <c r="BF6" s="49">
        <v>0</v>
      </c>
      <c r="BG6" s="50">
        <v>0</v>
      </c>
      <c r="BH6" s="49">
        <v>0</v>
      </c>
      <c r="BI6" s="50">
        <v>0</v>
      </c>
      <c r="BJ6" s="49">
        <v>0</v>
      </c>
      <c r="BK6" s="50">
        <v>0</v>
      </c>
      <c r="BL6" s="49">
        <v>13</v>
      </c>
      <c r="BM6" s="50">
        <v>100</v>
      </c>
      <c r="BN6" s="49">
        <v>13</v>
      </c>
    </row>
    <row r="7" spans="1:66" ht="15">
      <c r="A7" s="65" t="s">
        <v>227</v>
      </c>
      <c r="B7" s="65" t="s">
        <v>489</v>
      </c>
      <c r="C7" s="66" t="s">
        <v>4392</v>
      </c>
      <c r="D7" s="67">
        <v>1</v>
      </c>
      <c r="E7" s="68" t="s">
        <v>132</v>
      </c>
      <c r="F7" s="69">
        <v>32</v>
      </c>
      <c r="G7" s="66" t="s">
        <v>51</v>
      </c>
      <c r="H7" s="70"/>
      <c r="I7" s="71"/>
      <c r="J7" s="71"/>
      <c r="K7" s="35" t="s">
        <v>65</v>
      </c>
      <c r="L7" s="79">
        <v>7</v>
      </c>
      <c r="M7" s="79"/>
      <c r="N7" s="73"/>
      <c r="O7" s="81" t="s">
        <v>502</v>
      </c>
      <c r="P7" s="83">
        <v>44642.2403125</v>
      </c>
      <c r="Q7" s="81" t="s">
        <v>507</v>
      </c>
      <c r="R7" s="81"/>
      <c r="S7" s="81"/>
      <c r="T7" s="81"/>
      <c r="U7" s="81"/>
      <c r="V7" s="84" t="str">
        <f>HYPERLINK("https://pbs.twimg.com/profile_images/1378832728175607808/h3ZDByWl_normal.jpg")</f>
        <v>https://pbs.twimg.com/profile_images/1378832728175607808/h3ZDByWl_normal.jpg</v>
      </c>
      <c r="W7" s="83">
        <v>44642.2403125</v>
      </c>
      <c r="X7" s="88">
        <v>44642</v>
      </c>
      <c r="Y7" s="85" t="s">
        <v>606</v>
      </c>
      <c r="Z7" s="84" t="str">
        <f>HYPERLINK("https://twitter.com/nesteagg/status/1506145159339290624")</f>
        <v>https://twitter.com/nesteagg/status/1506145159339290624</v>
      </c>
      <c r="AA7" s="81"/>
      <c r="AB7" s="81"/>
      <c r="AC7" s="85" t="s">
        <v>875</v>
      </c>
      <c r="AD7" s="85" t="s">
        <v>1145</v>
      </c>
      <c r="AE7" s="81" t="b">
        <v>0</v>
      </c>
      <c r="AF7" s="81">
        <v>1</v>
      </c>
      <c r="AG7" s="85" t="s">
        <v>1161</v>
      </c>
      <c r="AH7" s="81" t="b">
        <v>0</v>
      </c>
      <c r="AI7" s="81" t="s">
        <v>1177</v>
      </c>
      <c r="AJ7" s="81"/>
      <c r="AK7" s="85" t="s">
        <v>1162</v>
      </c>
      <c r="AL7" s="81" t="b">
        <v>0</v>
      </c>
      <c r="AM7" s="81">
        <v>0</v>
      </c>
      <c r="AN7" s="85" t="s">
        <v>1162</v>
      </c>
      <c r="AO7" s="85" t="s">
        <v>1188</v>
      </c>
      <c r="AP7" s="81" t="b">
        <v>0</v>
      </c>
      <c r="AQ7" s="85" t="s">
        <v>1145</v>
      </c>
      <c r="AR7" s="81" t="s">
        <v>187</v>
      </c>
      <c r="AS7" s="81">
        <v>0</v>
      </c>
      <c r="AT7" s="81">
        <v>0</v>
      </c>
      <c r="AU7" s="81"/>
      <c r="AV7" s="81"/>
      <c r="AW7" s="81"/>
      <c r="AX7" s="81"/>
      <c r="AY7" s="81"/>
      <c r="AZ7" s="81"/>
      <c r="BA7" s="81"/>
      <c r="BB7" s="81"/>
      <c r="BC7">
        <v>1</v>
      </c>
      <c r="BD7" s="80" t="str">
        <f>REPLACE(INDEX(GroupVertices[Group],MATCH(Edges[[#This Row],[Vertex 1]],GroupVertices[Vertex],0)),1,1,"")</f>
        <v>22</v>
      </c>
      <c r="BE7" s="80" t="str">
        <f>REPLACE(INDEX(GroupVertices[Group],MATCH(Edges[[#This Row],[Vertex 2]],GroupVertices[Vertex],0)),1,1,"")</f>
        <v>22</v>
      </c>
      <c r="BF7" s="49">
        <v>0</v>
      </c>
      <c r="BG7" s="50">
        <v>0</v>
      </c>
      <c r="BH7" s="49">
        <v>0</v>
      </c>
      <c r="BI7" s="50">
        <v>0</v>
      </c>
      <c r="BJ7" s="49">
        <v>0</v>
      </c>
      <c r="BK7" s="50">
        <v>0</v>
      </c>
      <c r="BL7" s="49">
        <v>7</v>
      </c>
      <c r="BM7" s="50">
        <v>100</v>
      </c>
      <c r="BN7" s="49">
        <v>7</v>
      </c>
    </row>
    <row r="8" spans="1:66" ht="15">
      <c r="A8" s="65" t="s">
        <v>228</v>
      </c>
      <c r="B8" s="65" t="s">
        <v>490</v>
      </c>
      <c r="C8" s="66" t="s">
        <v>4392</v>
      </c>
      <c r="D8" s="67">
        <v>1</v>
      </c>
      <c r="E8" s="68" t="s">
        <v>132</v>
      </c>
      <c r="F8" s="69">
        <v>32</v>
      </c>
      <c r="G8" s="66" t="s">
        <v>51</v>
      </c>
      <c r="H8" s="70"/>
      <c r="I8" s="71"/>
      <c r="J8" s="71"/>
      <c r="K8" s="35" t="s">
        <v>65</v>
      </c>
      <c r="L8" s="79">
        <v>8</v>
      </c>
      <c r="M8" s="79"/>
      <c r="N8" s="73"/>
      <c r="O8" s="81" t="s">
        <v>501</v>
      </c>
      <c r="P8" s="83">
        <v>44641.254745370374</v>
      </c>
      <c r="Q8" s="81" t="s">
        <v>508</v>
      </c>
      <c r="R8" s="84" t="str">
        <f>HYPERLINK("https://www.ebay.com/itm/185318779952?mkevt=1&amp;mkcid=16&amp;mkrid=711-127632-2357-0&amp;media=TWITTER&amp;sojTags=media%3Dmedia")</f>
        <v>https://www.ebay.com/itm/185318779952?mkevt=1&amp;mkcid=16&amp;mkrid=711-127632-2357-0&amp;media=TWITTER&amp;sojTags=media%3Dmedia</v>
      </c>
      <c r="S8" s="81" t="s">
        <v>579</v>
      </c>
      <c r="T8" s="85" t="s">
        <v>587</v>
      </c>
      <c r="U8" s="81"/>
      <c r="V8" s="84" t="str">
        <f>HYPERLINK("https://pbs.twimg.com/profile_images/968384431391236096/nJzyJrtJ_normal.jpg")</f>
        <v>https://pbs.twimg.com/profile_images/968384431391236096/nJzyJrtJ_normal.jpg</v>
      </c>
      <c r="W8" s="83">
        <v>44641.254745370374</v>
      </c>
      <c r="X8" s="88">
        <v>44641</v>
      </c>
      <c r="Y8" s="85" t="s">
        <v>607</v>
      </c>
      <c r="Z8" s="84" t="str">
        <f>HYPERLINK("https://twitter.com/forcollecting/status/1505788001837891587")</f>
        <v>https://twitter.com/forcollecting/status/1505788001837891587</v>
      </c>
      <c r="AA8" s="81"/>
      <c r="AB8" s="81"/>
      <c r="AC8" s="85" t="s">
        <v>876</v>
      </c>
      <c r="AD8" s="81"/>
      <c r="AE8" s="81" t="b">
        <v>0</v>
      </c>
      <c r="AF8" s="81">
        <v>1</v>
      </c>
      <c r="AG8" s="85" t="s">
        <v>1162</v>
      </c>
      <c r="AH8" s="81" t="b">
        <v>0</v>
      </c>
      <c r="AI8" s="81" t="s">
        <v>1178</v>
      </c>
      <c r="AJ8" s="81"/>
      <c r="AK8" s="85" t="s">
        <v>1162</v>
      </c>
      <c r="AL8" s="81" t="b">
        <v>0</v>
      </c>
      <c r="AM8" s="81">
        <v>2</v>
      </c>
      <c r="AN8" s="85" t="s">
        <v>1162</v>
      </c>
      <c r="AO8" s="85" t="s">
        <v>1189</v>
      </c>
      <c r="AP8" s="81" t="b">
        <v>0</v>
      </c>
      <c r="AQ8" s="85" t="s">
        <v>876</v>
      </c>
      <c r="AR8" s="81" t="s">
        <v>187</v>
      </c>
      <c r="AS8" s="81">
        <v>0</v>
      </c>
      <c r="AT8" s="81">
        <v>0</v>
      </c>
      <c r="AU8" s="81"/>
      <c r="AV8" s="81"/>
      <c r="AW8" s="81"/>
      <c r="AX8" s="81"/>
      <c r="AY8" s="81"/>
      <c r="AZ8" s="81"/>
      <c r="BA8" s="81"/>
      <c r="BB8" s="81"/>
      <c r="BC8">
        <v>1</v>
      </c>
      <c r="BD8" s="80" t="str">
        <f>REPLACE(INDEX(GroupVertices[Group],MATCH(Edges[[#This Row],[Vertex 1]],GroupVertices[Vertex],0)),1,1,"")</f>
        <v>7</v>
      </c>
      <c r="BE8" s="80" t="str">
        <f>REPLACE(INDEX(GroupVertices[Group],MATCH(Edges[[#This Row],[Vertex 2]],GroupVertices[Vertex],0)),1,1,"")</f>
        <v>7</v>
      </c>
      <c r="BF8" s="49">
        <v>0</v>
      </c>
      <c r="BG8" s="50">
        <v>0</v>
      </c>
      <c r="BH8" s="49">
        <v>0</v>
      </c>
      <c r="BI8" s="50">
        <v>0</v>
      </c>
      <c r="BJ8" s="49">
        <v>0</v>
      </c>
      <c r="BK8" s="50">
        <v>0</v>
      </c>
      <c r="BL8" s="49">
        <v>15</v>
      </c>
      <c r="BM8" s="50">
        <v>100</v>
      </c>
      <c r="BN8" s="49">
        <v>15</v>
      </c>
    </row>
    <row r="9" spans="1:66" ht="15">
      <c r="A9" s="65" t="s">
        <v>228</v>
      </c>
      <c r="B9" s="65" t="s">
        <v>490</v>
      </c>
      <c r="C9" s="66" t="s">
        <v>4392</v>
      </c>
      <c r="D9" s="67">
        <v>1</v>
      </c>
      <c r="E9" s="68" t="s">
        <v>132</v>
      </c>
      <c r="F9" s="69">
        <v>32</v>
      </c>
      <c r="G9" s="66" t="s">
        <v>51</v>
      </c>
      <c r="H9" s="70"/>
      <c r="I9" s="71"/>
      <c r="J9" s="71"/>
      <c r="K9" s="35" t="s">
        <v>65</v>
      </c>
      <c r="L9" s="79">
        <v>9</v>
      </c>
      <c r="M9" s="79"/>
      <c r="N9" s="73"/>
      <c r="O9" s="81" t="s">
        <v>503</v>
      </c>
      <c r="P9" s="83">
        <v>44642.911099537036</v>
      </c>
      <c r="Q9" s="81" t="s">
        <v>508</v>
      </c>
      <c r="R9" s="84" t="str">
        <f>HYPERLINK("https://www.ebay.com/itm/185318779952?mkevt=1&amp;mkcid=16&amp;mkrid=711-127632-2357-0&amp;media=TWITTER&amp;sojTags=media%3Dmedia")</f>
        <v>https://www.ebay.com/itm/185318779952?mkevt=1&amp;mkcid=16&amp;mkrid=711-127632-2357-0&amp;media=TWITTER&amp;sojTags=media%3Dmedia</v>
      </c>
      <c r="S9" s="81" t="s">
        <v>579</v>
      </c>
      <c r="T9" s="85" t="s">
        <v>587</v>
      </c>
      <c r="U9" s="81"/>
      <c r="V9" s="84" t="str">
        <f>HYPERLINK("https://pbs.twimg.com/profile_images/968384431391236096/nJzyJrtJ_normal.jpg")</f>
        <v>https://pbs.twimg.com/profile_images/968384431391236096/nJzyJrtJ_normal.jpg</v>
      </c>
      <c r="W9" s="83">
        <v>44642.911099537036</v>
      </c>
      <c r="X9" s="88">
        <v>44642</v>
      </c>
      <c r="Y9" s="85" t="s">
        <v>608</v>
      </c>
      <c r="Z9" s="84" t="str">
        <f>HYPERLINK("https://twitter.com/forcollecting/status/1506388242492440579")</f>
        <v>https://twitter.com/forcollecting/status/1506388242492440579</v>
      </c>
      <c r="AA9" s="81"/>
      <c r="AB9" s="81"/>
      <c r="AC9" s="85" t="s">
        <v>877</v>
      </c>
      <c r="AD9" s="81"/>
      <c r="AE9" s="81" t="b">
        <v>0</v>
      </c>
      <c r="AF9" s="81">
        <v>0</v>
      </c>
      <c r="AG9" s="85" t="s">
        <v>1162</v>
      </c>
      <c r="AH9" s="81" t="b">
        <v>0</v>
      </c>
      <c r="AI9" s="81" t="s">
        <v>1178</v>
      </c>
      <c r="AJ9" s="81"/>
      <c r="AK9" s="85" t="s">
        <v>1162</v>
      </c>
      <c r="AL9" s="81" t="b">
        <v>0</v>
      </c>
      <c r="AM9" s="81">
        <v>2</v>
      </c>
      <c r="AN9" s="85" t="s">
        <v>876</v>
      </c>
      <c r="AO9" s="85" t="s">
        <v>1189</v>
      </c>
      <c r="AP9" s="81" t="b">
        <v>0</v>
      </c>
      <c r="AQ9" s="85" t="s">
        <v>876</v>
      </c>
      <c r="AR9" s="81" t="s">
        <v>187</v>
      </c>
      <c r="AS9" s="81">
        <v>0</v>
      </c>
      <c r="AT9" s="81">
        <v>0</v>
      </c>
      <c r="AU9" s="81"/>
      <c r="AV9" s="81"/>
      <c r="AW9" s="81"/>
      <c r="AX9" s="81"/>
      <c r="AY9" s="81"/>
      <c r="AZ9" s="81"/>
      <c r="BA9" s="81"/>
      <c r="BB9" s="81"/>
      <c r="BC9">
        <v>1</v>
      </c>
      <c r="BD9" s="80" t="str">
        <f>REPLACE(INDEX(GroupVertices[Group],MATCH(Edges[[#This Row],[Vertex 1]],GroupVertices[Vertex],0)),1,1,"")</f>
        <v>7</v>
      </c>
      <c r="BE9" s="80" t="str">
        <f>REPLACE(INDEX(GroupVertices[Group],MATCH(Edges[[#This Row],[Vertex 2]],GroupVertices[Vertex],0)),1,1,"")</f>
        <v>7</v>
      </c>
      <c r="BF9" s="49">
        <v>0</v>
      </c>
      <c r="BG9" s="50">
        <v>0</v>
      </c>
      <c r="BH9" s="49">
        <v>0</v>
      </c>
      <c r="BI9" s="50">
        <v>0</v>
      </c>
      <c r="BJ9" s="49">
        <v>0</v>
      </c>
      <c r="BK9" s="50">
        <v>0</v>
      </c>
      <c r="BL9" s="49">
        <v>15</v>
      </c>
      <c r="BM9" s="50">
        <v>100</v>
      </c>
      <c r="BN9" s="49">
        <v>15</v>
      </c>
    </row>
    <row r="10" spans="1:66" ht="15">
      <c r="A10" s="65" t="s">
        <v>229</v>
      </c>
      <c r="B10" s="65" t="s">
        <v>490</v>
      </c>
      <c r="C10" s="66" t="s">
        <v>4392</v>
      </c>
      <c r="D10" s="67">
        <v>1</v>
      </c>
      <c r="E10" s="68" t="s">
        <v>132</v>
      </c>
      <c r="F10" s="69">
        <v>32</v>
      </c>
      <c r="G10" s="66" t="s">
        <v>51</v>
      </c>
      <c r="H10" s="70"/>
      <c r="I10" s="71"/>
      <c r="J10" s="71"/>
      <c r="K10" s="35" t="s">
        <v>65</v>
      </c>
      <c r="L10" s="79">
        <v>10</v>
      </c>
      <c r="M10" s="79"/>
      <c r="N10" s="73"/>
      <c r="O10" s="81" t="s">
        <v>503</v>
      </c>
      <c r="P10" s="83">
        <v>44642.97956018519</v>
      </c>
      <c r="Q10" s="81" t="s">
        <v>508</v>
      </c>
      <c r="R10" s="84" t="str">
        <f>HYPERLINK("https://www.ebay.com/itm/185318779952?mkevt=1&amp;mkcid=16&amp;mkrid=711-127632-2357-0&amp;media=TWITTER&amp;sojTags=media%3Dmedia")</f>
        <v>https://www.ebay.com/itm/185318779952?mkevt=1&amp;mkcid=16&amp;mkrid=711-127632-2357-0&amp;media=TWITTER&amp;sojTags=media%3Dmedia</v>
      </c>
      <c r="S10" s="81" t="s">
        <v>579</v>
      </c>
      <c r="T10" s="85" t="s">
        <v>587</v>
      </c>
      <c r="U10" s="81"/>
      <c r="V10" s="84" t="str">
        <f>HYPERLINK("https://pbs.twimg.com/profile_images/1136342415499907072/xxCzt-ZU_normal.png")</f>
        <v>https://pbs.twimg.com/profile_images/1136342415499907072/xxCzt-ZU_normal.png</v>
      </c>
      <c r="W10" s="83">
        <v>44642.97956018519</v>
      </c>
      <c r="X10" s="88">
        <v>44642</v>
      </c>
      <c r="Y10" s="85" t="s">
        <v>609</v>
      </c>
      <c r="Z10" s="84" t="str">
        <f>HYPERLINK("https://twitter.com/cozyatoz/status/1506413054229049344")</f>
        <v>https://twitter.com/cozyatoz/status/1506413054229049344</v>
      </c>
      <c r="AA10" s="81"/>
      <c r="AB10" s="81"/>
      <c r="AC10" s="85" t="s">
        <v>878</v>
      </c>
      <c r="AD10" s="81"/>
      <c r="AE10" s="81" t="b">
        <v>0</v>
      </c>
      <c r="AF10" s="81">
        <v>0</v>
      </c>
      <c r="AG10" s="85" t="s">
        <v>1162</v>
      </c>
      <c r="AH10" s="81" t="b">
        <v>0</v>
      </c>
      <c r="AI10" s="81" t="s">
        <v>1178</v>
      </c>
      <c r="AJ10" s="81"/>
      <c r="AK10" s="85" t="s">
        <v>1162</v>
      </c>
      <c r="AL10" s="81" t="b">
        <v>0</v>
      </c>
      <c r="AM10" s="81">
        <v>2</v>
      </c>
      <c r="AN10" s="85" t="s">
        <v>876</v>
      </c>
      <c r="AO10" s="85" t="s">
        <v>1189</v>
      </c>
      <c r="AP10" s="81" t="b">
        <v>0</v>
      </c>
      <c r="AQ10" s="85" t="s">
        <v>876</v>
      </c>
      <c r="AR10" s="81" t="s">
        <v>187</v>
      </c>
      <c r="AS10" s="81">
        <v>0</v>
      </c>
      <c r="AT10" s="81">
        <v>0</v>
      </c>
      <c r="AU10" s="81"/>
      <c r="AV10" s="81"/>
      <c r="AW10" s="81"/>
      <c r="AX10" s="81"/>
      <c r="AY10" s="81"/>
      <c r="AZ10" s="81"/>
      <c r="BA10" s="81"/>
      <c r="BB10" s="81"/>
      <c r="BC10">
        <v>1</v>
      </c>
      <c r="BD10" s="80" t="str">
        <f>REPLACE(INDEX(GroupVertices[Group],MATCH(Edges[[#This Row],[Vertex 1]],GroupVertices[Vertex],0)),1,1,"")</f>
        <v>7</v>
      </c>
      <c r="BE10" s="80" t="str">
        <f>REPLACE(INDEX(GroupVertices[Group],MATCH(Edges[[#This Row],[Vertex 2]],GroupVertices[Vertex],0)),1,1,"")</f>
        <v>7</v>
      </c>
      <c r="BF10" s="49"/>
      <c r="BG10" s="50"/>
      <c r="BH10" s="49"/>
      <c r="BI10" s="50"/>
      <c r="BJ10" s="49"/>
      <c r="BK10" s="50"/>
      <c r="BL10" s="49"/>
      <c r="BM10" s="50"/>
      <c r="BN10" s="49"/>
    </row>
    <row r="11" spans="1:66" ht="15">
      <c r="A11" s="65" t="s">
        <v>228</v>
      </c>
      <c r="B11" s="65" t="s">
        <v>228</v>
      </c>
      <c r="C11" s="66" t="s">
        <v>4392</v>
      </c>
      <c r="D11" s="67">
        <v>1</v>
      </c>
      <c r="E11" s="68" t="s">
        <v>132</v>
      </c>
      <c r="F11" s="69">
        <v>32</v>
      </c>
      <c r="G11" s="66" t="s">
        <v>51</v>
      </c>
      <c r="H11" s="70"/>
      <c r="I11" s="71"/>
      <c r="J11" s="71"/>
      <c r="K11" s="35" t="s">
        <v>65</v>
      </c>
      <c r="L11" s="79">
        <v>11</v>
      </c>
      <c r="M11" s="79"/>
      <c r="N11" s="73"/>
      <c r="O11" s="81" t="s">
        <v>504</v>
      </c>
      <c r="P11" s="83">
        <v>44642.911099537036</v>
      </c>
      <c r="Q11" s="81" t="s">
        <v>508</v>
      </c>
      <c r="R11" s="84" t="str">
        <f>HYPERLINK("https://www.ebay.com/itm/185318779952?mkevt=1&amp;mkcid=16&amp;mkrid=711-127632-2357-0&amp;media=TWITTER&amp;sojTags=media%3Dmedia")</f>
        <v>https://www.ebay.com/itm/185318779952?mkevt=1&amp;mkcid=16&amp;mkrid=711-127632-2357-0&amp;media=TWITTER&amp;sojTags=media%3Dmedia</v>
      </c>
      <c r="S11" s="81" t="s">
        <v>579</v>
      </c>
      <c r="T11" s="85" t="s">
        <v>587</v>
      </c>
      <c r="U11" s="81"/>
      <c r="V11" s="84" t="str">
        <f>HYPERLINK("https://pbs.twimg.com/profile_images/968384431391236096/nJzyJrtJ_normal.jpg")</f>
        <v>https://pbs.twimg.com/profile_images/968384431391236096/nJzyJrtJ_normal.jpg</v>
      </c>
      <c r="W11" s="83">
        <v>44642.911099537036</v>
      </c>
      <c r="X11" s="88">
        <v>44642</v>
      </c>
      <c r="Y11" s="85" t="s">
        <v>608</v>
      </c>
      <c r="Z11" s="84" t="str">
        <f>HYPERLINK("https://twitter.com/forcollecting/status/1506388242492440579")</f>
        <v>https://twitter.com/forcollecting/status/1506388242492440579</v>
      </c>
      <c r="AA11" s="81"/>
      <c r="AB11" s="81"/>
      <c r="AC11" s="85" t="s">
        <v>877</v>
      </c>
      <c r="AD11" s="81"/>
      <c r="AE11" s="81" t="b">
        <v>0</v>
      </c>
      <c r="AF11" s="81">
        <v>0</v>
      </c>
      <c r="AG11" s="85" t="s">
        <v>1162</v>
      </c>
      <c r="AH11" s="81" t="b">
        <v>0</v>
      </c>
      <c r="AI11" s="81" t="s">
        <v>1178</v>
      </c>
      <c r="AJ11" s="81"/>
      <c r="AK11" s="85" t="s">
        <v>1162</v>
      </c>
      <c r="AL11" s="81" t="b">
        <v>0</v>
      </c>
      <c r="AM11" s="81">
        <v>2</v>
      </c>
      <c r="AN11" s="85" t="s">
        <v>876</v>
      </c>
      <c r="AO11" s="85" t="s">
        <v>1189</v>
      </c>
      <c r="AP11" s="81" t="b">
        <v>0</v>
      </c>
      <c r="AQ11" s="85" t="s">
        <v>876</v>
      </c>
      <c r="AR11" s="81" t="s">
        <v>187</v>
      </c>
      <c r="AS11" s="81">
        <v>0</v>
      </c>
      <c r="AT11" s="81">
        <v>0</v>
      </c>
      <c r="AU11" s="81"/>
      <c r="AV11" s="81"/>
      <c r="AW11" s="81"/>
      <c r="AX11" s="81"/>
      <c r="AY11" s="81"/>
      <c r="AZ11" s="81"/>
      <c r="BA11" s="81"/>
      <c r="BB11" s="81"/>
      <c r="BC11">
        <v>1</v>
      </c>
      <c r="BD11" s="80" t="str">
        <f>REPLACE(INDEX(GroupVertices[Group],MATCH(Edges[[#This Row],[Vertex 1]],GroupVertices[Vertex],0)),1,1,"")</f>
        <v>7</v>
      </c>
      <c r="BE11" s="80" t="str">
        <f>REPLACE(INDEX(GroupVertices[Group],MATCH(Edges[[#This Row],[Vertex 2]],GroupVertices[Vertex],0)),1,1,"")</f>
        <v>7</v>
      </c>
      <c r="BF11" s="49"/>
      <c r="BG11" s="50"/>
      <c r="BH11" s="49"/>
      <c r="BI11" s="50"/>
      <c r="BJ11" s="49"/>
      <c r="BK11" s="50"/>
      <c r="BL11" s="49"/>
      <c r="BM11" s="50"/>
      <c r="BN11" s="49"/>
    </row>
    <row r="12" spans="1:66" ht="15">
      <c r="A12" s="65" t="s">
        <v>229</v>
      </c>
      <c r="B12" s="65" t="s">
        <v>228</v>
      </c>
      <c r="C12" s="66" t="s">
        <v>4392</v>
      </c>
      <c r="D12" s="67">
        <v>1</v>
      </c>
      <c r="E12" s="68" t="s">
        <v>132</v>
      </c>
      <c r="F12" s="69">
        <v>32</v>
      </c>
      <c r="G12" s="66" t="s">
        <v>51</v>
      </c>
      <c r="H12" s="70"/>
      <c r="I12" s="71"/>
      <c r="J12" s="71"/>
      <c r="K12" s="35" t="s">
        <v>65</v>
      </c>
      <c r="L12" s="79">
        <v>12</v>
      </c>
      <c r="M12" s="79"/>
      <c r="N12" s="73"/>
      <c r="O12" s="81" t="s">
        <v>504</v>
      </c>
      <c r="P12" s="83">
        <v>44642.97956018519</v>
      </c>
      <c r="Q12" s="81" t="s">
        <v>508</v>
      </c>
      <c r="R12" s="84" t="str">
        <f>HYPERLINK("https://www.ebay.com/itm/185318779952?mkevt=1&amp;mkcid=16&amp;mkrid=711-127632-2357-0&amp;media=TWITTER&amp;sojTags=media%3Dmedia")</f>
        <v>https://www.ebay.com/itm/185318779952?mkevt=1&amp;mkcid=16&amp;mkrid=711-127632-2357-0&amp;media=TWITTER&amp;sojTags=media%3Dmedia</v>
      </c>
      <c r="S12" s="81" t="s">
        <v>579</v>
      </c>
      <c r="T12" s="85" t="s">
        <v>587</v>
      </c>
      <c r="U12" s="81"/>
      <c r="V12" s="84" t="str">
        <f>HYPERLINK("https://pbs.twimg.com/profile_images/1136342415499907072/xxCzt-ZU_normal.png")</f>
        <v>https://pbs.twimg.com/profile_images/1136342415499907072/xxCzt-ZU_normal.png</v>
      </c>
      <c r="W12" s="83">
        <v>44642.97956018519</v>
      </c>
      <c r="X12" s="88">
        <v>44642</v>
      </c>
      <c r="Y12" s="85" t="s">
        <v>609</v>
      </c>
      <c r="Z12" s="84" t="str">
        <f>HYPERLINK("https://twitter.com/cozyatoz/status/1506413054229049344")</f>
        <v>https://twitter.com/cozyatoz/status/1506413054229049344</v>
      </c>
      <c r="AA12" s="81"/>
      <c r="AB12" s="81"/>
      <c r="AC12" s="85" t="s">
        <v>878</v>
      </c>
      <c r="AD12" s="81"/>
      <c r="AE12" s="81" t="b">
        <v>0</v>
      </c>
      <c r="AF12" s="81">
        <v>0</v>
      </c>
      <c r="AG12" s="85" t="s">
        <v>1162</v>
      </c>
      <c r="AH12" s="81" t="b">
        <v>0</v>
      </c>
      <c r="AI12" s="81" t="s">
        <v>1178</v>
      </c>
      <c r="AJ12" s="81"/>
      <c r="AK12" s="85" t="s">
        <v>1162</v>
      </c>
      <c r="AL12" s="81" t="b">
        <v>0</v>
      </c>
      <c r="AM12" s="81">
        <v>2</v>
      </c>
      <c r="AN12" s="85" t="s">
        <v>876</v>
      </c>
      <c r="AO12" s="85" t="s">
        <v>1189</v>
      </c>
      <c r="AP12" s="81" t="b">
        <v>0</v>
      </c>
      <c r="AQ12" s="85" t="s">
        <v>876</v>
      </c>
      <c r="AR12" s="81" t="s">
        <v>187</v>
      </c>
      <c r="AS12" s="81">
        <v>0</v>
      </c>
      <c r="AT12" s="81">
        <v>0</v>
      </c>
      <c r="AU12" s="81"/>
      <c r="AV12" s="81"/>
      <c r="AW12" s="81"/>
      <c r="AX12" s="81"/>
      <c r="AY12" s="81"/>
      <c r="AZ12" s="81"/>
      <c r="BA12" s="81"/>
      <c r="BB12" s="81"/>
      <c r="BC12">
        <v>1</v>
      </c>
      <c r="BD12" s="80" t="str">
        <f>REPLACE(INDEX(GroupVertices[Group],MATCH(Edges[[#This Row],[Vertex 1]],GroupVertices[Vertex],0)),1,1,"")</f>
        <v>7</v>
      </c>
      <c r="BE12" s="80" t="str">
        <f>REPLACE(INDEX(GroupVertices[Group],MATCH(Edges[[#This Row],[Vertex 2]],GroupVertices[Vertex],0)),1,1,"")</f>
        <v>7</v>
      </c>
      <c r="BF12" s="49">
        <v>0</v>
      </c>
      <c r="BG12" s="50">
        <v>0</v>
      </c>
      <c r="BH12" s="49">
        <v>0</v>
      </c>
      <c r="BI12" s="50">
        <v>0</v>
      </c>
      <c r="BJ12" s="49">
        <v>0</v>
      </c>
      <c r="BK12" s="50">
        <v>0</v>
      </c>
      <c r="BL12" s="49">
        <v>15</v>
      </c>
      <c r="BM12" s="50">
        <v>100</v>
      </c>
      <c r="BN12" s="49">
        <v>15</v>
      </c>
    </row>
    <row r="13" spans="1:66" ht="15">
      <c r="A13" s="65" t="s">
        <v>230</v>
      </c>
      <c r="B13" s="65" t="s">
        <v>230</v>
      </c>
      <c r="C13" s="66" t="s">
        <v>4392</v>
      </c>
      <c r="D13" s="67">
        <v>1</v>
      </c>
      <c r="E13" s="68" t="s">
        <v>132</v>
      </c>
      <c r="F13" s="69">
        <v>32</v>
      </c>
      <c r="G13" s="66" t="s">
        <v>51</v>
      </c>
      <c r="H13" s="70"/>
      <c r="I13" s="71"/>
      <c r="J13" s="71"/>
      <c r="K13" s="35" t="s">
        <v>65</v>
      </c>
      <c r="L13" s="79">
        <v>13</v>
      </c>
      <c r="M13" s="79"/>
      <c r="N13" s="73"/>
      <c r="O13" s="81" t="s">
        <v>187</v>
      </c>
      <c r="P13" s="83">
        <v>44643.083333333336</v>
      </c>
      <c r="Q13" s="81" t="s">
        <v>509</v>
      </c>
      <c r="R13" s="81"/>
      <c r="S13" s="81"/>
      <c r="T13" s="85" t="s">
        <v>588</v>
      </c>
      <c r="U13" s="84" t="str">
        <f>HYPERLINK("https://pbs.twimg.com/media/FOfwPbmaMAA4qyt.jpg")</f>
        <v>https://pbs.twimg.com/media/FOfwPbmaMAA4qyt.jpg</v>
      </c>
      <c r="V13" s="84" t="str">
        <f>HYPERLINK("https://pbs.twimg.com/media/FOfwPbmaMAA4qyt.jpg")</f>
        <v>https://pbs.twimg.com/media/FOfwPbmaMAA4qyt.jpg</v>
      </c>
      <c r="W13" s="83">
        <v>44643.083333333336</v>
      </c>
      <c r="X13" s="88">
        <v>44643</v>
      </c>
      <c r="Y13" s="85" t="s">
        <v>610</v>
      </c>
      <c r="Z13" s="84" t="str">
        <f>HYPERLINK("https://twitter.com/leonchangkun/status/1506450660266430464")</f>
        <v>https://twitter.com/leonchangkun/status/1506450660266430464</v>
      </c>
      <c r="AA13" s="81"/>
      <c r="AB13" s="81"/>
      <c r="AC13" s="85" t="s">
        <v>879</v>
      </c>
      <c r="AD13" s="81"/>
      <c r="AE13" s="81" t="b">
        <v>0</v>
      </c>
      <c r="AF13" s="81">
        <v>0</v>
      </c>
      <c r="AG13" s="85" t="s">
        <v>1162</v>
      </c>
      <c r="AH13" s="81" t="b">
        <v>0</v>
      </c>
      <c r="AI13" s="81" t="s">
        <v>1176</v>
      </c>
      <c r="AJ13" s="81"/>
      <c r="AK13" s="85" t="s">
        <v>1162</v>
      </c>
      <c r="AL13" s="81" t="b">
        <v>0</v>
      </c>
      <c r="AM13" s="81">
        <v>0</v>
      </c>
      <c r="AN13" s="85" t="s">
        <v>1162</v>
      </c>
      <c r="AO13" s="85" t="s">
        <v>1189</v>
      </c>
      <c r="AP13" s="81" t="b">
        <v>0</v>
      </c>
      <c r="AQ13" s="85" t="s">
        <v>879</v>
      </c>
      <c r="AR13" s="81" t="s">
        <v>187</v>
      </c>
      <c r="AS13" s="81">
        <v>0</v>
      </c>
      <c r="AT13" s="81">
        <v>0</v>
      </c>
      <c r="AU13" s="81"/>
      <c r="AV13" s="81"/>
      <c r="AW13" s="81"/>
      <c r="AX13" s="81"/>
      <c r="AY13" s="81"/>
      <c r="AZ13" s="81"/>
      <c r="BA13" s="81"/>
      <c r="BB13" s="81"/>
      <c r="BC13">
        <v>1</v>
      </c>
      <c r="BD13" s="80" t="str">
        <f>REPLACE(INDEX(GroupVertices[Group],MATCH(Edges[[#This Row],[Vertex 1]],GroupVertices[Vertex],0)),1,1,"")</f>
        <v>3</v>
      </c>
      <c r="BE13" s="80" t="str">
        <f>REPLACE(INDEX(GroupVertices[Group],MATCH(Edges[[#This Row],[Vertex 2]],GroupVertices[Vertex],0)),1,1,"")</f>
        <v>3</v>
      </c>
      <c r="BF13" s="49">
        <v>0</v>
      </c>
      <c r="BG13" s="50">
        <v>0</v>
      </c>
      <c r="BH13" s="49">
        <v>0</v>
      </c>
      <c r="BI13" s="50">
        <v>0</v>
      </c>
      <c r="BJ13" s="49">
        <v>0</v>
      </c>
      <c r="BK13" s="50">
        <v>0</v>
      </c>
      <c r="BL13" s="49">
        <v>12</v>
      </c>
      <c r="BM13" s="50">
        <v>100</v>
      </c>
      <c r="BN13" s="49">
        <v>12</v>
      </c>
    </row>
    <row r="14" spans="1:66" ht="15">
      <c r="A14" s="65" t="s">
        <v>231</v>
      </c>
      <c r="B14" s="65" t="s">
        <v>231</v>
      </c>
      <c r="C14" s="66" t="s">
        <v>4392</v>
      </c>
      <c r="D14" s="67">
        <v>1</v>
      </c>
      <c r="E14" s="68" t="s">
        <v>132</v>
      </c>
      <c r="F14" s="69">
        <v>32</v>
      </c>
      <c r="G14" s="66" t="s">
        <v>51</v>
      </c>
      <c r="H14" s="70"/>
      <c r="I14" s="71"/>
      <c r="J14" s="71"/>
      <c r="K14" s="35" t="s">
        <v>65</v>
      </c>
      <c r="L14" s="79">
        <v>14</v>
      </c>
      <c r="M14" s="79"/>
      <c r="N14" s="73"/>
      <c r="O14" s="81" t="s">
        <v>187</v>
      </c>
      <c r="P14" s="83">
        <v>44643.083344907405</v>
      </c>
      <c r="Q14" s="81" t="s">
        <v>510</v>
      </c>
      <c r="R14" s="81"/>
      <c r="S14" s="81"/>
      <c r="T14" s="85" t="s">
        <v>588</v>
      </c>
      <c r="U14" s="84" t="str">
        <f>HYPERLINK("https://pbs.twimg.com/media/FOf6q78VsAMEOSY.jpg")</f>
        <v>https://pbs.twimg.com/media/FOf6q78VsAMEOSY.jpg</v>
      </c>
      <c r="V14" s="84" t="str">
        <f>HYPERLINK("https://pbs.twimg.com/media/FOf6q78VsAMEOSY.jpg")</f>
        <v>https://pbs.twimg.com/media/FOf6q78VsAMEOSY.jpg</v>
      </c>
      <c r="W14" s="83">
        <v>44643.083344907405</v>
      </c>
      <c r="X14" s="88">
        <v>44643</v>
      </c>
      <c r="Y14" s="85" t="s">
        <v>611</v>
      </c>
      <c r="Z14" s="84" t="str">
        <f>HYPERLINK("https://twitter.com/gilangtamrin1/status/1506450665308045314")</f>
        <v>https://twitter.com/gilangtamrin1/status/1506450665308045314</v>
      </c>
      <c r="AA14" s="81"/>
      <c r="AB14" s="81"/>
      <c r="AC14" s="85" t="s">
        <v>880</v>
      </c>
      <c r="AD14" s="81"/>
      <c r="AE14" s="81" t="b">
        <v>0</v>
      </c>
      <c r="AF14" s="81">
        <v>0</v>
      </c>
      <c r="AG14" s="85" t="s">
        <v>1162</v>
      </c>
      <c r="AH14" s="81" t="b">
        <v>0</v>
      </c>
      <c r="AI14" s="81" t="s">
        <v>1176</v>
      </c>
      <c r="AJ14" s="81"/>
      <c r="AK14" s="85" t="s">
        <v>1162</v>
      </c>
      <c r="AL14" s="81" t="b">
        <v>0</v>
      </c>
      <c r="AM14" s="81">
        <v>0</v>
      </c>
      <c r="AN14" s="85" t="s">
        <v>1162</v>
      </c>
      <c r="AO14" s="85" t="s">
        <v>1189</v>
      </c>
      <c r="AP14" s="81" t="b">
        <v>0</v>
      </c>
      <c r="AQ14" s="85" t="s">
        <v>880</v>
      </c>
      <c r="AR14" s="81" t="s">
        <v>187</v>
      </c>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3</v>
      </c>
      <c r="BF14" s="49">
        <v>0</v>
      </c>
      <c r="BG14" s="50">
        <v>0</v>
      </c>
      <c r="BH14" s="49">
        <v>0</v>
      </c>
      <c r="BI14" s="50">
        <v>0</v>
      </c>
      <c r="BJ14" s="49">
        <v>0</v>
      </c>
      <c r="BK14" s="50">
        <v>0</v>
      </c>
      <c r="BL14" s="49">
        <v>12</v>
      </c>
      <c r="BM14" s="50">
        <v>100</v>
      </c>
      <c r="BN14" s="49">
        <v>12</v>
      </c>
    </row>
    <row r="15" spans="1:66" ht="15">
      <c r="A15" s="65" t="s">
        <v>232</v>
      </c>
      <c r="B15" s="65" t="s">
        <v>491</v>
      </c>
      <c r="C15" s="66" t="s">
        <v>4392</v>
      </c>
      <c r="D15" s="67">
        <v>1</v>
      </c>
      <c r="E15" s="68" t="s">
        <v>132</v>
      </c>
      <c r="F15" s="69">
        <v>32</v>
      </c>
      <c r="G15" s="66" t="s">
        <v>51</v>
      </c>
      <c r="H15" s="70"/>
      <c r="I15" s="71"/>
      <c r="J15" s="71"/>
      <c r="K15" s="35" t="s">
        <v>65</v>
      </c>
      <c r="L15" s="79">
        <v>15</v>
      </c>
      <c r="M15" s="79"/>
      <c r="N15" s="73"/>
      <c r="O15" s="81" t="s">
        <v>502</v>
      </c>
      <c r="P15" s="83">
        <v>44643.35946759259</v>
      </c>
      <c r="Q15" s="81" t="s">
        <v>511</v>
      </c>
      <c r="R15" s="81"/>
      <c r="S15" s="81"/>
      <c r="T15" s="81"/>
      <c r="U15" s="81"/>
      <c r="V15" s="84" t="str">
        <f>HYPERLINK("https://pbs.twimg.com/profile_images/1506720638031241216/IujRUTkp_normal.jpg")</f>
        <v>https://pbs.twimg.com/profile_images/1506720638031241216/IujRUTkp_normal.jpg</v>
      </c>
      <c r="W15" s="83">
        <v>44643.35946759259</v>
      </c>
      <c r="X15" s="88">
        <v>44643</v>
      </c>
      <c r="Y15" s="85" t="s">
        <v>612</v>
      </c>
      <c r="Z15" s="84" t="str">
        <f>HYPERLINK("https://twitter.com/inirpjk/status/1506550727468269570")</f>
        <v>https://twitter.com/inirpjk/status/1506550727468269570</v>
      </c>
      <c r="AA15" s="81"/>
      <c r="AB15" s="81"/>
      <c r="AC15" s="85" t="s">
        <v>881</v>
      </c>
      <c r="AD15" s="85" t="s">
        <v>1146</v>
      </c>
      <c r="AE15" s="81" t="b">
        <v>0</v>
      </c>
      <c r="AF15" s="81">
        <v>0</v>
      </c>
      <c r="AG15" s="85" t="s">
        <v>1163</v>
      </c>
      <c r="AH15" s="81" t="b">
        <v>0</v>
      </c>
      <c r="AI15" s="81" t="s">
        <v>1176</v>
      </c>
      <c r="AJ15" s="81"/>
      <c r="AK15" s="85" t="s">
        <v>1162</v>
      </c>
      <c r="AL15" s="81" t="b">
        <v>0</v>
      </c>
      <c r="AM15" s="81">
        <v>0</v>
      </c>
      <c r="AN15" s="85" t="s">
        <v>1162</v>
      </c>
      <c r="AO15" s="85" t="s">
        <v>1190</v>
      </c>
      <c r="AP15" s="81" t="b">
        <v>0</v>
      </c>
      <c r="AQ15" s="85" t="s">
        <v>1146</v>
      </c>
      <c r="AR15" s="81" t="s">
        <v>187</v>
      </c>
      <c r="AS15" s="81">
        <v>0</v>
      </c>
      <c r="AT15" s="81">
        <v>0</v>
      </c>
      <c r="AU15" s="81"/>
      <c r="AV15" s="81"/>
      <c r="AW15" s="81"/>
      <c r="AX15" s="81"/>
      <c r="AY15" s="81"/>
      <c r="AZ15" s="81"/>
      <c r="BA15" s="81"/>
      <c r="BB15" s="81"/>
      <c r="BC15">
        <v>1</v>
      </c>
      <c r="BD15" s="80" t="str">
        <f>REPLACE(INDEX(GroupVertices[Group],MATCH(Edges[[#This Row],[Vertex 1]],GroupVertices[Vertex],0)),1,1,"")</f>
        <v>21</v>
      </c>
      <c r="BE15" s="80" t="str">
        <f>REPLACE(INDEX(GroupVertices[Group],MATCH(Edges[[#This Row],[Vertex 2]],GroupVertices[Vertex],0)),1,1,"")</f>
        <v>21</v>
      </c>
      <c r="BF15" s="49">
        <v>0</v>
      </c>
      <c r="BG15" s="50">
        <v>0</v>
      </c>
      <c r="BH15" s="49">
        <v>0</v>
      </c>
      <c r="BI15" s="50">
        <v>0</v>
      </c>
      <c r="BJ15" s="49">
        <v>0</v>
      </c>
      <c r="BK15" s="50">
        <v>0</v>
      </c>
      <c r="BL15" s="49">
        <v>3</v>
      </c>
      <c r="BM15" s="50">
        <v>100</v>
      </c>
      <c r="BN15" s="49">
        <v>3</v>
      </c>
    </row>
    <row r="16" spans="1:66" ht="15">
      <c r="A16" s="65" t="s">
        <v>233</v>
      </c>
      <c r="B16" s="65" t="s">
        <v>430</v>
      </c>
      <c r="C16" s="66" t="s">
        <v>4392</v>
      </c>
      <c r="D16" s="67">
        <v>1</v>
      </c>
      <c r="E16" s="68" t="s">
        <v>132</v>
      </c>
      <c r="F16" s="69">
        <v>32</v>
      </c>
      <c r="G16" s="66" t="s">
        <v>51</v>
      </c>
      <c r="H16" s="70"/>
      <c r="I16" s="71"/>
      <c r="J16" s="71"/>
      <c r="K16" s="35" t="s">
        <v>65</v>
      </c>
      <c r="L16" s="79">
        <v>16</v>
      </c>
      <c r="M16" s="79"/>
      <c r="N16" s="73"/>
      <c r="O16" s="81" t="s">
        <v>504</v>
      </c>
      <c r="P16" s="83">
        <v>44643.55233796296</v>
      </c>
      <c r="Q16" s="81" t="s">
        <v>512</v>
      </c>
      <c r="R16" s="81"/>
      <c r="S16" s="81"/>
      <c r="T16" s="81"/>
      <c r="U16" s="84" t="str">
        <f>HYPERLINK("https://pbs.twimg.com/media/FOiWtSbWYAkulkw.jpg")</f>
        <v>https://pbs.twimg.com/media/FOiWtSbWYAkulkw.jpg</v>
      </c>
      <c r="V16" s="84" t="str">
        <f>HYPERLINK("https://pbs.twimg.com/media/FOiWtSbWYAkulkw.jpg")</f>
        <v>https://pbs.twimg.com/media/FOiWtSbWYAkulkw.jpg</v>
      </c>
      <c r="W16" s="83">
        <v>44643.55233796296</v>
      </c>
      <c r="X16" s="88">
        <v>44643</v>
      </c>
      <c r="Y16" s="85" t="s">
        <v>613</v>
      </c>
      <c r="Z16" s="84" t="str">
        <f>HYPERLINK("https://twitter.com/o_tiainen/status/1506620619638689792")</f>
        <v>https://twitter.com/o_tiainen/status/1506620619638689792</v>
      </c>
      <c r="AA16" s="81"/>
      <c r="AB16" s="81"/>
      <c r="AC16" s="85" t="s">
        <v>882</v>
      </c>
      <c r="AD16" s="81"/>
      <c r="AE16" s="81" t="b">
        <v>0</v>
      </c>
      <c r="AF16" s="81">
        <v>0</v>
      </c>
      <c r="AG16" s="85" t="s">
        <v>1162</v>
      </c>
      <c r="AH16" s="81" t="b">
        <v>0</v>
      </c>
      <c r="AI16" s="81" t="s">
        <v>1179</v>
      </c>
      <c r="AJ16" s="81"/>
      <c r="AK16" s="85" t="s">
        <v>1162</v>
      </c>
      <c r="AL16" s="81" t="b">
        <v>0</v>
      </c>
      <c r="AM16" s="81">
        <v>68</v>
      </c>
      <c r="AN16" s="85" t="s">
        <v>1081</v>
      </c>
      <c r="AO16" s="85" t="s">
        <v>1189</v>
      </c>
      <c r="AP16" s="81" t="b">
        <v>0</v>
      </c>
      <c r="AQ16" s="85" t="s">
        <v>1081</v>
      </c>
      <c r="AR16" s="81" t="s">
        <v>187</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v>0</v>
      </c>
      <c r="BG16" s="50">
        <v>0</v>
      </c>
      <c r="BH16" s="49">
        <v>0</v>
      </c>
      <c r="BI16" s="50">
        <v>0</v>
      </c>
      <c r="BJ16" s="49">
        <v>0</v>
      </c>
      <c r="BK16" s="50">
        <v>0</v>
      </c>
      <c r="BL16" s="49">
        <v>6</v>
      </c>
      <c r="BM16" s="50">
        <v>100</v>
      </c>
      <c r="BN16" s="49">
        <v>6</v>
      </c>
    </row>
    <row r="17" spans="1:66" ht="15">
      <c r="A17" s="65" t="s">
        <v>234</v>
      </c>
      <c r="B17" s="65" t="s">
        <v>430</v>
      </c>
      <c r="C17" s="66" t="s">
        <v>4392</v>
      </c>
      <c r="D17" s="67">
        <v>1</v>
      </c>
      <c r="E17" s="68" t="s">
        <v>132</v>
      </c>
      <c r="F17" s="69">
        <v>32</v>
      </c>
      <c r="G17" s="66" t="s">
        <v>51</v>
      </c>
      <c r="H17" s="70"/>
      <c r="I17" s="71"/>
      <c r="J17" s="71"/>
      <c r="K17" s="35" t="s">
        <v>65</v>
      </c>
      <c r="L17" s="79">
        <v>17</v>
      </c>
      <c r="M17" s="79"/>
      <c r="N17" s="73"/>
      <c r="O17" s="81" t="s">
        <v>504</v>
      </c>
      <c r="P17" s="83">
        <v>44643.553611111114</v>
      </c>
      <c r="Q17" s="81" t="s">
        <v>512</v>
      </c>
      <c r="R17" s="81"/>
      <c r="S17" s="81"/>
      <c r="T17" s="81"/>
      <c r="U17" s="84" t="str">
        <f>HYPERLINK("https://pbs.twimg.com/media/FOiWtSbWYAkulkw.jpg")</f>
        <v>https://pbs.twimg.com/media/FOiWtSbWYAkulkw.jpg</v>
      </c>
      <c r="V17" s="84" t="str">
        <f>HYPERLINK("https://pbs.twimg.com/media/FOiWtSbWYAkulkw.jpg")</f>
        <v>https://pbs.twimg.com/media/FOiWtSbWYAkulkw.jpg</v>
      </c>
      <c r="W17" s="83">
        <v>44643.553611111114</v>
      </c>
      <c r="X17" s="88">
        <v>44643</v>
      </c>
      <c r="Y17" s="85" t="s">
        <v>614</v>
      </c>
      <c r="Z17" s="84" t="str">
        <f>HYPERLINK("https://twitter.com/kallaslukka/status/1506621084694683648")</f>
        <v>https://twitter.com/kallaslukka/status/1506621084694683648</v>
      </c>
      <c r="AA17" s="81"/>
      <c r="AB17" s="81"/>
      <c r="AC17" s="85" t="s">
        <v>883</v>
      </c>
      <c r="AD17" s="81"/>
      <c r="AE17" s="81" t="b">
        <v>0</v>
      </c>
      <c r="AF17" s="81">
        <v>0</v>
      </c>
      <c r="AG17" s="85" t="s">
        <v>1162</v>
      </c>
      <c r="AH17" s="81" t="b">
        <v>0</v>
      </c>
      <c r="AI17" s="81" t="s">
        <v>1179</v>
      </c>
      <c r="AJ17" s="81"/>
      <c r="AK17" s="85" t="s">
        <v>1162</v>
      </c>
      <c r="AL17" s="81" t="b">
        <v>0</v>
      </c>
      <c r="AM17" s="81">
        <v>68</v>
      </c>
      <c r="AN17" s="85" t="s">
        <v>1081</v>
      </c>
      <c r="AO17" s="85" t="s">
        <v>1188</v>
      </c>
      <c r="AP17" s="81" t="b">
        <v>0</v>
      </c>
      <c r="AQ17" s="85" t="s">
        <v>1081</v>
      </c>
      <c r="AR17" s="81" t="s">
        <v>187</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0</v>
      </c>
      <c r="BI17" s="50">
        <v>0</v>
      </c>
      <c r="BJ17" s="49">
        <v>0</v>
      </c>
      <c r="BK17" s="50">
        <v>0</v>
      </c>
      <c r="BL17" s="49">
        <v>6</v>
      </c>
      <c r="BM17" s="50">
        <v>100</v>
      </c>
      <c r="BN17" s="49">
        <v>6</v>
      </c>
    </row>
    <row r="18" spans="1:66" ht="15">
      <c r="A18" s="65" t="s">
        <v>235</v>
      </c>
      <c r="B18" s="65" t="s">
        <v>430</v>
      </c>
      <c r="C18" s="66" t="s">
        <v>4392</v>
      </c>
      <c r="D18" s="67">
        <v>1</v>
      </c>
      <c r="E18" s="68" t="s">
        <v>132</v>
      </c>
      <c r="F18" s="69">
        <v>32</v>
      </c>
      <c r="G18" s="66" t="s">
        <v>51</v>
      </c>
      <c r="H18" s="70"/>
      <c r="I18" s="71"/>
      <c r="J18" s="71"/>
      <c r="K18" s="35" t="s">
        <v>65</v>
      </c>
      <c r="L18" s="79">
        <v>18</v>
      </c>
      <c r="M18" s="79"/>
      <c r="N18" s="73"/>
      <c r="O18" s="81" t="s">
        <v>504</v>
      </c>
      <c r="P18" s="83">
        <v>44643.556446759256</v>
      </c>
      <c r="Q18" s="81" t="s">
        <v>512</v>
      </c>
      <c r="R18" s="81"/>
      <c r="S18" s="81"/>
      <c r="T18" s="81"/>
      <c r="U18" s="84" t="str">
        <f>HYPERLINK("https://pbs.twimg.com/media/FOiWtSbWYAkulkw.jpg")</f>
        <v>https://pbs.twimg.com/media/FOiWtSbWYAkulkw.jpg</v>
      </c>
      <c r="V18" s="84" t="str">
        <f>HYPERLINK("https://pbs.twimg.com/media/FOiWtSbWYAkulkw.jpg")</f>
        <v>https://pbs.twimg.com/media/FOiWtSbWYAkulkw.jpg</v>
      </c>
      <c r="W18" s="83">
        <v>44643.556446759256</v>
      </c>
      <c r="X18" s="88">
        <v>44643</v>
      </c>
      <c r="Y18" s="85" t="s">
        <v>615</v>
      </c>
      <c r="Z18" s="84" t="str">
        <f>HYPERLINK("https://twitter.com/niko01650/status/1506622112617967617")</f>
        <v>https://twitter.com/niko01650/status/1506622112617967617</v>
      </c>
      <c r="AA18" s="81"/>
      <c r="AB18" s="81"/>
      <c r="AC18" s="85" t="s">
        <v>884</v>
      </c>
      <c r="AD18" s="81"/>
      <c r="AE18" s="81" t="b">
        <v>0</v>
      </c>
      <c r="AF18" s="81">
        <v>0</v>
      </c>
      <c r="AG18" s="85" t="s">
        <v>1162</v>
      </c>
      <c r="AH18" s="81" t="b">
        <v>0</v>
      </c>
      <c r="AI18" s="81" t="s">
        <v>1179</v>
      </c>
      <c r="AJ18" s="81"/>
      <c r="AK18" s="85" t="s">
        <v>1162</v>
      </c>
      <c r="AL18" s="81" t="b">
        <v>0</v>
      </c>
      <c r="AM18" s="81">
        <v>68</v>
      </c>
      <c r="AN18" s="85" t="s">
        <v>1081</v>
      </c>
      <c r="AO18" s="85" t="s">
        <v>1190</v>
      </c>
      <c r="AP18" s="81" t="b">
        <v>0</v>
      </c>
      <c r="AQ18" s="85" t="s">
        <v>1081</v>
      </c>
      <c r="AR18" s="81" t="s">
        <v>187</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0</v>
      </c>
      <c r="BG18" s="50">
        <v>0</v>
      </c>
      <c r="BH18" s="49">
        <v>0</v>
      </c>
      <c r="BI18" s="50">
        <v>0</v>
      </c>
      <c r="BJ18" s="49">
        <v>0</v>
      </c>
      <c r="BK18" s="50">
        <v>0</v>
      </c>
      <c r="BL18" s="49">
        <v>6</v>
      </c>
      <c r="BM18" s="50">
        <v>100</v>
      </c>
      <c r="BN18" s="49">
        <v>6</v>
      </c>
    </row>
    <row r="19" spans="1:66" ht="15">
      <c r="A19" s="65" t="s">
        <v>236</v>
      </c>
      <c r="B19" s="65" t="s">
        <v>430</v>
      </c>
      <c r="C19" s="66" t="s">
        <v>4392</v>
      </c>
      <c r="D19" s="67">
        <v>1</v>
      </c>
      <c r="E19" s="68" t="s">
        <v>132</v>
      </c>
      <c r="F19" s="69">
        <v>32</v>
      </c>
      <c r="G19" s="66" t="s">
        <v>51</v>
      </c>
      <c r="H19" s="70"/>
      <c r="I19" s="71"/>
      <c r="J19" s="71"/>
      <c r="K19" s="35" t="s">
        <v>65</v>
      </c>
      <c r="L19" s="79">
        <v>19</v>
      </c>
      <c r="M19" s="79"/>
      <c r="N19" s="73"/>
      <c r="O19" s="81" t="s">
        <v>504</v>
      </c>
      <c r="P19" s="83">
        <v>44643.557905092595</v>
      </c>
      <c r="Q19" s="81" t="s">
        <v>512</v>
      </c>
      <c r="R19" s="81"/>
      <c r="S19" s="81"/>
      <c r="T19" s="81"/>
      <c r="U19" s="84" t="str">
        <f>HYPERLINK("https://pbs.twimg.com/media/FOiWtSbWYAkulkw.jpg")</f>
        <v>https://pbs.twimg.com/media/FOiWtSbWYAkulkw.jpg</v>
      </c>
      <c r="V19" s="84" t="str">
        <f>HYPERLINK("https://pbs.twimg.com/media/FOiWtSbWYAkulkw.jpg")</f>
        <v>https://pbs.twimg.com/media/FOiWtSbWYAkulkw.jpg</v>
      </c>
      <c r="W19" s="83">
        <v>44643.557905092595</v>
      </c>
      <c r="X19" s="88">
        <v>44643</v>
      </c>
      <c r="Y19" s="85" t="s">
        <v>616</v>
      </c>
      <c r="Z19" s="84" t="str">
        <f>HYPERLINK("https://twitter.com/miemo/status/1506622640110329863")</f>
        <v>https://twitter.com/miemo/status/1506622640110329863</v>
      </c>
      <c r="AA19" s="81"/>
      <c r="AB19" s="81"/>
      <c r="AC19" s="85" t="s">
        <v>885</v>
      </c>
      <c r="AD19" s="81"/>
      <c r="AE19" s="81" t="b">
        <v>0</v>
      </c>
      <c r="AF19" s="81">
        <v>0</v>
      </c>
      <c r="AG19" s="85" t="s">
        <v>1162</v>
      </c>
      <c r="AH19" s="81" t="b">
        <v>0</v>
      </c>
      <c r="AI19" s="81" t="s">
        <v>1179</v>
      </c>
      <c r="AJ19" s="81"/>
      <c r="AK19" s="85" t="s">
        <v>1162</v>
      </c>
      <c r="AL19" s="81" t="b">
        <v>0</v>
      </c>
      <c r="AM19" s="81">
        <v>68</v>
      </c>
      <c r="AN19" s="85" t="s">
        <v>1081</v>
      </c>
      <c r="AO19" s="85" t="s">
        <v>1189</v>
      </c>
      <c r="AP19" s="81" t="b">
        <v>0</v>
      </c>
      <c r="AQ19" s="85" t="s">
        <v>1081</v>
      </c>
      <c r="AR19" s="81" t="s">
        <v>187</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v>0</v>
      </c>
      <c r="BG19" s="50">
        <v>0</v>
      </c>
      <c r="BH19" s="49">
        <v>0</v>
      </c>
      <c r="BI19" s="50">
        <v>0</v>
      </c>
      <c r="BJ19" s="49">
        <v>0</v>
      </c>
      <c r="BK19" s="50">
        <v>0</v>
      </c>
      <c r="BL19" s="49">
        <v>6</v>
      </c>
      <c r="BM19" s="50">
        <v>100</v>
      </c>
      <c r="BN19" s="49">
        <v>6</v>
      </c>
    </row>
    <row r="20" spans="1:66" ht="15">
      <c r="A20" s="65" t="s">
        <v>237</v>
      </c>
      <c r="B20" s="65" t="s">
        <v>430</v>
      </c>
      <c r="C20" s="66" t="s">
        <v>4392</v>
      </c>
      <c r="D20" s="67">
        <v>1</v>
      </c>
      <c r="E20" s="68" t="s">
        <v>132</v>
      </c>
      <c r="F20" s="69">
        <v>32</v>
      </c>
      <c r="G20" s="66" t="s">
        <v>51</v>
      </c>
      <c r="H20" s="70"/>
      <c r="I20" s="71"/>
      <c r="J20" s="71"/>
      <c r="K20" s="35" t="s">
        <v>65</v>
      </c>
      <c r="L20" s="79">
        <v>20</v>
      </c>
      <c r="M20" s="79"/>
      <c r="N20" s="73"/>
      <c r="O20" s="81" t="s">
        <v>504</v>
      </c>
      <c r="P20" s="83">
        <v>44643.55960648148</v>
      </c>
      <c r="Q20" s="81" t="s">
        <v>512</v>
      </c>
      <c r="R20" s="81"/>
      <c r="S20" s="81"/>
      <c r="T20" s="81"/>
      <c r="U20" s="84" t="str">
        <f>HYPERLINK("https://pbs.twimg.com/media/FOiWtSbWYAkulkw.jpg")</f>
        <v>https://pbs.twimg.com/media/FOiWtSbWYAkulkw.jpg</v>
      </c>
      <c r="V20" s="84" t="str">
        <f>HYPERLINK("https://pbs.twimg.com/media/FOiWtSbWYAkulkw.jpg")</f>
        <v>https://pbs.twimg.com/media/FOiWtSbWYAkulkw.jpg</v>
      </c>
      <c r="W20" s="83">
        <v>44643.55960648148</v>
      </c>
      <c r="X20" s="88">
        <v>44643</v>
      </c>
      <c r="Y20" s="85" t="s">
        <v>617</v>
      </c>
      <c r="Z20" s="84" t="str">
        <f>HYPERLINK("https://twitter.com/npmatilainen/status/1506623256526307335")</f>
        <v>https://twitter.com/npmatilainen/status/1506623256526307335</v>
      </c>
      <c r="AA20" s="81"/>
      <c r="AB20" s="81"/>
      <c r="AC20" s="85" t="s">
        <v>886</v>
      </c>
      <c r="AD20" s="81"/>
      <c r="AE20" s="81" t="b">
        <v>0</v>
      </c>
      <c r="AF20" s="81">
        <v>0</v>
      </c>
      <c r="AG20" s="85" t="s">
        <v>1162</v>
      </c>
      <c r="AH20" s="81" t="b">
        <v>0</v>
      </c>
      <c r="AI20" s="81" t="s">
        <v>1179</v>
      </c>
      <c r="AJ20" s="81"/>
      <c r="AK20" s="85" t="s">
        <v>1162</v>
      </c>
      <c r="AL20" s="81" t="b">
        <v>0</v>
      </c>
      <c r="AM20" s="81">
        <v>68</v>
      </c>
      <c r="AN20" s="85" t="s">
        <v>1081</v>
      </c>
      <c r="AO20" s="85" t="s">
        <v>1190</v>
      </c>
      <c r="AP20" s="81" t="b">
        <v>0</v>
      </c>
      <c r="AQ20" s="85" t="s">
        <v>1081</v>
      </c>
      <c r="AR20" s="81" t="s">
        <v>187</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v>0</v>
      </c>
      <c r="BG20" s="50">
        <v>0</v>
      </c>
      <c r="BH20" s="49">
        <v>0</v>
      </c>
      <c r="BI20" s="50">
        <v>0</v>
      </c>
      <c r="BJ20" s="49">
        <v>0</v>
      </c>
      <c r="BK20" s="50">
        <v>0</v>
      </c>
      <c r="BL20" s="49">
        <v>6</v>
      </c>
      <c r="BM20" s="50">
        <v>100</v>
      </c>
      <c r="BN20" s="49">
        <v>6</v>
      </c>
    </row>
    <row r="21" spans="1:66" ht="15">
      <c r="A21" s="65" t="s">
        <v>238</v>
      </c>
      <c r="B21" s="65" t="s">
        <v>430</v>
      </c>
      <c r="C21" s="66" t="s">
        <v>4392</v>
      </c>
      <c r="D21" s="67">
        <v>1</v>
      </c>
      <c r="E21" s="68" t="s">
        <v>132</v>
      </c>
      <c r="F21" s="69">
        <v>32</v>
      </c>
      <c r="G21" s="66" t="s">
        <v>51</v>
      </c>
      <c r="H21" s="70"/>
      <c r="I21" s="71"/>
      <c r="J21" s="71"/>
      <c r="K21" s="35" t="s">
        <v>65</v>
      </c>
      <c r="L21" s="79">
        <v>21</v>
      </c>
      <c r="M21" s="79"/>
      <c r="N21" s="73"/>
      <c r="O21" s="81" t="s">
        <v>504</v>
      </c>
      <c r="P21" s="83">
        <v>44643.56212962963</v>
      </c>
      <c r="Q21" s="81" t="s">
        <v>512</v>
      </c>
      <c r="R21" s="81"/>
      <c r="S21" s="81"/>
      <c r="T21" s="81"/>
      <c r="U21" s="84" t="str">
        <f>HYPERLINK("https://pbs.twimg.com/media/FOiWtSbWYAkulkw.jpg")</f>
        <v>https://pbs.twimg.com/media/FOiWtSbWYAkulkw.jpg</v>
      </c>
      <c r="V21" s="84" t="str">
        <f>HYPERLINK("https://pbs.twimg.com/media/FOiWtSbWYAkulkw.jpg")</f>
        <v>https://pbs.twimg.com/media/FOiWtSbWYAkulkw.jpg</v>
      </c>
      <c r="W21" s="83">
        <v>44643.56212962963</v>
      </c>
      <c r="X21" s="88">
        <v>44643</v>
      </c>
      <c r="Y21" s="85" t="s">
        <v>618</v>
      </c>
      <c r="Z21" s="84" t="str">
        <f>HYPERLINK("https://twitter.com/tiiamaija/status/1506624168925835265")</f>
        <v>https://twitter.com/tiiamaija/status/1506624168925835265</v>
      </c>
      <c r="AA21" s="81"/>
      <c r="AB21" s="81"/>
      <c r="AC21" s="85" t="s">
        <v>887</v>
      </c>
      <c r="AD21" s="81"/>
      <c r="AE21" s="81" t="b">
        <v>0</v>
      </c>
      <c r="AF21" s="81">
        <v>0</v>
      </c>
      <c r="AG21" s="85" t="s">
        <v>1162</v>
      </c>
      <c r="AH21" s="81" t="b">
        <v>0</v>
      </c>
      <c r="AI21" s="81" t="s">
        <v>1179</v>
      </c>
      <c r="AJ21" s="81"/>
      <c r="AK21" s="85" t="s">
        <v>1162</v>
      </c>
      <c r="AL21" s="81" t="b">
        <v>0</v>
      </c>
      <c r="AM21" s="81">
        <v>68</v>
      </c>
      <c r="AN21" s="85" t="s">
        <v>1081</v>
      </c>
      <c r="AO21" s="85" t="s">
        <v>1188</v>
      </c>
      <c r="AP21" s="81" t="b">
        <v>0</v>
      </c>
      <c r="AQ21" s="85" t="s">
        <v>1081</v>
      </c>
      <c r="AR21" s="81" t="s">
        <v>187</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v>0</v>
      </c>
      <c r="BG21" s="50">
        <v>0</v>
      </c>
      <c r="BH21" s="49">
        <v>0</v>
      </c>
      <c r="BI21" s="50">
        <v>0</v>
      </c>
      <c r="BJ21" s="49">
        <v>0</v>
      </c>
      <c r="BK21" s="50">
        <v>0</v>
      </c>
      <c r="BL21" s="49">
        <v>6</v>
      </c>
      <c r="BM21" s="50">
        <v>100</v>
      </c>
      <c r="BN21" s="49">
        <v>6</v>
      </c>
    </row>
    <row r="22" spans="1:66" ht="15">
      <c r="A22" s="65" t="s">
        <v>239</v>
      </c>
      <c r="B22" s="65" t="s">
        <v>430</v>
      </c>
      <c r="C22" s="66" t="s">
        <v>4392</v>
      </c>
      <c r="D22" s="67">
        <v>1</v>
      </c>
      <c r="E22" s="68" t="s">
        <v>132</v>
      </c>
      <c r="F22" s="69">
        <v>32</v>
      </c>
      <c r="G22" s="66" t="s">
        <v>51</v>
      </c>
      <c r="H22" s="70"/>
      <c r="I22" s="71"/>
      <c r="J22" s="71"/>
      <c r="K22" s="35" t="s">
        <v>65</v>
      </c>
      <c r="L22" s="79">
        <v>22</v>
      </c>
      <c r="M22" s="79"/>
      <c r="N22" s="73"/>
      <c r="O22" s="81" t="s">
        <v>504</v>
      </c>
      <c r="P22" s="83">
        <v>44643.56549768519</v>
      </c>
      <c r="Q22" s="81" t="s">
        <v>512</v>
      </c>
      <c r="R22" s="81"/>
      <c r="S22" s="81"/>
      <c r="T22" s="81"/>
      <c r="U22" s="84" t="str">
        <f>HYPERLINK("https://pbs.twimg.com/media/FOiWtSbWYAkulkw.jpg")</f>
        <v>https://pbs.twimg.com/media/FOiWtSbWYAkulkw.jpg</v>
      </c>
      <c r="V22" s="84" t="str">
        <f>HYPERLINK("https://pbs.twimg.com/media/FOiWtSbWYAkulkw.jpg")</f>
        <v>https://pbs.twimg.com/media/FOiWtSbWYAkulkw.jpg</v>
      </c>
      <c r="W22" s="83">
        <v>44643.56549768519</v>
      </c>
      <c r="X22" s="88">
        <v>44643</v>
      </c>
      <c r="Y22" s="85" t="s">
        <v>619</v>
      </c>
      <c r="Z22" s="84" t="str">
        <f>HYPERLINK("https://twitter.com/kateellinenl/status/1506625388772012035")</f>
        <v>https://twitter.com/kateellinenl/status/1506625388772012035</v>
      </c>
      <c r="AA22" s="81"/>
      <c r="AB22" s="81"/>
      <c r="AC22" s="85" t="s">
        <v>888</v>
      </c>
      <c r="AD22" s="81"/>
      <c r="AE22" s="81" t="b">
        <v>0</v>
      </c>
      <c r="AF22" s="81">
        <v>0</v>
      </c>
      <c r="AG22" s="85" t="s">
        <v>1162</v>
      </c>
      <c r="AH22" s="81" t="b">
        <v>0</v>
      </c>
      <c r="AI22" s="81" t="s">
        <v>1179</v>
      </c>
      <c r="AJ22" s="81"/>
      <c r="AK22" s="85" t="s">
        <v>1162</v>
      </c>
      <c r="AL22" s="81" t="b">
        <v>0</v>
      </c>
      <c r="AM22" s="81">
        <v>68</v>
      </c>
      <c r="AN22" s="85" t="s">
        <v>1081</v>
      </c>
      <c r="AO22" s="85" t="s">
        <v>1189</v>
      </c>
      <c r="AP22" s="81" t="b">
        <v>0</v>
      </c>
      <c r="AQ22" s="85" t="s">
        <v>1081</v>
      </c>
      <c r="AR22" s="81" t="s">
        <v>187</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v>0</v>
      </c>
      <c r="BG22" s="50">
        <v>0</v>
      </c>
      <c r="BH22" s="49">
        <v>0</v>
      </c>
      <c r="BI22" s="50">
        <v>0</v>
      </c>
      <c r="BJ22" s="49">
        <v>0</v>
      </c>
      <c r="BK22" s="50">
        <v>0</v>
      </c>
      <c r="BL22" s="49">
        <v>6</v>
      </c>
      <c r="BM22" s="50">
        <v>100</v>
      </c>
      <c r="BN22" s="49">
        <v>6</v>
      </c>
    </row>
    <row r="23" spans="1:66" ht="15">
      <c r="A23" s="65" t="s">
        <v>240</v>
      </c>
      <c r="B23" s="65" t="s">
        <v>430</v>
      </c>
      <c r="C23" s="66" t="s">
        <v>4392</v>
      </c>
      <c r="D23" s="67">
        <v>1</v>
      </c>
      <c r="E23" s="68" t="s">
        <v>132</v>
      </c>
      <c r="F23" s="69">
        <v>32</v>
      </c>
      <c r="G23" s="66" t="s">
        <v>51</v>
      </c>
      <c r="H23" s="70"/>
      <c r="I23" s="71"/>
      <c r="J23" s="71"/>
      <c r="K23" s="35" t="s">
        <v>65</v>
      </c>
      <c r="L23" s="79">
        <v>23</v>
      </c>
      <c r="M23" s="79"/>
      <c r="N23" s="73"/>
      <c r="O23" s="81" t="s">
        <v>504</v>
      </c>
      <c r="P23" s="83">
        <v>44643.56667824074</v>
      </c>
      <c r="Q23" s="81" t="s">
        <v>512</v>
      </c>
      <c r="R23" s="81"/>
      <c r="S23" s="81"/>
      <c r="T23" s="81"/>
      <c r="U23" s="84" t="str">
        <f>HYPERLINK("https://pbs.twimg.com/media/FOiWtSbWYAkulkw.jpg")</f>
        <v>https://pbs.twimg.com/media/FOiWtSbWYAkulkw.jpg</v>
      </c>
      <c r="V23" s="84" t="str">
        <f>HYPERLINK("https://pbs.twimg.com/media/FOiWtSbWYAkulkw.jpg")</f>
        <v>https://pbs.twimg.com/media/FOiWtSbWYAkulkw.jpg</v>
      </c>
      <c r="W23" s="83">
        <v>44643.56667824074</v>
      </c>
      <c r="X23" s="88">
        <v>44643</v>
      </c>
      <c r="Y23" s="85" t="s">
        <v>620</v>
      </c>
      <c r="Z23" s="84" t="str">
        <f>HYPERLINK("https://twitter.com/ilmariwalker/status/1506625819707330563")</f>
        <v>https://twitter.com/ilmariwalker/status/1506625819707330563</v>
      </c>
      <c r="AA23" s="81"/>
      <c r="AB23" s="81"/>
      <c r="AC23" s="85" t="s">
        <v>889</v>
      </c>
      <c r="AD23" s="81"/>
      <c r="AE23" s="81" t="b">
        <v>0</v>
      </c>
      <c r="AF23" s="81">
        <v>0</v>
      </c>
      <c r="AG23" s="85" t="s">
        <v>1162</v>
      </c>
      <c r="AH23" s="81" t="b">
        <v>0</v>
      </c>
      <c r="AI23" s="81" t="s">
        <v>1179</v>
      </c>
      <c r="AJ23" s="81"/>
      <c r="AK23" s="85" t="s">
        <v>1162</v>
      </c>
      <c r="AL23" s="81" t="b">
        <v>0</v>
      </c>
      <c r="AM23" s="81">
        <v>68</v>
      </c>
      <c r="AN23" s="85" t="s">
        <v>1081</v>
      </c>
      <c r="AO23" s="85" t="s">
        <v>1190</v>
      </c>
      <c r="AP23" s="81" t="b">
        <v>0</v>
      </c>
      <c r="AQ23" s="85" t="s">
        <v>1081</v>
      </c>
      <c r="AR23" s="81" t="s">
        <v>187</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9">
        <v>0</v>
      </c>
      <c r="BG23" s="50">
        <v>0</v>
      </c>
      <c r="BH23" s="49">
        <v>0</v>
      </c>
      <c r="BI23" s="50">
        <v>0</v>
      </c>
      <c r="BJ23" s="49">
        <v>0</v>
      </c>
      <c r="BK23" s="50">
        <v>0</v>
      </c>
      <c r="BL23" s="49">
        <v>6</v>
      </c>
      <c r="BM23" s="50">
        <v>100</v>
      </c>
      <c r="BN23" s="49">
        <v>6</v>
      </c>
    </row>
    <row r="24" spans="1:66" ht="15">
      <c r="A24" s="65" t="s">
        <v>241</v>
      </c>
      <c r="B24" s="65" t="s">
        <v>430</v>
      </c>
      <c r="C24" s="66" t="s">
        <v>4392</v>
      </c>
      <c r="D24" s="67">
        <v>1</v>
      </c>
      <c r="E24" s="68" t="s">
        <v>132</v>
      </c>
      <c r="F24" s="69">
        <v>32</v>
      </c>
      <c r="G24" s="66" t="s">
        <v>51</v>
      </c>
      <c r="H24" s="70"/>
      <c r="I24" s="71"/>
      <c r="J24" s="71"/>
      <c r="K24" s="35" t="s">
        <v>65</v>
      </c>
      <c r="L24" s="79">
        <v>24</v>
      </c>
      <c r="M24" s="79"/>
      <c r="N24" s="73"/>
      <c r="O24" s="81" t="s">
        <v>504</v>
      </c>
      <c r="P24" s="83">
        <v>44643.57540509259</v>
      </c>
      <c r="Q24" s="81" t="s">
        <v>512</v>
      </c>
      <c r="R24" s="81"/>
      <c r="S24" s="81"/>
      <c r="T24" s="81"/>
      <c r="U24" s="84" t="str">
        <f>HYPERLINK("https://pbs.twimg.com/media/FOiWtSbWYAkulkw.jpg")</f>
        <v>https://pbs.twimg.com/media/FOiWtSbWYAkulkw.jpg</v>
      </c>
      <c r="V24" s="84" t="str">
        <f>HYPERLINK("https://pbs.twimg.com/media/FOiWtSbWYAkulkw.jpg")</f>
        <v>https://pbs.twimg.com/media/FOiWtSbWYAkulkw.jpg</v>
      </c>
      <c r="W24" s="83">
        <v>44643.57540509259</v>
      </c>
      <c r="X24" s="88">
        <v>44643</v>
      </c>
      <c r="Y24" s="85" t="s">
        <v>621</v>
      </c>
      <c r="Z24" s="84" t="str">
        <f>HYPERLINK("https://twitter.com/torlillqvist/status/1506628980148998148")</f>
        <v>https://twitter.com/torlillqvist/status/1506628980148998148</v>
      </c>
      <c r="AA24" s="81"/>
      <c r="AB24" s="81"/>
      <c r="AC24" s="85" t="s">
        <v>890</v>
      </c>
      <c r="AD24" s="81"/>
      <c r="AE24" s="81" t="b">
        <v>0</v>
      </c>
      <c r="AF24" s="81">
        <v>0</v>
      </c>
      <c r="AG24" s="85" t="s">
        <v>1162</v>
      </c>
      <c r="AH24" s="81" t="b">
        <v>0</v>
      </c>
      <c r="AI24" s="81" t="s">
        <v>1179</v>
      </c>
      <c r="AJ24" s="81"/>
      <c r="AK24" s="85" t="s">
        <v>1162</v>
      </c>
      <c r="AL24" s="81" t="b">
        <v>0</v>
      </c>
      <c r="AM24" s="81">
        <v>68</v>
      </c>
      <c r="AN24" s="85" t="s">
        <v>1081</v>
      </c>
      <c r="AO24" s="85" t="s">
        <v>1189</v>
      </c>
      <c r="AP24" s="81" t="b">
        <v>0</v>
      </c>
      <c r="AQ24" s="85" t="s">
        <v>1081</v>
      </c>
      <c r="AR24" s="81" t="s">
        <v>187</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v>0</v>
      </c>
      <c r="BG24" s="50">
        <v>0</v>
      </c>
      <c r="BH24" s="49">
        <v>0</v>
      </c>
      <c r="BI24" s="50">
        <v>0</v>
      </c>
      <c r="BJ24" s="49">
        <v>0</v>
      </c>
      <c r="BK24" s="50">
        <v>0</v>
      </c>
      <c r="BL24" s="49">
        <v>6</v>
      </c>
      <c r="BM24" s="50">
        <v>100</v>
      </c>
      <c r="BN24" s="49">
        <v>6</v>
      </c>
    </row>
    <row r="25" spans="1:66" ht="15">
      <c r="A25" s="65" t="s">
        <v>242</v>
      </c>
      <c r="B25" s="65" t="s">
        <v>430</v>
      </c>
      <c r="C25" s="66" t="s">
        <v>4392</v>
      </c>
      <c r="D25" s="67">
        <v>1</v>
      </c>
      <c r="E25" s="68" t="s">
        <v>132</v>
      </c>
      <c r="F25" s="69">
        <v>32</v>
      </c>
      <c r="G25" s="66" t="s">
        <v>51</v>
      </c>
      <c r="H25" s="70"/>
      <c r="I25" s="71"/>
      <c r="J25" s="71"/>
      <c r="K25" s="35" t="s">
        <v>65</v>
      </c>
      <c r="L25" s="79">
        <v>25</v>
      </c>
      <c r="M25" s="79"/>
      <c r="N25" s="73"/>
      <c r="O25" s="81" t="s">
        <v>504</v>
      </c>
      <c r="P25" s="83">
        <v>44643.57577546296</v>
      </c>
      <c r="Q25" s="81" t="s">
        <v>512</v>
      </c>
      <c r="R25" s="81"/>
      <c r="S25" s="81"/>
      <c r="T25" s="81"/>
      <c r="U25" s="84" t="str">
        <f>HYPERLINK("https://pbs.twimg.com/media/FOiWtSbWYAkulkw.jpg")</f>
        <v>https://pbs.twimg.com/media/FOiWtSbWYAkulkw.jpg</v>
      </c>
      <c r="V25" s="84" t="str">
        <f>HYPERLINK("https://pbs.twimg.com/media/FOiWtSbWYAkulkw.jpg")</f>
        <v>https://pbs.twimg.com/media/FOiWtSbWYAkulkw.jpg</v>
      </c>
      <c r="W25" s="83">
        <v>44643.57577546296</v>
      </c>
      <c r="X25" s="88">
        <v>44643</v>
      </c>
      <c r="Y25" s="85" t="s">
        <v>622</v>
      </c>
      <c r="Z25" s="84" t="str">
        <f>HYPERLINK("https://twitter.com/jannentnen/status/1506629114853212162")</f>
        <v>https://twitter.com/jannentnen/status/1506629114853212162</v>
      </c>
      <c r="AA25" s="81"/>
      <c r="AB25" s="81"/>
      <c r="AC25" s="85" t="s">
        <v>891</v>
      </c>
      <c r="AD25" s="81"/>
      <c r="AE25" s="81" t="b">
        <v>0</v>
      </c>
      <c r="AF25" s="81">
        <v>0</v>
      </c>
      <c r="AG25" s="85" t="s">
        <v>1162</v>
      </c>
      <c r="AH25" s="81" t="b">
        <v>0</v>
      </c>
      <c r="AI25" s="81" t="s">
        <v>1179</v>
      </c>
      <c r="AJ25" s="81"/>
      <c r="AK25" s="85" t="s">
        <v>1162</v>
      </c>
      <c r="AL25" s="81" t="b">
        <v>0</v>
      </c>
      <c r="AM25" s="81">
        <v>68</v>
      </c>
      <c r="AN25" s="85" t="s">
        <v>1081</v>
      </c>
      <c r="AO25" s="85" t="s">
        <v>1188</v>
      </c>
      <c r="AP25" s="81" t="b">
        <v>0</v>
      </c>
      <c r="AQ25" s="85" t="s">
        <v>1081</v>
      </c>
      <c r="AR25" s="81" t="s">
        <v>187</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9">
        <v>0</v>
      </c>
      <c r="BG25" s="50">
        <v>0</v>
      </c>
      <c r="BH25" s="49">
        <v>0</v>
      </c>
      <c r="BI25" s="50">
        <v>0</v>
      </c>
      <c r="BJ25" s="49">
        <v>0</v>
      </c>
      <c r="BK25" s="50">
        <v>0</v>
      </c>
      <c r="BL25" s="49">
        <v>6</v>
      </c>
      <c r="BM25" s="50">
        <v>100</v>
      </c>
      <c r="BN25" s="49">
        <v>6</v>
      </c>
    </row>
    <row r="26" spans="1:66" ht="15">
      <c r="A26" s="65" t="s">
        <v>243</v>
      </c>
      <c r="B26" s="65" t="s">
        <v>430</v>
      </c>
      <c r="C26" s="66" t="s">
        <v>4392</v>
      </c>
      <c r="D26" s="67">
        <v>1</v>
      </c>
      <c r="E26" s="68" t="s">
        <v>132</v>
      </c>
      <c r="F26" s="69">
        <v>32</v>
      </c>
      <c r="G26" s="66" t="s">
        <v>51</v>
      </c>
      <c r="H26" s="70"/>
      <c r="I26" s="71"/>
      <c r="J26" s="71"/>
      <c r="K26" s="35" t="s">
        <v>65</v>
      </c>
      <c r="L26" s="79">
        <v>26</v>
      </c>
      <c r="M26" s="79"/>
      <c r="N26" s="73"/>
      <c r="O26" s="81" t="s">
        <v>504</v>
      </c>
      <c r="P26" s="83">
        <v>44643.576273148145</v>
      </c>
      <c r="Q26" s="81" t="s">
        <v>512</v>
      </c>
      <c r="R26" s="81"/>
      <c r="S26" s="81"/>
      <c r="T26" s="81"/>
      <c r="U26" s="84" t="str">
        <f>HYPERLINK("https://pbs.twimg.com/media/FOiWtSbWYAkulkw.jpg")</f>
        <v>https://pbs.twimg.com/media/FOiWtSbWYAkulkw.jpg</v>
      </c>
      <c r="V26" s="84" t="str">
        <f>HYPERLINK("https://pbs.twimg.com/media/FOiWtSbWYAkulkw.jpg")</f>
        <v>https://pbs.twimg.com/media/FOiWtSbWYAkulkw.jpg</v>
      </c>
      <c r="W26" s="83">
        <v>44643.576273148145</v>
      </c>
      <c r="X26" s="88">
        <v>44643</v>
      </c>
      <c r="Y26" s="85" t="s">
        <v>623</v>
      </c>
      <c r="Z26" s="84" t="str">
        <f>HYPERLINK("https://twitter.com/rosamerilainen/status/1506629297435459586")</f>
        <v>https://twitter.com/rosamerilainen/status/1506629297435459586</v>
      </c>
      <c r="AA26" s="81"/>
      <c r="AB26" s="81"/>
      <c r="AC26" s="85" t="s">
        <v>892</v>
      </c>
      <c r="AD26" s="81"/>
      <c r="AE26" s="81" t="b">
        <v>0</v>
      </c>
      <c r="AF26" s="81">
        <v>0</v>
      </c>
      <c r="AG26" s="85" t="s">
        <v>1162</v>
      </c>
      <c r="AH26" s="81" t="b">
        <v>0</v>
      </c>
      <c r="AI26" s="81" t="s">
        <v>1179</v>
      </c>
      <c r="AJ26" s="81"/>
      <c r="AK26" s="85" t="s">
        <v>1162</v>
      </c>
      <c r="AL26" s="81" t="b">
        <v>0</v>
      </c>
      <c r="AM26" s="81">
        <v>68</v>
      </c>
      <c r="AN26" s="85" t="s">
        <v>1081</v>
      </c>
      <c r="AO26" s="85" t="s">
        <v>1190</v>
      </c>
      <c r="AP26" s="81" t="b">
        <v>0</v>
      </c>
      <c r="AQ26" s="85" t="s">
        <v>1081</v>
      </c>
      <c r="AR26" s="81" t="s">
        <v>187</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9">
        <v>0</v>
      </c>
      <c r="BG26" s="50">
        <v>0</v>
      </c>
      <c r="BH26" s="49">
        <v>0</v>
      </c>
      <c r="BI26" s="50">
        <v>0</v>
      </c>
      <c r="BJ26" s="49">
        <v>0</v>
      </c>
      <c r="BK26" s="50">
        <v>0</v>
      </c>
      <c r="BL26" s="49">
        <v>6</v>
      </c>
      <c r="BM26" s="50">
        <v>100</v>
      </c>
      <c r="BN26" s="49">
        <v>6</v>
      </c>
    </row>
    <row r="27" spans="1:66" ht="15">
      <c r="A27" s="65" t="s">
        <v>244</v>
      </c>
      <c r="B27" s="65" t="s">
        <v>430</v>
      </c>
      <c r="C27" s="66" t="s">
        <v>4392</v>
      </c>
      <c r="D27" s="67">
        <v>1</v>
      </c>
      <c r="E27" s="68" t="s">
        <v>132</v>
      </c>
      <c r="F27" s="69">
        <v>32</v>
      </c>
      <c r="G27" s="66" t="s">
        <v>51</v>
      </c>
      <c r="H27" s="70"/>
      <c r="I27" s="71"/>
      <c r="J27" s="71"/>
      <c r="K27" s="35" t="s">
        <v>65</v>
      </c>
      <c r="L27" s="79">
        <v>27</v>
      </c>
      <c r="M27" s="79"/>
      <c r="N27" s="73"/>
      <c r="O27" s="81" t="s">
        <v>504</v>
      </c>
      <c r="P27" s="83">
        <v>44643.57695601852</v>
      </c>
      <c r="Q27" s="81" t="s">
        <v>512</v>
      </c>
      <c r="R27" s="81"/>
      <c r="S27" s="81"/>
      <c r="T27" s="81"/>
      <c r="U27" s="84" t="str">
        <f>HYPERLINK("https://pbs.twimg.com/media/FOiWtSbWYAkulkw.jpg")</f>
        <v>https://pbs.twimg.com/media/FOiWtSbWYAkulkw.jpg</v>
      </c>
      <c r="V27" s="84" t="str">
        <f>HYPERLINK("https://pbs.twimg.com/media/FOiWtSbWYAkulkw.jpg")</f>
        <v>https://pbs.twimg.com/media/FOiWtSbWYAkulkw.jpg</v>
      </c>
      <c r="W27" s="83">
        <v>44643.57695601852</v>
      </c>
      <c r="X27" s="88">
        <v>44643</v>
      </c>
      <c r="Y27" s="85" t="s">
        <v>624</v>
      </c>
      <c r="Z27" s="84" t="str">
        <f>HYPERLINK("https://twitter.com/kimvais/status/1506629542122819587")</f>
        <v>https://twitter.com/kimvais/status/1506629542122819587</v>
      </c>
      <c r="AA27" s="81"/>
      <c r="AB27" s="81"/>
      <c r="AC27" s="85" t="s">
        <v>893</v>
      </c>
      <c r="AD27" s="81"/>
      <c r="AE27" s="81" t="b">
        <v>0</v>
      </c>
      <c r="AF27" s="81">
        <v>0</v>
      </c>
      <c r="AG27" s="85" t="s">
        <v>1162</v>
      </c>
      <c r="AH27" s="81" t="b">
        <v>0</v>
      </c>
      <c r="AI27" s="81" t="s">
        <v>1179</v>
      </c>
      <c r="AJ27" s="81"/>
      <c r="AK27" s="85" t="s">
        <v>1162</v>
      </c>
      <c r="AL27" s="81" t="b">
        <v>0</v>
      </c>
      <c r="AM27" s="81">
        <v>68</v>
      </c>
      <c r="AN27" s="85" t="s">
        <v>1081</v>
      </c>
      <c r="AO27" s="85" t="s">
        <v>1191</v>
      </c>
      <c r="AP27" s="81" t="b">
        <v>0</v>
      </c>
      <c r="AQ27" s="85" t="s">
        <v>1081</v>
      </c>
      <c r="AR27" s="81" t="s">
        <v>187</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c r="BF27" s="49">
        <v>0</v>
      </c>
      <c r="BG27" s="50">
        <v>0</v>
      </c>
      <c r="BH27" s="49">
        <v>0</v>
      </c>
      <c r="BI27" s="50">
        <v>0</v>
      </c>
      <c r="BJ27" s="49">
        <v>0</v>
      </c>
      <c r="BK27" s="50">
        <v>0</v>
      </c>
      <c r="BL27" s="49">
        <v>6</v>
      </c>
      <c r="BM27" s="50">
        <v>100</v>
      </c>
      <c r="BN27" s="49">
        <v>6</v>
      </c>
    </row>
    <row r="28" spans="1:66" ht="15">
      <c r="A28" s="65" t="s">
        <v>245</v>
      </c>
      <c r="B28" s="65" t="s">
        <v>430</v>
      </c>
      <c r="C28" s="66" t="s">
        <v>4392</v>
      </c>
      <c r="D28" s="67">
        <v>1</v>
      </c>
      <c r="E28" s="68" t="s">
        <v>132</v>
      </c>
      <c r="F28" s="69">
        <v>32</v>
      </c>
      <c r="G28" s="66" t="s">
        <v>51</v>
      </c>
      <c r="H28" s="70"/>
      <c r="I28" s="71"/>
      <c r="J28" s="71"/>
      <c r="K28" s="35" t="s">
        <v>65</v>
      </c>
      <c r="L28" s="79">
        <v>28</v>
      </c>
      <c r="M28" s="79"/>
      <c r="N28" s="73"/>
      <c r="O28" s="81" t="s">
        <v>504</v>
      </c>
      <c r="P28" s="83">
        <v>44643.57709490741</v>
      </c>
      <c r="Q28" s="81" t="s">
        <v>512</v>
      </c>
      <c r="R28" s="81"/>
      <c r="S28" s="81"/>
      <c r="T28" s="81"/>
      <c r="U28" s="84" t="str">
        <f>HYPERLINK("https://pbs.twimg.com/media/FOiWtSbWYAkulkw.jpg")</f>
        <v>https://pbs.twimg.com/media/FOiWtSbWYAkulkw.jpg</v>
      </c>
      <c r="V28" s="84" t="str">
        <f>HYPERLINK("https://pbs.twimg.com/media/FOiWtSbWYAkulkw.jpg")</f>
        <v>https://pbs.twimg.com/media/FOiWtSbWYAkulkw.jpg</v>
      </c>
      <c r="W28" s="83">
        <v>44643.57709490741</v>
      </c>
      <c r="X28" s="88">
        <v>44643</v>
      </c>
      <c r="Y28" s="85" t="s">
        <v>625</v>
      </c>
      <c r="Z28" s="84" t="str">
        <f>HYPERLINK("https://twitter.com/karrianttoni/status/1506629593448566784")</f>
        <v>https://twitter.com/karrianttoni/status/1506629593448566784</v>
      </c>
      <c r="AA28" s="81"/>
      <c r="AB28" s="81"/>
      <c r="AC28" s="85" t="s">
        <v>894</v>
      </c>
      <c r="AD28" s="81"/>
      <c r="AE28" s="81" t="b">
        <v>0</v>
      </c>
      <c r="AF28" s="81">
        <v>0</v>
      </c>
      <c r="AG28" s="85" t="s">
        <v>1162</v>
      </c>
      <c r="AH28" s="81" t="b">
        <v>0</v>
      </c>
      <c r="AI28" s="81" t="s">
        <v>1179</v>
      </c>
      <c r="AJ28" s="81"/>
      <c r="AK28" s="85" t="s">
        <v>1162</v>
      </c>
      <c r="AL28" s="81" t="b">
        <v>0</v>
      </c>
      <c r="AM28" s="81">
        <v>68</v>
      </c>
      <c r="AN28" s="85" t="s">
        <v>1081</v>
      </c>
      <c r="AO28" s="85" t="s">
        <v>1188</v>
      </c>
      <c r="AP28" s="81" t="b">
        <v>0</v>
      </c>
      <c r="AQ28" s="85" t="s">
        <v>1081</v>
      </c>
      <c r="AR28" s="81" t="s">
        <v>187</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9">
        <v>0</v>
      </c>
      <c r="BG28" s="50">
        <v>0</v>
      </c>
      <c r="BH28" s="49">
        <v>0</v>
      </c>
      <c r="BI28" s="50">
        <v>0</v>
      </c>
      <c r="BJ28" s="49">
        <v>0</v>
      </c>
      <c r="BK28" s="50">
        <v>0</v>
      </c>
      <c r="BL28" s="49">
        <v>6</v>
      </c>
      <c r="BM28" s="50">
        <v>100</v>
      </c>
      <c r="BN28" s="49">
        <v>6</v>
      </c>
    </row>
    <row r="29" spans="1:66" ht="15">
      <c r="A29" s="65" t="s">
        <v>246</v>
      </c>
      <c r="B29" s="65" t="s">
        <v>430</v>
      </c>
      <c r="C29" s="66" t="s">
        <v>4392</v>
      </c>
      <c r="D29" s="67">
        <v>1</v>
      </c>
      <c r="E29" s="68" t="s">
        <v>132</v>
      </c>
      <c r="F29" s="69">
        <v>32</v>
      </c>
      <c r="G29" s="66" t="s">
        <v>51</v>
      </c>
      <c r="H29" s="70"/>
      <c r="I29" s="71"/>
      <c r="J29" s="71"/>
      <c r="K29" s="35" t="s">
        <v>65</v>
      </c>
      <c r="L29" s="79">
        <v>29</v>
      </c>
      <c r="M29" s="79"/>
      <c r="N29" s="73"/>
      <c r="O29" s="81" t="s">
        <v>504</v>
      </c>
      <c r="P29" s="83">
        <v>44643.57763888889</v>
      </c>
      <c r="Q29" s="81" t="s">
        <v>512</v>
      </c>
      <c r="R29" s="81"/>
      <c r="S29" s="81"/>
      <c r="T29" s="81"/>
      <c r="U29" s="84" t="str">
        <f>HYPERLINK("https://pbs.twimg.com/media/FOiWtSbWYAkulkw.jpg")</f>
        <v>https://pbs.twimg.com/media/FOiWtSbWYAkulkw.jpg</v>
      </c>
      <c r="V29" s="84" t="str">
        <f>HYPERLINK("https://pbs.twimg.com/media/FOiWtSbWYAkulkw.jpg")</f>
        <v>https://pbs.twimg.com/media/FOiWtSbWYAkulkw.jpg</v>
      </c>
      <c r="W29" s="83">
        <v>44643.57763888889</v>
      </c>
      <c r="X29" s="88">
        <v>44643</v>
      </c>
      <c r="Y29" s="85" t="s">
        <v>626</v>
      </c>
      <c r="Z29" s="84" t="str">
        <f>HYPERLINK("https://twitter.com/hikipediainfo/status/1506629791688110081")</f>
        <v>https://twitter.com/hikipediainfo/status/1506629791688110081</v>
      </c>
      <c r="AA29" s="81"/>
      <c r="AB29" s="81"/>
      <c r="AC29" s="85" t="s">
        <v>895</v>
      </c>
      <c r="AD29" s="81"/>
      <c r="AE29" s="81" t="b">
        <v>0</v>
      </c>
      <c r="AF29" s="81">
        <v>0</v>
      </c>
      <c r="AG29" s="85" t="s">
        <v>1162</v>
      </c>
      <c r="AH29" s="81" t="b">
        <v>0</v>
      </c>
      <c r="AI29" s="81" t="s">
        <v>1179</v>
      </c>
      <c r="AJ29" s="81"/>
      <c r="AK29" s="85" t="s">
        <v>1162</v>
      </c>
      <c r="AL29" s="81" t="b">
        <v>0</v>
      </c>
      <c r="AM29" s="81">
        <v>68</v>
      </c>
      <c r="AN29" s="85" t="s">
        <v>1081</v>
      </c>
      <c r="AO29" s="85" t="s">
        <v>1189</v>
      </c>
      <c r="AP29" s="81" t="b">
        <v>0</v>
      </c>
      <c r="AQ29" s="85" t="s">
        <v>1081</v>
      </c>
      <c r="AR29" s="81" t="s">
        <v>187</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v>0</v>
      </c>
      <c r="BG29" s="50">
        <v>0</v>
      </c>
      <c r="BH29" s="49">
        <v>0</v>
      </c>
      <c r="BI29" s="50">
        <v>0</v>
      </c>
      <c r="BJ29" s="49">
        <v>0</v>
      </c>
      <c r="BK29" s="50">
        <v>0</v>
      </c>
      <c r="BL29" s="49">
        <v>6</v>
      </c>
      <c r="BM29" s="50">
        <v>100</v>
      </c>
      <c r="BN29" s="49">
        <v>6</v>
      </c>
    </row>
    <row r="30" spans="1:66" ht="15">
      <c r="A30" s="65" t="s">
        <v>247</v>
      </c>
      <c r="B30" s="65" t="s">
        <v>430</v>
      </c>
      <c r="C30" s="66" t="s">
        <v>4392</v>
      </c>
      <c r="D30" s="67">
        <v>1</v>
      </c>
      <c r="E30" s="68" t="s">
        <v>132</v>
      </c>
      <c r="F30" s="69">
        <v>32</v>
      </c>
      <c r="G30" s="66" t="s">
        <v>51</v>
      </c>
      <c r="H30" s="70"/>
      <c r="I30" s="71"/>
      <c r="J30" s="71"/>
      <c r="K30" s="35" t="s">
        <v>65</v>
      </c>
      <c r="L30" s="79">
        <v>30</v>
      </c>
      <c r="M30" s="79"/>
      <c r="N30" s="73"/>
      <c r="O30" s="81" t="s">
        <v>504</v>
      </c>
      <c r="P30" s="83">
        <v>44643.579375</v>
      </c>
      <c r="Q30" s="81" t="s">
        <v>512</v>
      </c>
      <c r="R30" s="81"/>
      <c r="S30" s="81"/>
      <c r="T30" s="81"/>
      <c r="U30" s="84" t="str">
        <f>HYPERLINK("https://pbs.twimg.com/media/FOiWtSbWYAkulkw.jpg")</f>
        <v>https://pbs.twimg.com/media/FOiWtSbWYAkulkw.jpg</v>
      </c>
      <c r="V30" s="84" t="str">
        <f>HYPERLINK("https://pbs.twimg.com/media/FOiWtSbWYAkulkw.jpg")</f>
        <v>https://pbs.twimg.com/media/FOiWtSbWYAkulkw.jpg</v>
      </c>
      <c r="W30" s="83">
        <v>44643.579375</v>
      </c>
      <c r="X30" s="88">
        <v>44643</v>
      </c>
      <c r="Y30" s="85" t="s">
        <v>627</v>
      </c>
      <c r="Z30" s="84" t="str">
        <f>HYPERLINK("https://twitter.com/goashem/status/1506630421337026564")</f>
        <v>https://twitter.com/goashem/status/1506630421337026564</v>
      </c>
      <c r="AA30" s="81"/>
      <c r="AB30" s="81"/>
      <c r="AC30" s="85" t="s">
        <v>896</v>
      </c>
      <c r="AD30" s="81"/>
      <c r="AE30" s="81" t="b">
        <v>0</v>
      </c>
      <c r="AF30" s="81">
        <v>0</v>
      </c>
      <c r="AG30" s="85" t="s">
        <v>1162</v>
      </c>
      <c r="AH30" s="81" t="b">
        <v>0</v>
      </c>
      <c r="AI30" s="81" t="s">
        <v>1179</v>
      </c>
      <c r="AJ30" s="81"/>
      <c r="AK30" s="85" t="s">
        <v>1162</v>
      </c>
      <c r="AL30" s="81" t="b">
        <v>0</v>
      </c>
      <c r="AM30" s="81">
        <v>68</v>
      </c>
      <c r="AN30" s="85" t="s">
        <v>1081</v>
      </c>
      <c r="AO30" s="85" t="s">
        <v>1189</v>
      </c>
      <c r="AP30" s="81" t="b">
        <v>0</v>
      </c>
      <c r="AQ30" s="85" t="s">
        <v>1081</v>
      </c>
      <c r="AR30" s="81" t="s">
        <v>187</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0</v>
      </c>
      <c r="BG30" s="50">
        <v>0</v>
      </c>
      <c r="BH30" s="49">
        <v>0</v>
      </c>
      <c r="BI30" s="50">
        <v>0</v>
      </c>
      <c r="BJ30" s="49">
        <v>0</v>
      </c>
      <c r="BK30" s="50">
        <v>0</v>
      </c>
      <c r="BL30" s="49">
        <v>6</v>
      </c>
      <c r="BM30" s="50">
        <v>100</v>
      </c>
      <c r="BN30" s="49">
        <v>6</v>
      </c>
    </row>
    <row r="31" spans="1:66" ht="15">
      <c r="A31" s="65" t="s">
        <v>248</v>
      </c>
      <c r="B31" s="65" t="s">
        <v>430</v>
      </c>
      <c r="C31" s="66" t="s">
        <v>4392</v>
      </c>
      <c r="D31" s="67">
        <v>1</v>
      </c>
      <c r="E31" s="68" t="s">
        <v>132</v>
      </c>
      <c r="F31" s="69">
        <v>32</v>
      </c>
      <c r="G31" s="66" t="s">
        <v>51</v>
      </c>
      <c r="H31" s="70"/>
      <c r="I31" s="71"/>
      <c r="J31" s="71"/>
      <c r="K31" s="35" t="s">
        <v>65</v>
      </c>
      <c r="L31" s="79">
        <v>31</v>
      </c>
      <c r="M31" s="79"/>
      <c r="N31" s="73"/>
      <c r="O31" s="81" t="s">
        <v>504</v>
      </c>
      <c r="P31" s="83">
        <v>44643.580092592594</v>
      </c>
      <c r="Q31" s="81" t="s">
        <v>512</v>
      </c>
      <c r="R31" s="81"/>
      <c r="S31" s="81"/>
      <c r="T31" s="81"/>
      <c r="U31" s="84" t="str">
        <f>HYPERLINK("https://pbs.twimg.com/media/FOiWtSbWYAkulkw.jpg")</f>
        <v>https://pbs.twimg.com/media/FOiWtSbWYAkulkw.jpg</v>
      </c>
      <c r="V31" s="84" t="str">
        <f>HYPERLINK("https://pbs.twimg.com/media/FOiWtSbWYAkulkw.jpg")</f>
        <v>https://pbs.twimg.com/media/FOiWtSbWYAkulkw.jpg</v>
      </c>
      <c r="W31" s="83">
        <v>44643.580092592594</v>
      </c>
      <c r="X31" s="88">
        <v>44643</v>
      </c>
      <c r="Y31" s="85" t="s">
        <v>628</v>
      </c>
      <c r="Z31" s="84" t="str">
        <f>HYPERLINK("https://twitter.com/naururastas/status/1506630681245405192")</f>
        <v>https://twitter.com/naururastas/status/1506630681245405192</v>
      </c>
      <c r="AA31" s="81"/>
      <c r="AB31" s="81"/>
      <c r="AC31" s="85" t="s">
        <v>897</v>
      </c>
      <c r="AD31" s="81"/>
      <c r="AE31" s="81" t="b">
        <v>0</v>
      </c>
      <c r="AF31" s="81">
        <v>0</v>
      </c>
      <c r="AG31" s="85" t="s">
        <v>1162</v>
      </c>
      <c r="AH31" s="81" t="b">
        <v>0</v>
      </c>
      <c r="AI31" s="81" t="s">
        <v>1179</v>
      </c>
      <c r="AJ31" s="81"/>
      <c r="AK31" s="85" t="s">
        <v>1162</v>
      </c>
      <c r="AL31" s="81" t="b">
        <v>0</v>
      </c>
      <c r="AM31" s="81">
        <v>68</v>
      </c>
      <c r="AN31" s="85" t="s">
        <v>1081</v>
      </c>
      <c r="AO31" s="85" t="s">
        <v>1188</v>
      </c>
      <c r="AP31" s="81" t="b">
        <v>0</v>
      </c>
      <c r="AQ31" s="85" t="s">
        <v>1081</v>
      </c>
      <c r="AR31" s="81" t="s">
        <v>187</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v>0</v>
      </c>
      <c r="BG31" s="50">
        <v>0</v>
      </c>
      <c r="BH31" s="49">
        <v>0</v>
      </c>
      <c r="BI31" s="50">
        <v>0</v>
      </c>
      <c r="BJ31" s="49">
        <v>0</v>
      </c>
      <c r="BK31" s="50">
        <v>0</v>
      </c>
      <c r="BL31" s="49">
        <v>6</v>
      </c>
      <c r="BM31" s="50">
        <v>100</v>
      </c>
      <c r="BN31" s="49">
        <v>6</v>
      </c>
    </row>
    <row r="32" spans="1:66" ht="15">
      <c r="A32" s="65" t="s">
        <v>249</v>
      </c>
      <c r="B32" s="65" t="s">
        <v>430</v>
      </c>
      <c r="C32" s="66" t="s">
        <v>4392</v>
      </c>
      <c r="D32" s="67">
        <v>1</v>
      </c>
      <c r="E32" s="68" t="s">
        <v>132</v>
      </c>
      <c r="F32" s="69">
        <v>32</v>
      </c>
      <c r="G32" s="66" t="s">
        <v>51</v>
      </c>
      <c r="H32" s="70"/>
      <c r="I32" s="71"/>
      <c r="J32" s="71"/>
      <c r="K32" s="35" t="s">
        <v>65</v>
      </c>
      <c r="L32" s="79">
        <v>32</v>
      </c>
      <c r="M32" s="79"/>
      <c r="N32" s="73"/>
      <c r="O32" s="81" t="s">
        <v>504</v>
      </c>
      <c r="P32" s="83">
        <v>44643.59208333334</v>
      </c>
      <c r="Q32" s="81" t="s">
        <v>512</v>
      </c>
      <c r="R32" s="81"/>
      <c r="S32" s="81"/>
      <c r="T32" s="81"/>
      <c r="U32" s="84" t="str">
        <f>HYPERLINK("https://pbs.twimg.com/media/FOiWtSbWYAkulkw.jpg")</f>
        <v>https://pbs.twimg.com/media/FOiWtSbWYAkulkw.jpg</v>
      </c>
      <c r="V32" s="84" t="str">
        <f>HYPERLINK("https://pbs.twimg.com/media/FOiWtSbWYAkulkw.jpg")</f>
        <v>https://pbs.twimg.com/media/FOiWtSbWYAkulkw.jpg</v>
      </c>
      <c r="W32" s="83">
        <v>44643.59208333334</v>
      </c>
      <c r="X32" s="88">
        <v>44643</v>
      </c>
      <c r="Y32" s="85" t="s">
        <v>629</v>
      </c>
      <c r="Z32" s="84" t="str">
        <f>HYPERLINK("https://twitter.com/hirmutwiittaa/status/1506635023755132939")</f>
        <v>https://twitter.com/hirmutwiittaa/status/1506635023755132939</v>
      </c>
      <c r="AA32" s="81"/>
      <c r="AB32" s="81"/>
      <c r="AC32" s="85" t="s">
        <v>898</v>
      </c>
      <c r="AD32" s="81"/>
      <c r="AE32" s="81" t="b">
        <v>0</v>
      </c>
      <c r="AF32" s="81">
        <v>0</v>
      </c>
      <c r="AG32" s="85" t="s">
        <v>1162</v>
      </c>
      <c r="AH32" s="81" t="b">
        <v>0</v>
      </c>
      <c r="AI32" s="81" t="s">
        <v>1179</v>
      </c>
      <c r="AJ32" s="81"/>
      <c r="AK32" s="85" t="s">
        <v>1162</v>
      </c>
      <c r="AL32" s="81" t="b">
        <v>0</v>
      </c>
      <c r="AM32" s="81">
        <v>68</v>
      </c>
      <c r="AN32" s="85" t="s">
        <v>1081</v>
      </c>
      <c r="AO32" s="85" t="s">
        <v>1188</v>
      </c>
      <c r="AP32" s="81" t="b">
        <v>0</v>
      </c>
      <c r="AQ32" s="85" t="s">
        <v>1081</v>
      </c>
      <c r="AR32" s="81" t="s">
        <v>187</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v>0</v>
      </c>
      <c r="BG32" s="50">
        <v>0</v>
      </c>
      <c r="BH32" s="49">
        <v>0</v>
      </c>
      <c r="BI32" s="50">
        <v>0</v>
      </c>
      <c r="BJ32" s="49">
        <v>0</v>
      </c>
      <c r="BK32" s="50">
        <v>0</v>
      </c>
      <c r="BL32" s="49">
        <v>6</v>
      </c>
      <c r="BM32" s="50">
        <v>100</v>
      </c>
      <c r="BN32" s="49">
        <v>6</v>
      </c>
    </row>
    <row r="33" spans="1:66" ht="15">
      <c r="A33" s="65" t="s">
        <v>250</v>
      </c>
      <c r="B33" s="65" t="s">
        <v>430</v>
      </c>
      <c r="C33" s="66" t="s">
        <v>4392</v>
      </c>
      <c r="D33" s="67">
        <v>1</v>
      </c>
      <c r="E33" s="68" t="s">
        <v>132</v>
      </c>
      <c r="F33" s="69">
        <v>32</v>
      </c>
      <c r="G33" s="66" t="s">
        <v>51</v>
      </c>
      <c r="H33" s="70"/>
      <c r="I33" s="71"/>
      <c r="J33" s="71"/>
      <c r="K33" s="35" t="s">
        <v>65</v>
      </c>
      <c r="L33" s="79">
        <v>33</v>
      </c>
      <c r="M33" s="79"/>
      <c r="N33" s="73"/>
      <c r="O33" s="81" t="s">
        <v>504</v>
      </c>
      <c r="P33" s="83">
        <v>44643.5934837963</v>
      </c>
      <c r="Q33" s="81" t="s">
        <v>512</v>
      </c>
      <c r="R33" s="81"/>
      <c r="S33" s="81"/>
      <c r="T33" s="81"/>
      <c r="U33" s="84" t="str">
        <f>HYPERLINK("https://pbs.twimg.com/media/FOiWtSbWYAkulkw.jpg")</f>
        <v>https://pbs.twimg.com/media/FOiWtSbWYAkulkw.jpg</v>
      </c>
      <c r="V33" s="84" t="str">
        <f>HYPERLINK("https://pbs.twimg.com/media/FOiWtSbWYAkulkw.jpg")</f>
        <v>https://pbs.twimg.com/media/FOiWtSbWYAkulkw.jpg</v>
      </c>
      <c r="W33" s="83">
        <v>44643.5934837963</v>
      </c>
      <c r="X33" s="88">
        <v>44643</v>
      </c>
      <c r="Y33" s="85" t="s">
        <v>630</v>
      </c>
      <c r="Z33" s="84" t="str">
        <f>HYPERLINK("https://twitter.com/kp_keto/status/1506635532767576068")</f>
        <v>https://twitter.com/kp_keto/status/1506635532767576068</v>
      </c>
      <c r="AA33" s="81"/>
      <c r="AB33" s="81"/>
      <c r="AC33" s="85" t="s">
        <v>899</v>
      </c>
      <c r="AD33" s="81"/>
      <c r="AE33" s="81" t="b">
        <v>0</v>
      </c>
      <c r="AF33" s="81">
        <v>0</v>
      </c>
      <c r="AG33" s="85" t="s">
        <v>1162</v>
      </c>
      <c r="AH33" s="81" t="b">
        <v>0</v>
      </c>
      <c r="AI33" s="81" t="s">
        <v>1179</v>
      </c>
      <c r="AJ33" s="81"/>
      <c r="AK33" s="85" t="s">
        <v>1162</v>
      </c>
      <c r="AL33" s="81" t="b">
        <v>0</v>
      </c>
      <c r="AM33" s="81">
        <v>68</v>
      </c>
      <c r="AN33" s="85" t="s">
        <v>1081</v>
      </c>
      <c r="AO33" s="85" t="s">
        <v>1189</v>
      </c>
      <c r="AP33" s="81" t="b">
        <v>0</v>
      </c>
      <c r="AQ33" s="85" t="s">
        <v>1081</v>
      </c>
      <c r="AR33" s="81" t="s">
        <v>187</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v>0</v>
      </c>
      <c r="BG33" s="50">
        <v>0</v>
      </c>
      <c r="BH33" s="49">
        <v>0</v>
      </c>
      <c r="BI33" s="50">
        <v>0</v>
      </c>
      <c r="BJ33" s="49">
        <v>0</v>
      </c>
      <c r="BK33" s="50">
        <v>0</v>
      </c>
      <c r="BL33" s="49">
        <v>6</v>
      </c>
      <c r="BM33" s="50">
        <v>100</v>
      </c>
      <c r="BN33" s="49">
        <v>6</v>
      </c>
    </row>
    <row r="34" spans="1:66" ht="15">
      <c r="A34" s="65" t="s">
        <v>251</v>
      </c>
      <c r="B34" s="65" t="s">
        <v>430</v>
      </c>
      <c r="C34" s="66" t="s">
        <v>4392</v>
      </c>
      <c r="D34" s="67">
        <v>1</v>
      </c>
      <c r="E34" s="68" t="s">
        <v>132</v>
      </c>
      <c r="F34" s="69">
        <v>32</v>
      </c>
      <c r="G34" s="66" t="s">
        <v>51</v>
      </c>
      <c r="H34" s="70"/>
      <c r="I34" s="71"/>
      <c r="J34" s="71"/>
      <c r="K34" s="35" t="s">
        <v>65</v>
      </c>
      <c r="L34" s="79">
        <v>34</v>
      </c>
      <c r="M34" s="79"/>
      <c r="N34" s="73"/>
      <c r="O34" s="81" t="s">
        <v>504</v>
      </c>
      <c r="P34" s="83">
        <v>44643.59715277778</v>
      </c>
      <c r="Q34" s="81" t="s">
        <v>512</v>
      </c>
      <c r="R34" s="81"/>
      <c r="S34" s="81"/>
      <c r="T34" s="81"/>
      <c r="U34" s="84" t="str">
        <f>HYPERLINK("https://pbs.twimg.com/media/FOiWtSbWYAkulkw.jpg")</f>
        <v>https://pbs.twimg.com/media/FOiWtSbWYAkulkw.jpg</v>
      </c>
      <c r="V34" s="84" t="str">
        <f>HYPERLINK("https://pbs.twimg.com/media/FOiWtSbWYAkulkw.jpg")</f>
        <v>https://pbs.twimg.com/media/FOiWtSbWYAkulkw.jpg</v>
      </c>
      <c r="W34" s="83">
        <v>44643.59715277778</v>
      </c>
      <c r="X34" s="88">
        <v>44643</v>
      </c>
      <c r="Y34" s="85" t="s">
        <v>631</v>
      </c>
      <c r="Z34" s="84" t="str">
        <f>HYPERLINK("https://twitter.com/suurimies/status/1506636861724409866")</f>
        <v>https://twitter.com/suurimies/status/1506636861724409866</v>
      </c>
      <c r="AA34" s="81"/>
      <c r="AB34" s="81"/>
      <c r="AC34" s="85" t="s">
        <v>900</v>
      </c>
      <c r="AD34" s="81"/>
      <c r="AE34" s="81" t="b">
        <v>0</v>
      </c>
      <c r="AF34" s="81">
        <v>0</v>
      </c>
      <c r="AG34" s="85" t="s">
        <v>1162</v>
      </c>
      <c r="AH34" s="81" t="b">
        <v>0</v>
      </c>
      <c r="AI34" s="81" t="s">
        <v>1179</v>
      </c>
      <c r="AJ34" s="81"/>
      <c r="AK34" s="85" t="s">
        <v>1162</v>
      </c>
      <c r="AL34" s="81" t="b">
        <v>0</v>
      </c>
      <c r="AM34" s="81">
        <v>68</v>
      </c>
      <c r="AN34" s="85" t="s">
        <v>1081</v>
      </c>
      <c r="AO34" s="85" t="s">
        <v>1190</v>
      </c>
      <c r="AP34" s="81" t="b">
        <v>0</v>
      </c>
      <c r="AQ34" s="85" t="s">
        <v>1081</v>
      </c>
      <c r="AR34" s="81" t="s">
        <v>187</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v>0</v>
      </c>
      <c r="BG34" s="50">
        <v>0</v>
      </c>
      <c r="BH34" s="49">
        <v>0</v>
      </c>
      <c r="BI34" s="50">
        <v>0</v>
      </c>
      <c r="BJ34" s="49">
        <v>0</v>
      </c>
      <c r="BK34" s="50">
        <v>0</v>
      </c>
      <c r="BL34" s="49">
        <v>6</v>
      </c>
      <c r="BM34" s="50">
        <v>100</v>
      </c>
      <c r="BN34" s="49">
        <v>6</v>
      </c>
    </row>
    <row r="35" spans="1:66" ht="15">
      <c r="A35" s="65" t="s">
        <v>252</v>
      </c>
      <c r="B35" s="65" t="s">
        <v>430</v>
      </c>
      <c r="C35" s="66" t="s">
        <v>4392</v>
      </c>
      <c r="D35" s="67">
        <v>1</v>
      </c>
      <c r="E35" s="68" t="s">
        <v>132</v>
      </c>
      <c r="F35" s="69">
        <v>32</v>
      </c>
      <c r="G35" s="66" t="s">
        <v>51</v>
      </c>
      <c r="H35" s="70"/>
      <c r="I35" s="71"/>
      <c r="J35" s="71"/>
      <c r="K35" s="35" t="s">
        <v>65</v>
      </c>
      <c r="L35" s="79">
        <v>35</v>
      </c>
      <c r="M35" s="79"/>
      <c r="N35" s="73"/>
      <c r="O35" s="81" t="s">
        <v>504</v>
      </c>
      <c r="P35" s="83">
        <v>44643.601631944446</v>
      </c>
      <c r="Q35" s="81" t="s">
        <v>512</v>
      </c>
      <c r="R35" s="81"/>
      <c r="S35" s="81"/>
      <c r="T35" s="81"/>
      <c r="U35" s="84" t="str">
        <f>HYPERLINK("https://pbs.twimg.com/media/FOiWtSbWYAkulkw.jpg")</f>
        <v>https://pbs.twimg.com/media/FOiWtSbWYAkulkw.jpg</v>
      </c>
      <c r="V35" s="84" t="str">
        <f>HYPERLINK("https://pbs.twimg.com/media/FOiWtSbWYAkulkw.jpg")</f>
        <v>https://pbs.twimg.com/media/FOiWtSbWYAkulkw.jpg</v>
      </c>
      <c r="W35" s="83">
        <v>44643.601631944446</v>
      </c>
      <c r="X35" s="88">
        <v>44643</v>
      </c>
      <c r="Y35" s="85" t="s">
        <v>632</v>
      </c>
      <c r="Z35" s="84" t="str">
        <f>HYPERLINK("https://twitter.com/pekkalajanne/status/1506638483867246594")</f>
        <v>https://twitter.com/pekkalajanne/status/1506638483867246594</v>
      </c>
      <c r="AA35" s="81"/>
      <c r="AB35" s="81"/>
      <c r="AC35" s="85" t="s">
        <v>901</v>
      </c>
      <c r="AD35" s="81"/>
      <c r="AE35" s="81" t="b">
        <v>0</v>
      </c>
      <c r="AF35" s="81">
        <v>0</v>
      </c>
      <c r="AG35" s="85" t="s">
        <v>1162</v>
      </c>
      <c r="AH35" s="81" t="b">
        <v>0</v>
      </c>
      <c r="AI35" s="81" t="s">
        <v>1179</v>
      </c>
      <c r="AJ35" s="81"/>
      <c r="AK35" s="85" t="s">
        <v>1162</v>
      </c>
      <c r="AL35" s="81" t="b">
        <v>0</v>
      </c>
      <c r="AM35" s="81">
        <v>68</v>
      </c>
      <c r="AN35" s="85" t="s">
        <v>1081</v>
      </c>
      <c r="AO35" s="85" t="s">
        <v>1188</v>
      </c>
      <c r="AP35" s="81" t="b">
        <v>0</v>
      </c>
      <c r="AQ35" s="85" t="s">
        <v>1081</v>
      </c>
      <c r="AR35" s="81" t="s">
        <v>187</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v>0</v>
      </c>
      <c r="BG35" s="50">
        <v>0</v>
      </c>
      <c r="BH35" s="49">
        <v>0</v>
      </c>
      <c r="BI35" s="50">
        <v>0</v>
      </c>
      <c r="BJ35" s="49">
        <v>0</v>
      </c>
      <c r="BK35" s="50">
        <v>0</v>
      </c>
      <c r="BL35" s="49">
        <v>6</v>
      </c>
      <c r="BM35" s="50">
        <v>100</v>
      </c>
      <c r="BN35" s="49">
        <v>6</v>
      </c>
    </row>
    <row r="36" spans="1:66" ht="15">
      <c r="A36" s="65" t="s">
        <v>253</v>
      </c>
      <c r="B36" s="65" t="s">
        <v>492</v>
      </c>
      <c r="C36" s="66" t="s">
        <v>4392</v>
      </c>
      <c r="D36" s="67">
        <v>1</v>
      </c>
      <c r="E36" s="68" t="s">
        <v>132</v>
      </c>
      <c r="F36" s="69">
        <v>32</v>
      </c>
      <c r="G36" s="66" t="s">
        <v>51</v>
      </c>
      <c r="H36" s="70"/>
      <c r="I36" s="71"/>
      <c r="J36" s="71"/>
      <c r="K36" s="35" t="s">
        <v>65</v>
      </c>
      <c r="L36" s="79">
        <v>36</v>
      </c>
      <c r="M36" s="79"/>
      <c r="N36" s="73"/>
      <c r="O36" s="81" t="s">
        <v>502</v>
      </c>
      <c r="P36" s="83">
        <v>44643.601851851854</v>
      </c>
      <c r="Q36" s="81" t="s">
        <v>513</v>
      </c>
      <c r="R36" s="81"/>
      <c r="S36" s="81"/>
      <c r="T36" s="81"/>
      <c r="U36" s="84" t="str">
        <f>HYPERLINK("https://pbs.twimg.com/media/FOinyZTaIAIegdp.jpg")</f>
        <v>https://pbs.twimg.com/media/FOinyZTaIAIegdp.jpg</v>
      </c>
      <c r="V36" s="84" t="str">
        <f>HYPERLINK("https://pbs.twimg.com/media/FOinyZTaIAIegdp.jpg")</f>
        <v>https://pbs.twimg.com/media/FOinyZTaIAIegdp.jpg</v>
      </c>
      <c r="W36" s="83">
        <v>44643.601851851854</v>
      </c>
      <c r="X36" s="88">
        <v>44643</v>
      </c>
      <c r="Y36" s="85" t="s">
        <v>633</v>
      </c>
      <c r="Z36" s="84" t="str">
        <f>HYPERLINK("https://twitter.com/sambateveridei/status/1506638566486855681")</f>
        <v>https://twitter.com/sambateveridei/status/1506638566486855681</v>
      </c>
      <c r="AA36" s="81"/>
      <c r="AB36" s="81"/>
      <c r="AC36" s="85" t="s">
        <v>902</v>
      </c>
      <c r="AD36" s="85" t="s">
        <v>1147</v>
      </c>
      <c r="AE36" s="81" t="b">
        <v>0</v>
      </c>
      <c r="AF36" s="81">
        <v>0</v>
      </c>
      <c r="AG36" s="85" t="s">
        <v>1164</v>
      </c>
      <c r="AH36" s="81" t="b">
        <v>0</v>
      </c>
      <c r="AI36" s="81" t="s">
        <v>1176</v>
      </c>
      <c r="AJ36" s="81"/>
      <c r="AK36" s="85" t="s">
        <v>1162</v>
      </c>
      <c r="AL36" s="81" t="b">
        <v>0</v>
      </c>
      <c r="AM36" s="81">
        <v>0</v>
      </c>
      <c r="AN36" s="85" t="s">
        <v>1162</v>
      </c>
      <c r="AO36" s="85" t="s">
        <v>1190</v>
      </c>
      <c r="AP36" s="81" t="b">
        <v>0</v>
      </c>
      <c r="AQ36" s="85" t="s">
        <v>1147</v>
      </c>
      <c r="AR36" s="81" t="s">
        <v>187</v>
      </c>
      <c r="AS36" s="81">
        <v>0</v>
      </c>
      <c r="AT36" s="81">
        <v>0</v>
      </c>
      <c r="AU36" s="81"/>
      <c r="AV36" s="81"/>
      <c r="AW36" s="81"/>
      <c r="AX36" s="81"/>
      <c r="AY36" s="81"/>
      <c r="AZ36" s="81"/>
      <c r="BA36" s="81"/>
      <c r="BB36" s="81"/>
      <c r="BC36">
        <v>1</v>
      </c>
      <c r="BD36" s="80" t="str">
        <f>REPLACE(INDEX(GroupVertices[Group],MATCH(Edges[[#This Row],[Vertex 1]],GroupVertices[Vertex],0)),1,1,"")</f>
        <v>20</v>
      </c>
      <c r="BE36" s="80" t="str">
        <f>REPLACE(INDEX(GroupVertices[Group],MATCH(Edges[[#This Row],[Vertex 2]],GroupVertices[Vertex],0)),1,1,"")</f>
        <v>20</v>
      </c>
      <c r="BF36" s="49">
        <v>0</v>
      </c>
      <c r="BG36" s="50">
        <v>0</v>
      </c>
      <c r="BH36" s="49">
        <v>0</v>
      </c>
      <c r="BI36" s="50">
        <v>0</v>
      </c>
      <c r="BJ36" s="49">
        <v>0</v>
      </c>
      <c r="BK36" s="50">
        <v>0</v>
      </c>
      <c r="BL36" s="49">
        <v>16</v>
      </c>
      <c r="BM36" s="50">
        <v>100</v>
      </c>
      <c r="BN36" s="49">
        <v>16</v>
      </c>
    </row>
    <row r="37" spans="1:66" ht="15">
      <c r="A37" s="65" t="s">
        <v>254</v>
      </c>
      <c r="B37" s="65" t="s">
        <v>430</v>
      </c>
      <c r="C37" s="66" t="s">
        <v>4392</v>
      </c>
      <c r="D37" s="67">
        <v>1</v>
      </c>
      <c r="E37" s="68" t="s">
        <v>132</v>
      </c>
      <c r="F37" s="69">
        <v>32</v>
      </c>
      <c r="G37" s="66" t="s">
        <v>51</v>
      </c>
      <c r="H37" s="70"/>
      <c r="I37" s="71"/>
      <c r="J37" s="71"/>
      <c r="K37" s="35" t="s">
        <v>65</v>
      </c>
      <c r="L37" s="79">
        <v>37</v>
      </c>
      <c r="M37" s="79"/>
      <c r="N37" s="73"/>
      <c r="O37" s="81" t="s">
        <v>504</v>
      </c>
      <c r="P37" s="83">
        <v>44643.60835648148</v>
      </c>
      <c r="Q37" s="81" t="s">
        <v>512</v>
      </c>
      <c r="R37" s="81"/>
      <c r="S37" s="81"/>
      <c r="T37" s="81"/>
      <c r="U37" s="84" t="str">
        <f>HYPERLINK("https://pbs.twimg.com/media/FOiWtSbWYAkulkw.jpg")</f>
        <v>https://pbs.twimg.com/media/FOiWtSbWYAkulkw.jpg</v>
      </c>
      <c r="V37" s="84" t="str">
        <f>HYPERLINK("https://pbs.twimg.com/media/FOiWtSbWYAkulkw.jpg")</f>
        <v>https://pbs.twimg.com/media/FOiWtSbWYAkulkw.jpg</v>
      </c>
      <c r="W37" s="83">
        <v>44643.60835648148</v>
      </c>
      <c r="X37" s="88">
        <v>44643</v>
      </c>
      <c r="Y37" s="85" t="s">
        <v>634</v>
      </c>
      <c r="Z37" s="84" t="str">
        <f>HYPERLINK("https://twitter.com/jermulion/status/1506640921164664835")</f>
        <v>https://twitter.com/jermulion/status/1506640921164664835</v>
      </c>
      <c r="AA37" s="81"/>
      <c r="AB37" s="81"/>
      <c r="AC37" s="85" t="s">
        <v>903</v>
      </c>
      <c r="AD37" s="81"/>
      <c r="AE37" s="81" t="b">
        <v>0</v>
      </c>
      <c r="AF37" s="81">
        <v>0</v>
      </c>
      <c r="AG37" s="85" t="s">
        <v>1162</v>
      </c>
      <c r="AH37" s="81" t="b">
        <v>0</v>
      </c>
      <c r="AI37" s="81" t="s">
        <v>1179</v>
      </c>
      <c r="AJ37" s="81"/>
      <c r="AK37" s="85" t="s">
        <v>1162</v>
      </c>
      <c r="AL37" s="81" t="b">
        <v>0</v>
      </c>
      <c r="AM37" s="81">
        <v>68</v>
      </c>
      <c r="AN37" s="85" t="s">
        <v>1081</v>
      </c>
      <c r="AO37" s="85" t="s">
        <v>1188</v>
      </c>
      <c r="AP37" s="81" t="b">
        <v>0</v>
      </c>
      <c r="AQ37" s="85" t="s">
        <v>1081</v>
      </c>
      <c r="AR37" s="81" t="s">
        <v>187</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9">
        <v>0</v>
      </c>
      <c r="BG37" s="50">
        <v>0</v>
      </c>
      <c r="BH37" s="49">
        <v>0</v>
      </c>
      <c r="BI37" s="50">
        <v>0</v>
      </c>
      <c r="BJ37" s="49">
        <v>0</v>
      </c>
      <c r="BK37" s="50">
        <v>0</v>
      </c>
      <c r="BL37" s="49">
        <v>6</v>
      </c>
      <c r="BM37" s="50">
        <v>100</v>
      </c>
      <c r="BN37" s="49">
        <v>6</v>
      </c>
    </row>
    <row r="38" spans="1:66" ht="15">
      <c r="A38" s="65" t="s">
        <v>255</v>
      </c>
      <c r="B38" s="65" t="s">
        <v>430</v>
      </c>
      <c r="C38" s="66" t="s">
        <v>4392</v>
      </c>
      <c r="D38" s="67">
        <v>1</v>
      </c>
      <c r="E38" s="68" t="s">
        <v>132</v>
      </c>
      <c r="F38" s="69">
        <v>32</v>
      </c>
      <c r="G38" s="66" t="s">
        <v>51</v>
      </c>
      <c r="H38" s="70"/>
      <c r="I38" s="71"/>
      <c r="J38" s="71"/>
      <c r="K38" s="35" t="s">
        <v>65</v>
      </c>
      <c r="L38" s="79">
        <v>38</v>
      </c>
      <c r="M38" s="79"/>
      <c r="N38" s="73"/>
      <c r="O38" s="81" t="s">
        <v>504</v>
      </c>
      <c r="P38" s="83">
        <v>44643.60885416667</v>
      </c>
      <c r="Q38" s="81" t="s">
        <v>512</v>
      </c>
      <c r="R38" s="81"/>
      <c r="S38" s="81"/>
      <c r="T38" s="81"/>
      <c r="U38" s="84" t="str">
        <f>HYPERLINK("https://pbs.twimg.com/media/FOiWtSbWYAkulkw.jpg")</f>
        <v>https://pbs.twimg.com/media/FOiWtSbWYAkulkw.jpg</v>
      </c>
      <c r="V38" s="84" t="str">
        <f>HYPERLINK("https://pbs.twimg.com/media/FOiWtSbWYAkulkw.jpg")</f>
        <v>https://pbs.twimg.com/media/FOiWtSbWYAkulkw.jpg</v>
      </c>
      <c r="W38" s="83">
        <v>44643.60885416667</v>
      </c>
      <c r="X38" s="88">
        <v>44643</v>
      </c>
      <c r="Y38" s="85" t="s">
        <v>635</v>
      </c>
      <c r="Z38" s="84" t="str">
        <f>HYPERLINK("https://twitter.com/anttiseppala/status/1506641101922447367")</f>
        <v>https://twitter.com/anttiseppala/status/1506641101922447367</v>
      </c>
      <c r="AA38" s="81"/>
      <c r="AB38" s="81"/>
      <c r="AC38" s="85" t="s">
        <v>904</v>
      </c>
      <c r="AD38" s="81"/>
      <c r="AE38" s="81" t="b">
        <v>0</v>
      </c>
      <c r="AF38" s="81">
        <v>0</v>
      </c>
      <c r="AG38" s="85" t="s">
        <v>1162</v>
      </c>
      <c r="AH38" s="81" t="b">
        <v>0</v>
      </c>
      <c r="AI38" s="81" t="s">
        <v>1179</v>
      </c>
      <c r="AJ38" s="81"/>
      <c r="AK38" s="85" t="s">
        <v>1162</v>
      </c>
      <c r="AL38" s="81" t="b">
        <v>0</v>
      </c>
      <c r="AM38" s="81">
        <v>68</v>
      </c>
      <c r="AN38" s="85" t="s">
        <v>1081</v>
      </c>
      <c r="AO38" s="85" t="s">
        <v>1189</v>
      </c>
      <c r="AP38" s="81" t="b">
        <v>0</v>
      </c>
      <c r="AQ38" s="85" t="s">
        <v>1081</v>
      </c>
      <c r="AR38" s="81" t="s">
        <v>187</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9">
        <v>0</v>
      </c>
      <c r="BG38" s="50">
        <v>0</v>
      </c>
      <c r="BH38" s="49">
        <v>0</v>
      </c>
      <c r="BI38" s="50">
        <v>0</v>
      </c>
      <c r="BJ38" s="49">
        <v>0</v>
      </c>
      <c r="BK38" s="50">
        <v>0</v>
      </c>
      <c r="BL38" s="49">
        <v>6</v>
      </c>
      <c r="BM38" s="50">
        <v>100</v>
      </c>
      <c r="BN38" s="49">
        <v>6</v>
      </c>
    </row>
    <row r="39" spans="1:66" ht="15">
      <c r="A39" s="65" t="s">
        <v>256</v>
      </c>
      <c r="B39" s="65" t="s">
        <v>430</v>
      </c>
      <c r="C39" s="66" t="s">
        <v>4392</v>
      </c>
      <c r="D39" s="67">
        <v>1</v>
      </c>
      <c r="E39" s="68" t="s">
        <v>132</v>
      </c>
      <c r="F39" s="69">
        <v>32</v>
      </c>
      <c r="G39" s="66" t="s">
        <v>51</v>
      </c>
      <c r="H39" s="70"/>
      <c r="I39" s="71"/>
      <c r="J39" s="71"/>
      <c r="K39" s="35" t="s">
        <v>65</v>
      </c>
      <c r="L39" s="79">
        <v>39</v>
      </c>
      <c r="M39" s="79"/>
      <c r="N39" s="73"/>
      <c r="O39" s="81" t="s">
        <v>504</v>
      </c>
      <c r="P39" s="83">
        <v>44643.61439814815</v>
      </c>
      <c r="Q39" s="81" t="s">
        <v>512</v>
      </c>
      <c r="R39" s="81"/>
      <c r="S39" s="81"/>
      <c r="T39" s="81"/>
      <c r="U39" s="84" t="str">
        <f>HYPERLINK("https://pbs.twimg.com/media/FOiWtSbWYAkulkw.jpg")</f>
        <v>https://pbs.twimg.com/media/FOiWtSbWYAkulkw.jpg</v>
      </c>
      <c r="V39" s="84" t="str">
        <f>HYPERLINK("https://pbs.twimg.com/media/FOiWtSbWYAkulkw.jpg")</f>
        <v>https://pbs.twimg.com/media/FOiWtSbWYAkulkw.jpg</v>
      </c>
      <c r="W39" s="83">
        <v>44643.61439814815</v>
      </c>
      <c r="X39" s="88">
        <v>44643</v>
      </c>
      <c r="Y39" s="85" t="s">
        <v>636</v>
      </c>
      <c r="Z39" s="84" t="str">
        <f>HYPERLINK("https://twitter.com/ahaaparanta/status/1506643110054535170")</f>
        <v>https://twitter.com/ahaaparanta/status/1506643110054535170</v>
      </c>
      <c r="AA39" s="81"/>
      <c r="AB39" s="81"/>
      <c r="AC39" s="85" t="s">
        <v>905</v>
      </c>
      <c r="AD39" s="81"/>
      <c r="AE39" s="81" t="b">
        <v>0</v>
      </c>
      <c r="AF39" s="81">
        <v>0</v>
      </c>
      <c r="AG39" s="85" t="s">
        <v>1162</v>
      </c>
      <c r="AH39" s="81" t="b">
        <v>0</v>
      </c>
      <c r="AI39" s="81" t="s">
        <v>1179</v>
      </c>
      <c r="AJ39" s="81"/>
      <c r="AK39" s="85" t="s">
        <v>1162</v>
      </c>
      <c r="AL39" s="81" t="b">
        <v>0</v>
      </c>
      <c r="AM39" s="81">
        <v>68</v>
      </c>
      <c r="AN39" s="85" t="s">
        <v>1081</v>
      </c>
      <c r="AO39" s="85" t="s">
        <v>1189</v>
      </c>
      <c r="AP39" s="81" t="b">
        <v>0</v>
      </c>
      <c r="AQ39" s="85" t="s">
        <v>1081</v>
      </c>
      <c r="AR39" s="81" t="s">
        <v>187</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v>0</v>
      </c>
      <c r="BG39" s="50">
        <v>0</v>
      </c>
      <c r="BH39" s="49">
        <v>0</v>
      </c>
      <c r="BI39" s="50">
        <v>0</v>
      </c>
      <c r="BJ39" s="49">
        <v>0</v>
      </c>
      <c r="BK39" s="50">
        <v>0</v>
      </c>
      <c r="BL39" s="49">
        <v>6</v>
      </c>
      <c r="BM39" s="50">
        <v>100</v>
      </c>
      <c r="BN39" s="49">
        <v>6</v>
      </c>
    </row>
    <row r="40" spans="1:66" ht="15">
      <c r="A40" s="65" t="s">
        <v>257</v>
      </c>
      <c r="B40" s="65" t="s">
        <v>430</v>
      </c>
      <c r="C40" s="66" t="s">
        <v>4392</v>
      </c>
      <c r="D40" s="67">
        <v>1</v>
      </c>
      <c r="E40" s="68" t="s">
        <v>132</v>
      </c>
      <c r="F40" s="69">
        <v>32</v>
      </c>
      <c r="G40" s="66" t="s">
        <v>51</v>
      </c>
      <c r="H40" s="70"/>
      <c r="I40" s="71"/>
      <c r="J40" s="71"/>
      <c r="K40" s="35" t="s">
        <v>65</v>
      </c>
      <c r="L40" s="79">
        <v>40</v>
      </c>
      <c r="M40" s="79"/>
      <c r="N40" s="73"/>
      <c r="O40" s="81" t="s">
        <v>504</v>
      </c>
      <c r="P40" s="83">
        <v>44643.632002314815</v>
      </c>
      <c r="Q40" s="81" t="s">
        <v>512</v>
      </c>
      <c r="R40" s="81"/>
      <c r="S40" s="81"/>
      <c r="T40" s="81"/>
      <c r="U40" s="84" t="str">
        <f>HYPERLINK("https://pbs.twimg.com/media/FOiWtSbWYAkulkw.jpg")</f>
        <v>https://pbs.twimg.com/media/FOiWtSbWYAkulkw.jpg</v>
      </c>
      <c r="V40" s="84" t="str">
        <f>HYPERLINK("https://pbs.twimg.com/media/FOiWtSbWYAkulkw.jpg")</f>
        <v>https://pbs.twimg.com/media/FOiWtSbWYAkulkw.jpg</v>
      </c>
      <c r="W40" s="83">
        <v>44643.632002314815</v>
      </c>
      <c r="X40" s="88">
        <v>44643</v>
      </c>
      <c r="Y40" s="85" t="s">
        <v>637</v>
      </c>
      <c r="Z40" s="84" t="str">
        <f>HYPERLINK("https://twitter.com/granstromolavi/status/1506649490727608324")</f>
        <v>https://twitter.com/granstromolavi/status/1506649490727608324</v>
      </c>
      <c r="AA40" s="81"/>
      <c r="AB40" s="81"/>
      <c r="AC40" s="85" t="s">
        <v>906</v>
      </c>
      <c r="AD40" s="81"/>
      <c r="AE40" s="81" t="b">
        <v>0</v>
      </c>
      <c r="AF40" s="81">
        <v>0</v>
      </c>
      <c r="AG40" s="85" t="s">
        <v>1162</v>
      </c>
      <c r="AH40" s="81" t="b">
        <v>0</v>
      </c>
      <c r="AI40" s="81" t="s">
        <v>1179</v>
      </c>
      <c r="AJ40" s="81"/>
      <c r="AK40" s="85" t="s">
        <v>1162</v>
      </c>
      <c r="AL40" s="81" t="b">
        <v>0</v>
      </c>
      <c r="AM40" s="81">
        <v>68</v>
      </c>
      <c r="AN40" s="85" t="s">
        <v>1081</v>
      </c>
      <c r="AO40" s="85" t="s">
        <v>1189</v>
      </c>
      <c r="AP40" s="81" t="b">
        <v>0</v>
      </c>
      <c r="AQ40" s="85" t="s">
        <v>1081</v>
      </c>
      <c r="AR40" s="81" t="s">
        <v>187</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v>0</v>
      </c>
      <c r="BG40" s="50">
        <v>0</v>
      </c>
      <c r="BH40" s="49">
        <v>0</v>
      </c>
      <c r="BI40" s="50">
        <v>0</v>
      </c>
      <c r="BJ40" s="49">
        <v>0</v>
      </c>
      <c r="BK40" s="50">
        <v>0</v>
      </c>
      <c r="BL40" s="49">
        <v>6</v>
      </c>
      <c r="BM40" s="50">
        <v>100</v>
      </c>
      <c r="BN40" s="49">
        <v>6</v>
      </c>
    </row>
    <row r="41" spans="1:66" ht="15">
      <c r="A41" s="65" t="s">
        <v>258</v>
      </c>
      <c r="B41" s="65" t="s">
        <v>258</v>
      </c>
      <c r="C41" s="66" t="s">
        <v>4392</v>
      </c>
      <c r="D41" s="67">
        <v>1</v>
      </c>
      <c r="E41" s="68" t="s">
        <v>132</v>
      </c>
      <c r="F41" s="69">
        <v>32</v>
      </c>
      <c r="G41" s="66" t="s">
        <v>51</v>
      </c>
      <c r="H41" s="70"/>
      <c r="I41" s="71"/>
      <c r="J41" s="71"/>
      <c r="K41" s="35" t="s">
        <v>65</v>
      </c>
      <c r="L41" s="79">
        <v>41</v>
      </c>
      <c r="M41" s="79"/>
      <c r="N41" s="73"/>
      <c r="O41" s="81" t="s">
        <v>187</v>
      </c>
      <c r="P41" s="83">
        <v>44643.63385416667</v>
      </c>
      <c r="Q41" s="81" t="s">
        <v>514</v>
      </c>
      <c r="R41" s="84" t="str">
        <f>HYPERLINK("https://twitter.com/aleksipahkala/status/1506619784791826438")</f>
        <v>https://twitter.com/aleksipahkala/status/1506619784791826438</v>
      </c>
      <c r="S41" s="81" t="s">
        <v>580</v>
      </c>
      <c r="T41" s="81"/>
      <c r="U41" s="81"/>
      <c r="V41" s="84" t="str">
        <f>HYPERLINK("https://pbs.twimg.com/profile_images/1170647391734837248/bDNanl7T_normal.jpg")</f>
        <v>https://pbs.twimg.com/profile_images/1170647391734837248/bDNanl7T_normal.jpg</v>
      </c>
      <c r="W41" s="83">
        <v>44643.63385416667</v>
      </c>
      <c r="X41" s="88">
        <v>44643</v>
      </c>
      <c r="Y41" s="85" t="s">
        <v>638</v>
      </c>
      <c r="Z41" s="84" t="str">
        <f>HYPERLINK("https://twitter.com/petripihko/status/1506650160272662537")</f>
        <v>https://twitter.com/petripihko/status/1506650160272662537</v>
      </c>
      <c r="AA41" s="81"/>
      <c r="AB41" s="81"/>
      <c r="AC41" s="85" t="s">
        <v>907</v>
      </c>
      <c r="AD41" s="81"/>
      <c r="AE41" s="81" t="b">
        <v>0</v>
      </c>
      <c r="AF41" s="81">
        <v>4</v>
      </c>
      <c r="AG41" s="85" t="s">
        <v>1162</v>
      </c>
      <c r="AH41" s="81" t="b">
        <v>1</v>
      </c>
      <c r="AI41" s="81" t="s">
        <v>1179</v>
      </c>
      <c r="AJ41" s="81"/>
      <c r="AK41" s="85" t="s">
        <v>1081</v>
      </c>
      <c r="AL41" s="81" t="b">
        <v>0</v>
      </c>
      <c r="AM41" s="81">
        <v>1</v>
      </c>
      <c r="AN41" s="85" t="s">
        <v>1162</v>
      </c>
      <c r="AO41" s="85" t="s">
        <v>1188</v>
      </c>
      <c r="AP41" s="81" t="b">
        <v>0</v>
      </c>
      <c r="AQ41" s="85" t="s">
        <v>907</v>
      </c>
      <c r="AR41" s="81" t="s">
        <v>187</v>
      </c>
      <c r="AS41" s="81">
        <v>0</v>
      </c>
      <c r="AT41" s="81">
        <v>0</v>
      </c>
      <c r="AU41" s="81"/>
      <c r="AV41" s="81"/>
      <c r="AW41" s="81"/>
      <c r="AX41" s="81"/>
      <c r="AY41" s="81"/>
      <c r="AZ41" s="81"/>
      <c r="BA41" s="81"/>
      <c r="BB41" s="81"/>
      <c r="BC41">
        <v>1</v>
      </c>
      <c r="BD41" s="80" t="str">
        <f>REPLACE(INDEX(GroupVertices[Group],MATCH(Edges[[#This Row],[Vertex 1]],GroupVertices[Vertex],0)),1,1,"")</f>
        <v>3</v>
      </c>
      <c r="BE41" s="80" t="str">
        <f>REPLACE(INDEX(GroupVertices[Group],MATCH(Edges[[#This Row],[Vertex 2]],GroupVertices[Vertex],0)),1,1,"")</f>
        <v>3</v>
      </c>
      <c r="BF41" s="49">
        <v>0</v>
      </c>
      <c r="BG41" s="50">
        <v>0</v>
      </c>
      <c r="BH41" s="49">
        <v>0</v>
      </c>
      <c r="BI41" s="50">
        <v>0</v>
      </c>
      <c r="BJ41" s="49">
        <v>0</v>
      </c>
      <c r="BK41" s="50">
        <v>0</v>
      </c>
      <c r="BL41" s="49">
        <v>7</v>
      </c>
      <c r="BM41" s="50">
        <v>100</v>
      </c>
      <c r="BN41" s="49">
        <v>7</v>
      </c>
    </row>
    <row r="42" spans="1:66" ht="15">
      <c r="A42" s="65" t="s">
        <v>259</v>
      </c>
      <c r="B42" s="65" t="s">
        <v>430</v>
      </c>
      <c r="C42" s="66" t="s">
        <v>4392</v>
      </c>
      <c r="D42" s="67">
        <v>1</v>
      </c>
      <c r="E42" s="68" t="s">
        <v>132</v>
      </c>
      <c r="F42" s="69">
        <v>32</v>
      </c>
      <c r="G42" s="66" t="s">
        <v>51</v>
      </c>
      <c r="H42" s="70"/>
      <c r="I42" s="71"/>
      <c r="J42" s="71"/>
      <c r="K42" s="35" t="s">
        <v>65</v>
      </c>
      <c r="L42" s="79">
        <v>42</v>
      </c>
      <c r="M42" s="79"/>
      <c r="N42" s="73"/>
      <c r="O42" s="81" t="s">
        <v>504</v>
      </c>
      <c r="P42" s="83">
        <v>44643.63547453703</v>
      </c>
      <c r="Q42" s="81" t="s">
        <v>512</v>
      </c>
      <c r="R42" s="81"/>
      <c r="S42" s="81"/>
      <c r="T42" s="81"/>
      <c r="U42" s="84" t="str">
        <f>HYPERLINK("https://pbs.twimg.com/media/FOiWtSbWYAkulkw.jpg")</f>
        <v>https://pbs.twimg.com/media/FOiWtSbWYAkulkw.jpg</v>
      </c>
      <c r="V42" s="84" t="str">
        <f>HYPERLINK("https://pbs.twimg.com/media/FOiWtSbWYAkulkw.jpg")</f>
        <v>https://pbs.twimg.com/media/FOiWtSbWYAkulkw.jpg</v>
      </c>
      <c r="W42" s="83">
        <v>44643.63547453703</v>
      </c>
      <c r="X42" s="88">
        <v>44643</v>
      </c>
      <c r="Y42" s="85" t="s">
        <v>639</v>
      </c>
      <c r="Z42" s="84" t="str">
        <f>HYPERLINK("https://twitter.com/vesaukkonen/status/1506650747588513800")</f>
        <v>https://twitter.com/vesaukkonen/status/1506650747588513800</v>
      </c>
      <c r="AA42" s="81"/>
      <c r="AB42" s="81"/>
      <c r="AC42" s="85" t="s">
        <v>908</v>
      </c>
      <c r="AD42" s="81"/>
      <c r="AE42" s="81" t="b">
        <v>0</v>
      </c>
      <c r="AF42" s="81">
        <v>0</v>
      </c>
      <c r="AG42" s="85" t="s">
        <v>1162</v>
      </c>
      <c r="AH42" s="81" t="b">
        <v>0</v>
      </c>
      <c r="AI42" s="81" t="s">
        <v>1179</v>
      </c>
      <c r="AJ42" s="81"/>
      <c r="AK42" s="85" t="s">
        <v>1162</v>
      </c>
      <c r="AL42" s="81" t="b">
        <v>0</v>
      </c>
      <c r="AM42" s="81">
        <v>68</v>
      </c>
      <c r="AN42" s="85" t="s">
        <v>1081</v>
      </c>
      <c r="AO42" s="85" t="s">
        <v>1189</v>
      </c>
      <c r="AP42" s="81" t="b">
        <v>0</v>
      </c>
      <c r="AQ42" s="85" t="s">
        <v>1081</v>
      </c>
      <c r="AR42" s="81" t="s">
        <v>187</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v>0</v>
      </c>
      <c r="BG42" s="50">
        <v>0</v>
      </c>
      <c r="BH42" s="49">
        <v>0</v>
      </c>
      <c r="BI42" s="50">
        <v>0</v>
      </c>
      <c r="BJ42" s="49">
        <v>0</v>
      </c>
      <c r="BK42" s="50">
        <v>0</v>
      </c>
      <c r="BL42" s="49">
        <v>6</v>
      </c>
      <c r="BM42" s="50">
        <v>100</v>
      </c>
      <c r="BN42" s="49">
        <v>6</v>
      </c>
    </row>
    <row r="43" spans="1:66" ht="15">
      <c r="A43" s="65" t="s">
        <v>260</v>
      </c>
      <c r="B43" s="65" t="s">
        <v>430</v>
      </c>
      <c r="C43" s="66" t="s">
        <v>4392</v>
      </c>
      <c r="D43" s="67">
        <v>1</v>
      </c>
      <c r="E43" s="68" t="s">
        <v>132</v>
      </c>
      <c r="F43" s="69">
        <v>32</v>
      </c>
      <c r="G43" s="66" t="s">
        <v>51</v>
      </c>
      <c r="H43" s="70"/>
      <c r="I43" s="71"/>
      <c r="J43" s="71"/>
      <c r="K43" s="35" t="s">
        <v>65</v>
      </c>
      <c r="L43" s="79">
        <v>43</v>
      </c>
      <c r="M43" s="79"/>
      <c r="N43" s="73"/>
      <c r="O43" s="81" t="s">
        <v>504</v>
      </c>
      <c r="P43" s="83">
        <v>44643.64097222222</v>
      </c>
      <c r="Q43" s="81" t="s">
        <v>512</v>
      </c>
      <c r="R43" s="81"/>
      <c r="S43" s="81"/>
      <c r="T43" s="81"/>
      <c r="U43" s="84" t="str">
        <f>HYPERLINK("https://pbs.twimg.com/media/FOiWtSbWYAkulkw.jpg")</f>
        <v>https://pbs.twimg.com/media/FOiWtSbWYAkulkw.jpg</v>
      </c>
      <c r="V43" s="84" t="str">
        <f>HYPERLINK("https://pbs.twimg.com/media/FOiWtSbWYAkulkw.jpg")</f>
        <v>https://pbs.twimg.com/media/FOiWtSbWYAkulkw.jpg</v>
      </c>
      <c r="W43" s="83">
        <v>44643.64097222222</v>
      </c>
      <c r="X43" s="88">
        <v>44643</v>
      </c>
      <c r="Y43" s="85" t="s">
        <v>640</v>
      </c>
      <c r="Z43" s="84" t="str">
        <f>HYPERLINK("https://twitter.com/tinkeliini/status/1506652742546243587")</f>
        <v>https://twitter.com/tinkeliini/status/1506652742546243587</v>
      </c>
      <c r="AA43" s="81"/>
      <c r="AB43" s="81"/>
      <c r="AC43" s="85" t="s">
        <v>909</v>
      </c>
      <c r="AD43" s="81"/>
      <c r="AE43" s="81" t="b">
        <v>0</v>
      </c>
      <c r="AF43" s="81">
        <v>0</v>
      </c>
      <c r="AG43" s="85" t="s">
        <v>1162</v>
      </c>
      <c r="AH43" s="81" t="b">
        <v>0</v>
      </c>
      <c r="AI43" s="81" t="s">
        <v>1179</v>
      </c>
      <c r="AJ43" s="81"/>
      <c r="AK43" s="85" t="s">
        <v>1162</v>
      </c>
      <c r="AL43" s="81" t="b">
        <v>0</v>
      </c>
      <c r="AM43" s="81">
        <v>68</v>
      </c>
      <c r="AN43" s="85" t="s">
        <v>1081</v>
      </c>
      <c r="AO43" s="85" t="s">
        <v>1188</v>
      </c>
      <c r="AP43" s="81" t="b">
        <v>0</v>
      </c>
      <c r="AQ43" s="85" t="s">
        <v>1081</v>
      </c>
      <c r="AR43" s="81" t="s">
        <v>187</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v>0</v>
      </c>
      <c r="BG43" s="50">
        <v>0</v>
      </c>
      <c r="BH43" s="49">
        <v>0</v>
      </c>
      <c r="BI43" s="50">
        <v>0</v>
      </c>
      <c r="BJ43" s="49">
        <v>0</v>
      </c>
      <c r="BK43" s="50">
        <v>0</v>
      </c>
      <c r="BL43" s="49">
        <v>6</v>
      </c>
      <c r="BM43" s="50">
        <v>100</v>
      </c>
      <c r="BN43" s="49">
        <v>6</v>
      </c>
    </row>
    <row r="44" spans="1:66" ht="15">
      <c r="A44" s="65" t="s">
        <v>261</v>
      </c>
      <c r="B44" s="65" t="s">
        <v>430</v>
      </c>
      <c r="C44" s="66" t="s">
        <v>4392</v>
      </c>
      <c r="D44" s="67">
        <v>1</v>
      </c>
      <c r="E44" s="68" t="s">
        <v>132</v>
      </c>
      <c r="F44" s="69">
        <v>32</v>
      </c>
      <c r="G44" s="66" t="s">
        <v>51</v>
      </c>
      <c r="H44" s="70"/>
      <c r="I44" s="71"/>
      <c r="J44" s="71"/>
      <c r="K44" s="35" t="s">
        <v>65</v>
      </c>
      <c r="L44" s="79">
        <v>44</v>
      </c>
      <c r="M44" s="79"/>
      <c r="N44" s="73"/>
      <c r="O44" s="81" t="s">
        <v>504</v>
      </c>
      <c r="P44" s="83">
        <v>44643.64126157408</v>
      </c>
      <c r="Q44" s="81" t="s">
        <v>512</v>
      </c>
      <c r="R44" s="81"/>
      <c r="S44" s="81"/>
      <c r="T44" s="81"/>
      <c r="U44" s="84" t="str">
        <f>HYPERLINK("https://pbs.twimg.com/media/FOiWtSbWYAkulkw.jpg")</f>
        <v>https://pbs.twimg.com/media/FOiWtSbWYAkulkw.jpg</v>
      </c>
      <c r="V44" s="84" t="str">
        <f>HYPERLINK("https://pbs.twimg.com/media/FOiWtSbWYAkulkw.jpg")</f>
        <v>https://pbs.twimg.com/media/FOiWtSbWYAkulkw.jpg</v>
      </c>
      <c r="W44" s="83">
        <v>44643.64126157408</v>
      </c>
      <c r="X44" s="88">
        <v>44643</v>
      </c>
      <c r="Y44" s="85" t="s">
        <v>641</v>
      </c>
      <c r="Z44" s="84" t="str">
        <f>HYPERLINK("https://twitter.com/jussisaarelma/status/1506652845998751755")</f>
        <v>https://twitter.com/jussisaarelma/status/1506652845998751755</v>
      </c>
      <c r="AA44" s="81"/>
      <c r="AB44" s="81"/>
      <c r="AC44" s="85" t="s">
        <v>910</v>
      </c>
      <c r="AD44" s="81"/>
      <c r="AE44" s="81" t="b">
        <v>0</v>
      </c>
      <c r="AF44" s="81">
        <v>0</v>
      </c>
      <c r="AG44" s="85" t="s">
        <v>1162</v>
      </c>
      <c r="AH44" s="81" t="b">
        <v>0</v>
      </c>
      <c r="AI44" s="81" t="s">
        <v>1179</v>
      </c>
      <c r="AJ44" s="81"/>
      <c r="AK44" s="85" t="s">
        <v>1162</v>
      </c>
      <c r="AL44" s="81" t="b">
        <v>0</v>
      </c>
      <c r="AM44" s="81">
        <v>68</v>
      </c>
      <c r="AN44" s="85" t="s">
        <v>1081</v>
      </c>
      <c r="AO44" s="85" t="s">
        <v>1190</v>
      </c>
      <c r="AP44" s="81" t="b">
        <v>0</v>
      </c>
      <c r="AQ44" s="85" t="s">
        <v>1081</v>
      </c>
      <c r="AR44" s="81" t="s">
        <v>187</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v>0</v>
      </c>
      <c r="BG44" s="50">
        <v>0</v>
      </c>
      <c r="BH44" s="49">
        <v>0</v>
      </c>
      <c r="BI44" s="50">
        <v>0</v>
      </c>
      <c r="BJ44" s="49">
        <v>0</v>
      </c>
      <c r="BK44" s="50">
        <v>0</v>
      </c>
      <c r="BL44" s="49">
        <v>6</v>
      </c>
      <c r="BM44" s="50">
        <v>100</v>
      </c>
      <c r="BN44" s="49">
        <v>6</v>
      </c>
    </row>
    <row r="45" spans="1:66" ht="15">
      <c r="A45" s="65" t="s">
        <v>262</v>
      </c>
      <c r="B45" s="65" t="s">
        <v>262</v>
      </c>
      <c r="C45" s="66" t="s">
        <v>4392</v>
      </c>
      <c r="D45" s="67">
        <v>1</v>
      </c>
      <c r="E45" s="68" t="s">
        <v>132</v>
      </c>
      <c r="F45" s="69">
        <v>32</v>
      </c>
      <c r="G45" s="66" t="s">
        <v>51</v>
      </c>
      <c r="H45" s="70"/>
      <c r="I45" s="71"/>
      <c r="J45" s="71"/>
      <c r="K45" s="35" t="s">
        <v>65</v>
      </c>
      <c r="L45" s="79">
        <v>45</v>
      </c>
      <c r="M45" s="79"/>
      <c r="N45" s="73"/>
      <c r="O45" s="81" t="s">
        <v>187</v>
      </c>
      <c r="P45" s="83">
        <v>44643.644479166665</v>
      </c>
      <c r="Q45" s="81" t="s">
        <v>515</v>
      </c>
      <c r="R45" s="81"/>
      <c r="S45" s="81"/>
      <c r="T45" s="85" t="s">
        <v>589</v>
      </c>
      <c r="U45" s="84" t="str">
        <f>HYPERLINK("https://pbs.twimg.com/media/FOi11ibXwAYZpTL.jpg")</f>
        <v>https://pbs.twimg.com/media/FOi11ibXwAYZpTL.jpg</v>
      </c>
      <c r="V45" s="84" t="str">
        <f>HYPERLINK("https://pbs.twimg.com/media/FOi11ibXwAYZpTL.jpg")</f>
        <v>https://pbs.twimg.com/media/FOi11ibXwAYZpTL.jpg</v>
      </c>
      <c r="W45" s="83">
        <v>44643.644479166665</v>
      </c>
      <c r="X45" s="88">
        <v>44643</v>
      </c>
      <c r="Y45" s="85" t="s">
        <v>642</v>
      </c>
      <c r="Z45" s="84" t="str">
        <f>HYPERLINK("https://twitter.com/malaprade/status/1506654011746930688")</f>
        <v>https://twitter.com/malaprade/status/1506654011746930688</v>
      </c>
      <c r="AA45" s="81"/>
      <c r="AB45" s="81"/>
      <c r="AC45" s="85" t="s">
        <v>911</v>
      </c>
      <c r="AD45" s="81"/>
      <c r="AE45" s="81" t="b">
        <v>0</v>
      </c>
      <c r="AF45" s="81">
        <v>3</v>
      </c>
      <c r="AG45" s="85" t="s">
        <v>1162</v>
      </c>
      <c r="AH45" s="81" t="b">
        <v>0</v>
      </c>
      <c r="AI45" s="81" t="s">
        <v>1179</v>
      </c>
      <c r="AJ45" s="81"/>
      <c r="AK45" s="85" t="s">
        <v>1162</v>
      </c>
      <c r="AL45" s="81" t="b">
        <v>0</v>
      </c>
      <c r="AM45" s="81">
        <v>0</v>
      </c>
      <c r="AN45" s="85" t="s">
        <v>1162</v>
      </c>
      <c r="AO45" s="85" t="s">
        <v>1190</v>
      </c>
      <c r="AP45" s="81" t="b">
        <v>0</v>
      </c>
      <c r="AQ45" s="85" t="s">
        <v>911</v>
      </c>
      <c r="AR45" s="81" t="s">
        <v>187</v>
      </c>
      <c r="AS45" s="81">
        <v>0</v>
      </c>
      <c r="AT45" s="81">
        <v>0</v>
      </c>
      <c r="AU45" s="81"/>
      <c r="AV45" s="81"/>
      <c r="AW45" s="81"/>
      <c r="AX45" s="81"/>
      <c r="AY45" s="81"/>
      <c r="AZ45" s="81"/>
      <c r="BA45" s="81"/>
      <c r="BB45" s="81"/>
      <c r="BC45">
        <v>1</v>
      </c>
      <c r="BD45" s="80" t="str">
        <f>REPLACE(INDEX(GroupVertices[Group],MATCH(Edges[[#This Row],[Vertex 1]],GroupVertices[Vertex],0)),1,1,"")</f>
        <v>3</v>
      </c>
      <c r="BE45" s="80" t="str">
        <f>REPLACE(INDEX(GroupVertices[Group],MATCH(Edges[[#This Row],[Vertex 2]],GroupVertices[Vertex],0)),1,1,"")</f>
        <v>3</v>
      </c>
      <c r="BF45" s="49">
        <v>0</v>
      </c>
      <c r="BG45" s="50">
        <v>0</v>
      </c>
      <c r="BH45" s="49">
        <v>0</v>
      </c>
      <c r="BI45" s="50">
        <v>0</v>
      </c>
      <c r="BJ45" s="49">
        <v>0</v>
      </c>
      <c r="BK45" s="50">
        <v>0</v>
      </c>
      <c r="BL45" s="49">
        <v>12</v>
      </c>
      <c r="BM45" s="50">
        <v>100</v>
      </c>
      <c r="BN45" s="49">
        <v>12</v>
      </c>
    </row>
    <row r="46" spans="1:66" ht="15">
      <c r="A46" s="65" t="s">
        <v>263</v>
      </c>
      <c r="B46" s="65" t="s">
        <v>430</v>
      </c>
      <c r="C46" s="66" t="s">
        <v>4392</v>
      </c>
      <c r="D46" s="67">
        <v>1</v>
      </c>
      <c r="E46" s="68" t="s">
        <v>132</v>
      </c>
      <c r="F46" s="69">
        <v>32</v>
      </c>
      <c r="G46" s="66" t="s">
        <v>51</v>
      </c>
      <c r="H46" s="70"/>
      <c r="I46" s="71"/>
      <c r="J46" s="71"/>
      <c r="K46" s="35" t="s">
        <v>65</v>
      </c>
      <c r="L46" s="79">
        <v>46</v>
      </c>
      <c r="M46" s="79"/>
      <c r="N46" s="73"/>
      <c r="O46" s="81" t="s">
        <v>504</v>
      </c>
      <c r="P46" s="83">
        <v>44643.644953703704</v>
      </c>
      <c r="Q46" s="81" t="s">
        <v>512</v>
      </c>
      <c r="R46" s="81"/>
      <c r="S46" s="81"/>
      <c r="T46" s="81"/>
      <c r="U46" s="84" t="str">
        <f>HYPERLINK("https://pbs.twimg.com/media/FOiWtSbWYAkulkw.jpg")</f>
        <v>https://pbs.twimg.com/media/FOiWtSbWYAkulkw.jpg</v>
      </c>
      <c r="V46" s="84" t="str">
        <f>HYPERLINK("https://pbs.twimg.com/media/FOiWtSbWYAkulkw.jpg")</f>
        <v>https://pbs.twimg.com/media/FOiWtSbWYAkulkw.jpg</v>
      </c>
      <c r="W46" s="83">
        <v>44643.644953703704</v>
      </c>
      <c r="X46" s="88">
        <v>44643</v>
      </c>
      <c r="Y46" s="85" t="s">
        <v>643</v>
      </c>
      <c r="Z46" s="84" t="str">
        <f>HYPERLINK("https://twitter.com/dumbopumba/status/1506654186036944897")</f>
        <v>https://twitter.com/dumbopumba/status/1506654186036944897</v>
      </c>
      <c r="AA46" s="81"/>
      <c r="AB46" s="81"/>
      <c r="AC46" s="85" t="s">
        <v>912</v>
      </c>
      <c r="AD46" s="81"/>
      <c r="AE46" s="81" t="b">
        <v>0</v>
      </c>
      <c r="AF46" s="81">
        <v>0</v>
      </c>
      <c r="AG46" s="85" t="s">
        <v>1162</v>
      </c>
      <c r="AH46" s="81" t="b">
        <v>0</v>
      </c>
      <c r="AI46" s="81" t="s">
        <v>1179</v>
      </c>
      <c r="AJ46" s="81"/>
      <c r="AK46" s="85" t="s">
        <v>1162</v>
      </c>
      <c r="AL46" s="81" t="b">
        <v>0</v>
      </c>
      <c r="AM46" s="81">
        <v>68</v>
      </c>
      <c r="AN46" s="85" t="s">
        <v>1081</v>
      </c>
      <c r="AO46" s="85" t="s">
        <v>1188</v>
      </c>
      <c r="AP46" s="81" t="b">
        <v>0</v>
      </c>
      <c r="AQ46" s="85" t="s">
        <v>1081</v>
      </c>
      <c r="AR46" s="81" t="s">
        <v>187</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v>0</v>
      </c>
      <c r="BG46" s="50">
        <v>0</v>
      </c>
      <c r="BH46" s="49">
        <v>0</v>
      </c>
      <c r="BI46" s="50">
        <v>0</v>
      </c>
      <c r="BJ46" s="49">
        <v>0</v>
      </c>
      <c r="BK46" s="50">
        <v>0</v>
      </c>
      <c r="BL46" s="49">
        <v>6</v>
      </c>
      <c r="BM46" s="50">
        <v>100</v>
      </c>
      <c r="BN46" s="49">
        <v>6</v>
      </c>
    </row>
    <row r="47" spans="1:66" ht="15">
      <c r="A47" s="65" t="s">
        <v>264</v>
      </c>
      <c r="B47" s="65" t="s">
        <v>430</v>
      </c>
      <c r="C47" s="66" t="s">
        <v>4392</v>
      </c>
      <c r="D47" s="67">
        <v>1</v>
      </c>
      <c r="E47" s="68" t="s">
        <v>132</v>
      </c>
      <c r="F47" s="69">
        <v>32</v>
      </c>
      <c r="G47" s="66" t="s">
        <v>51</v>
      </c>
      <c r="H47" s="70"/>
      <c r="I47" s="71"/>
      <c r="J47" s="71"/>
      <c r="K47" s="35" t="s">
        <v>65</v>
      </c>
      <c r="L47" s="79">
        <v>47</v>
      </c>
      <c r="M47" s="79"/>
      <c r="N47" s="73"/>
      <c r="O47" s="81" t="s">
        <v>504</v>
      </c>
      <c r="P47" s="83">
        <v>44643.67486111111</v>
      </c>
      <c r="Q47" s="81" t="s">
        <v>512</v>
      </c>
      <c r="R47" s="81"/>
      <c r="S47" s="81"/>
      <c r="T47" s="81"/>
      <c r="U47" s="84" t="str">
        <f>HYPERLINK("https://pbs.twimg.com/media/FOiWtSbWYAkulkw.jpg")</f>
        <v>https://pbs.twimg.com/media/FOiWtSbWYAkulkw.jpg</v>
      </c>
      <c r="V47" s="84" t="str">
        <f>HYPERLINK("https://pbs.twimg.com/media/FOiWtSbWYAkulkw.jpg")</f>
        <v>https://pbs.twimg.com/media/FOiWtSbWYAkulkw.jpg</v>
      </c>
      <c r="W47" s="83">
        <v>44643.67486111111</v>
      </c>
      <c r="X47" s="88">
        <v>44643</v>
      </c>
      <c r="Y47" s="85" t="s">
        <v>644</v>
      </c>
      <c r="Z47" s="84" t="str">
        <f>HYPERLINK("https://twitter.com/avaruushelmi/status/1506665022105296896")</f>
        <v>https://twitter.com/avaruushelmi/status/1506665022105296896</v>
      </c>
      <c r="AA47" s="81"/>
      <c r="AB47" s="81"/>
      <c r="AC47" s="85" t="s">
        <v>913</v>
      </c>
      <c r="AD47" s="81"/>
      <c r="AE47" s="81" t="b">
        <v>0</v>
      </c>
      <c r="AF47" s="81">
        <v>0</v>
      </c>
      <c r="AG47" s="85" t="s">
        <v>1162</v>
      </c>
      <c r="AH47" s="81" t="b">
        <v>0</v>
      </c>
      <c r="AI47" s="81" t="s">
        <v>1179</v>
      </c>
      <c r="AJ47" s="81"/>
      <c r="AK47" s="85" t="s">
        <v>1162</v>
      </c>
      <c r="AL47" s="81" t="b">
        <v>0</v>
      </c>
      <c r="AM47" s="81">
        <v>68</v>
      </c>
      <c r="AN47" s="85" t="s">
        <v>1081</v>
      </c>
      <c r="AO47" s="85" t="s">
        <v>1189</v>
      </c>
      <c r="AP47" s="81" t="b">
        <v>0</v>
      </c>
      <c r="AQ47" s="85" t="s">
        <v>1081</v>
      </c>
      <c r="AR47" s="81" t="s">
        <v>187</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6</v>
      </c>
      <c r="BM47" s="50">
        <v>100</v>
      </c>
      <c r="BN47" s="49">
        <v>6</v>
      </c>
    </row>
    <row r="48" spans="1:66" ht="15">
      <c r="A48" s="65" t="s">
        <v>265</v>
      </c>
      <c r="B48" s="65" t="s">
        <v>430</v>
      </c>
      <c r="C48" s="66" t="s">
        <v>4392</v>
      </c>
      <c r="D48" s="67">
        <v>1</v>
      </c>
      <c r="E48" s="68" t="s">
        <v>132</v>
      </c>
      <c r="F48" s="69">
        <v>32</v>
      </c>
      <c r="G48" s="66" t="s">
        <v>51</v>
      </c>
      <c r="H48" s="70"/>
      <c r="I48" s="71"/>
      <c r="J48" s="71"/>
      <c r="K48" s="35" t="s">
        <v>65</v>
      </c>
      <c r="L48" s="79">
        <v>48</v>
      </c>
      <c r="M48" s="79"/>
      <c r="N48" s="73"/>
      <c r="O48" s="81" t="s">
        <v>504</v>
      </c>
      <c r="P48" s="83">
        <v>44643.693090277775</v>
      </c>
      <c r="Q48" s="81" t="s">
        <v>512</v>
      </c>
      <c r="R48" s="81"/>
      <c r="S48" s="81"/>
      <c r="T48" s="81"/>
      <c r="U48" s="84" t="str">
        <f>HYPERLINK("https://pbs.twimg.com/media/FOiWtSbWYAkulkw.jpg")</f>
        <v>https://pbs.twimg.com/media/FOiWtSbWYAkulkw.jpg</v>
      </c>
      <c r="V48" s="84" t="str">
        <f>HYPERLINK("https://pbs.twimg.com/media/FOiWtSbWYAkulkw.jpg")</f>
        <v>https://pbs.twimg.com/media/FOiWtSbWYAkulkw.jpg</v>
      </c>
      <c r="W48" s="83">
        <v>44643.693090277775</v>
      </c>
      <c r="X48" s="88">
        <v>44643</v>
      </c>
      <c r="Y48" s="85" t="s">
        <v>645</v>
      </c>
      <c r="Z48" s="84" t="str">
        <f>HYPERLINK("https://twitter.com/rahina/status/1506671626871623691")</f>
        <v>https://twitter.com/rahina/status/1506671626871623691</v>
      </c>
      <c r="AA48" s="81"/>
      <c r="AB48" s="81"/>
      <c r="AC48" s="85" t="s">
        <v>914</v>
      </c>
      <c r="AD48" s="81"/>
      <c r="AE48" s="81" t="b">
        <v>0</v>
      </c>
      <c r="AF48" s="81">
        <v>0</v>
      </c>
      <c r="AG48" s="85" t="s">
        <v>1162</v>
      </c>
      <c r="AH48" s="81" t="b">
        <v>0</v>
      </c>
      <c r="AI48" s="81" t="s">
        <v>1179</v>
      </c>
      <c r="AJ48" s="81"/>
      <c r="AK48" s="85" t="s">
        <v>1162</v>
      </c>
      <c r="AL48" s="81" t="b">
        <v>0</v>
      </c>
      <c r="AM48" s="81">
        <v>68</v>
      </c>
      <c r="AN48" s="85" t="s">
        <v>1081</v>
      </c>
      <c r="AO48" s="85" t="s">
        <v>1190</v>
      </c>
      <c r="AP48" s="81" t="b">
        <v>0</v>
      </c>
      <c r="AQ48" s="85" t="s">
        <v>1081</v>
      </c>
      <c r="AR48" s="81" t="s">
        <v>187</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0</v>
      </c>
      <c r="BG48" s="50">
        <v>0</v>
      </c>
      <c r="BH48" s="49">
        <v>0</v>
      </c>
      <c r="BI48" s="50">
        <v>0</v>
      </c>
      <c r="BJ48" s="49">
        <v>0</v>
      </c>
      <c r="BK48" s="50">
        <v>0</v>
      </c>
      <c r="BL48" s="49">
        <v>6</v>
      </c>
      <c r="BM48" s="50">
        <v>100</v>
      </c>
      <c r="BN48" s="49">
        <v>6</v>
      </c>
    </row>
    <row r="49" spans="1:66" ht="15">
      <c r="A49" s="65" t="s">
        <v>266</v>
      </c>
      <c r="B49" s="65" t="s">
        <v>430</v>
      </c>
      <c r="C49" s="66" t="s">
        <v>4392</v>
      </c>
      <c r="D49" s="67">
        <v>1</v>
      </c>
      <c r="E49" s="68" t="s">
        <v>132</v>
      </c>
      <c r="F49" s="69">
        <v>32</v>
      </c>
      <c r="G49" s="66" t="s">
        <v>51</v>
      </c>
      <c r="H49" s="70"/>
      <c r="I49" s="71"/>
      <c r="J49" s="71"/>
      <c r="K49" s="35" t="s">
        <v>65</v>
      </c>
      <c r="L49" s="79">
        <v>49</v>
      </c>
      <c r="M49" s="79"/>
      <c r="N49" s="73"/>
      <c r="O49" s="81" t="s">
        <v>502</v>
      </c>
      <c r="P49" s="83">
        <v>44643.69630787037</v>
      </c>
      <c r="Q49" s="81" t="s">
        <v>516</v>
      </c>
      <c r="R49" s="81"/>
      <c r="S49" s="81"/>
      <c r="T49" s="81"/>
      <c r="U49" s="81"/>
      <c r="V49" s="84" t="str">
        <f>HYPERLINK("https://pbs.twimg.com/profile_images/1479909477201686532/IUM3Cfiy_normal.jpg")</f>
        <v>https://pbs.twimg.com/profile_images/1479909477201686532/IUM3Cfiy_normal.jpg</v>
      </c>
      <c r="W49" s="83">
        <v>44643.69630787037</v>
      </c>
      <c r="X49" s="88">
        <v>44643</v>
      </c>
      <c r="Y49" s="85" t="s">
        <v>646</v>
      </c>
      <c r="Z49" s="84" t="str">
        <f>HYPERLINK("https://twitter.com/oleniusmatti/status/1506672794423238660")</f>
        <v>https://twitter.com/oleniusmatti/status/1506672794423238660</v>
      </c>
      <c r="AA49" s="81"/>
      <c r="AB49" s="81"/>
      <c r="AC49" s="85" t="s">
        <v>915</v>
      </c>
      <c r="AD49" s="85" t="s">
        <v>1081</v>
      </c>
      <c r="AE49" s="81" t="b">
        <v>0</v>
      </c>
      <c r="AF49" s="81">
        <v>1</v>
      </c>
      <c r="AG49" s="85" t="s">
        <v>1165</v>
      </c>
      <c r="AH49" s="81" t="b">
        <v>0</v>
      </c>
      <c r="AI49" s="81" t="s">
        <v>1180</v>
      </c>
      <c r="AJ49" s="81"/>
      <c r="AK49" s="85" t="s">
        <v>1162</v>
      </c>
      <c r="AL49" s="81" t="b">
        <v>0</v>
      </c>
      <c r="AM49" s="81">
        <v>0</v>
      </c>
      <c r="AN49" s="85" t="s">
        <v>1162</v>
      </c>
      <c r="AO49" s="85" t="s">
        <v>1188</v>
      </c>
      <c r="AP49" s="81" t="b">
        <v>0</v>
      </c>
      <c r="AQ49" s="85" t="s">
        <v>1081</v>
      </c>
      <c r="AR49" s="81" t="s">
        <v>187</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v>0</v>
      </c>
      <c r="BG49" s="50">
        <v>0</v>
      </c>
      <c r="BH49" s="49">
        <v>0</v>
      </c>
      <c r="BI49" s="50">
        <v>0</v>
      </c>
      <c r="BJ49" s="49">
        <v>0</v>
      </c>
      <c r="BK49" s="50">
        <v>0</v>
      </c>
      <c r="BL49" s="49">
        <v>3</v>
      </c>
      <c r="BM49" s="50">
        <v>100</v>
      </c>
      <c r="BN49" s="49">
        <v>3</v>
      </c>
    </row>
    <row r="50" spans="1:66" ht="15">
      <c r="A50" s="65" t="s">
        <v>267</v>
      </c>
      <c r="B50" s="65" t="s">
        <v>430</v>
      </c>
      <c r="C50" s="66" t="s">
        <v>4392</v>
      </c>
      <c r="D50" s="67">
        <v>1</v>
      </c>
      <c r="E50" s="68" t="s">
        <v>132</v>
      </c>
      <c r="F50" s="69">
        <v>32</v>
      </c>
      <c r="G50" s="66" t="s">
        <v>51</v>
      </c>
      <c r="H50" s="70"/>
      <c r="I50" s="71"/>
      <c r="J50" s="71"/>
      <c r="K50" s="35" t="s">
        <v>65</v>
      </c>
      <c r="L50" s="79">
        <v>50</v>
      </c>
      <c r="M50" s="79"/>
      <c r="N50" s="73"/>
      <c r="O50" s="81" t="s">
        <v>504</v>
      </c>
      <c r="P50" s="83">
        <v>44643.71505787037</v>
      </c>
      <c r="Q50" s="81" t="s">
        <v>512</v>
      </c>
      <c r="R50" s="81"/>
      <c r="S50" s="81"/>
      <c r="T50" s="81"/>
      <c r="U50" s="84" t="str">
        <f>HYPERLINK("https://pbs.twimg.com/media/FOiWtSbWYAkulkw.jpg")</f>
        <v>https://pbs.twimg.com/media/FOiWtSbWYAkulkw.jpg</v>
      </c>
      <c r="V50" s="84" t="str">
        <f>HYPERLINK("https://pbs.twimg.com/media/FOiWtSbWYAkulkw.jpg")</f>
        <v>https://pbs.twimg.com/media/FOiWtSbWYAkulkw.jpg</v>
      </c>
      <c r="W50" s="83">
        <v>44643.71505787037</v>
      </c>
      <c r="X50" s="88">
        <v>44643</v>
      </c>
      <c r="Y50" s="85" t="s">
        <v>647</v>
      </c>
      <c r="Z50" s="84" t="str">
        <f>HYPERLINK("https://twitter.com/gaiafinn/status/1506679589883502597")</f>
        <v>https://twitter.com/gaiafinn/status/1506679589883502597</v>
      </c>
      <c r="AA50" s="81"/>
      <c r="AB50" s="81"/>
      <c r="AC50" s="85" t="s">
        <v>916</v>
      </c>
      <c r="AD50" s="81"/>
      <c r="AE50" s="81" t="b">
        <v>0</v>
      </c>
      <c r="AF50" s="81">
        <v>0</v>
      </c>
      <c r="AG50" s="85" t="s">
        <v>1162</v>
      </c>
      <c r="AH50" s="81" t="b">
        <v>0</v>
      </c>
      <c r="AI50" s="81" t="s">
        <v>1179</v>
      </c>
      <c r="AJ50" s="81"/>
      <c r="AK50" s="85" t="s">
        <v>1162</v>
      </c>
      <c r="AL50" s="81" t="b">
        <v>0</v>
      </c>
      <c r="AM50" s="81">
        <v>68</v>
      </c>
      <c r="AN50" s="85" t="s">
        <v>1081</v>
      </c>
      <c r="AO50" s="85" t="s">
        <v>1188</v>
      </c>
      <c r="AP50" s="81" t="b">
        <v>0</v>
      </c>
      <c r="AQ50" s="85" t="s">
        <v>1081</v>
      </c>
      <c r="AR50" s="81" t="s">
        <v>187</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v>0</v>
      </c>
      <c r="BG50" s="50">
        <v>0</v>
      </c>
      <c r="BH50" s="49">
        <v>0</v>
      </c>
      <c r="BI50" s="50">
        <v>0</v>
      </c>
      <c r="BJ50" s="49">
        <v>0</v>
      </c>
      <c r="BK50" s="50">
        <v>0</v>
      </c>
      <c r="BL50" s="49">
        <v>6</v>
      </c>
      <c r="BM50" s="50">
        <v>100</v>
      </c>
      <c r="BN50" s="49">
        <v>6</v>
      </c>
    </row>
    <row r="51" spans="1:66" ht="15">
      <c r="A51" s="65" t="s">
        <v>268</v>
      </c>
      <c r="B51" s="65" t="s">
        <v>430</v>
      </c>
      <c r="C51" s="66" t="s">
        <v>4392</v>
      </c>
      <c r="D51" s="67">
        <v>1</v>
      </c>
      <c r="E51" s="68" t="s">
        <v>132</v>
      </c>
      <c r="F51" s="69">
        <v>32</v>
      </c>
      <c r="G51" s="66" t="s">
        <v>51</v>
      </c>
      <c r="H51" s="70"/>
      <c r="I51" s="71"/>
      <c r="J51" s="71"/>
      <c r="K51" s="35" t="s">
        <v>65</v>
      </c>
      <c r="L51" s="79">
        <v>51</v>
      </c>
      <c r="M51" s="79"/>
      <c r="N51" s="73"/>
      <c r="O51" s="81" t="s">
        <v>504</v>
      </c>
      <c r="P51" s="83">
        <v>44643.716145833336</v>
      </c>
      <c r="Q51" s="81" t="s">
        <v>512</v>
      </c>
      <c r="R51" s="81"/>
      <c r="S51" s="81"/>
      <c r="T51" s="81"/>
      <c r="U51" s="84" t="str">
        <f>HYPERLINK("https://pbs.twimg.com/media/FOiWtSbWYAkulkw.jpg")</f>
        <v>https://pbs.twimg.com/media/FOiWtSbWYAkulkw.jpg</v>
      </c>
      <c r="V51" s="84" t="str">
        <f>HYPERLINK("https://pbs.twimg.com/media/FOiWtSbWYAkulkw.jpg")</f>
        <v>https://pbs.twimg.com/media/FOiWtSbWYAkulkw.jpg</v>
      </c>
      <c r="W51" s="83">
        <v>44643.716145833336</v>
      </c>
      <c r="X51" s="88">
        <v>44643</v>
      </c>
      <c r="Y51" s="85" t="s">
        <v>648</v>
      </c>
      <c r="Z51" s="84" t="str">
        <f>HYPERLINK("https://twitter.com/mipelt/status/1506679982155866114")</f>
        <v>https://twitter.com/mipelt/status/1506679982155866114</v>
      </c>
      <c r="AA51" s="81"/>
      <c r="AB51" s="81"/>
      <c r="AC51" s="85" t="s">
        <v>917</v>
      </c>
      <c r="AD51" s="81"/>
      <c r="AE51" s="81" t="b">
        <v>0</v>
      </c>
      <c r="AF51" s="81">
        <v>0</v>
      </c>
      <c r="AG51" s="85" t="s">
        <v>1162</v>
      </c>
      <c r="AH51" s="81" t="b">
        <v>0</v>
      </c>
      <c r="AI51" s="81" t="s">
        <v>1179</v>
      </c>
      <c r="AJ51" s="81"/>
      <c r="AK51" s="85" t="s">
        <v>1162</v>
      </c>
      <c r="AL51" s="81" t="b">
        <v>0</v>
      </c>
      <c r="AM51" s="81">
        <v>68</v>
      </c>
      <c r="AN51" s="85" t="s">
        <v>1081</v>
      </c>
      <c r="AO51" s="85" t="s">
        <v>1189</v>
      </c>
      <c r="AP51" s="81" t="b">
        <v>0</v>
      </c>
      <c r="AQ51" s="85" t="s">
        <v>1081</v>
      </c>
      <c r="AR51" s="81" t="s">
        <v>187</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6</v>
      </c>
      <c r="BM51" s="50">
        <v>100</v>
      </c>
      <c r="BN51" s="49">
        <v>6</v>
      </c>
    </row>
    <row r="52" spans="1:66" ht="15">
      <c r="A52" s="65" t="s">
        <v>269</v>
      </c>
      <c r="B52" s="65" t="s">
        <v>269</v>
      </c>
      <c r="C52" s="66" t="s">
        <v>4392</v>
      </c>
      <c r="D52" s="67">
        <v>1</v>
      </c>
      <c r="E52" s="68" t="s">
        <v>132</v>
      </c>
      <c r="F52" s="69">
        <v>32</v>
      </c>
      <c r="G52" s="66" t="s">
        <v>51</v>
      </c>
      <c r="H52" s="70"/>
      <c r="I52" s="71"/>
      <c r="J52" s="71"/>
      <c r="K52" s="35" t="s">
        <v>65</v>
      </c>
      <c r="L52" s="79">
        <v>52</v>
      </c>
      <c r="M52" s="79"/>
      <c r="N52" s="73"/>
      <c r="O52" s="81" t="s">
        <v>187</v>
      </c>
      <c r="P52" s="83">
        <v>44643.720659722225</v>
      </c>
      <c r="Q52" s="81" t="s">
        <v>517</v>
      </c>
      <c r="R52" s="81"/>
      <c r="S52" s="81"/>
      <c r="T52" s="81"/>
      <c r="U52" s="81"/>
      <c r="V52" s="84" t="str">
        <f>HYPERLINK("https://pbs.twimg.com/profile_images/1164118853497978882/MFr6Fsa__normal.jpg")</f>
        <v>https://pbs.twimg.com/profile_images/1164118853497978882/MFr6Fsa__normal.jpg</v>
      </c>
      <c r="W52" s="83">
        <v>44643.720659722225</v>
      </c>
      <c r="X52" s="88">
        <v>44643</v>
      </c>
      <c r="Y52" s="85" t="s">
        <v>649</v>
      </c>
      <c r="Z52" s="84" t="str">
        <f>HYPERLINK("https://twitter.com/chouchocolat/status/1506681618135539716")</f>
        <v>https://twitter.com/chouchocolat/status/1506681618135539716</v>
      </c>
      <c r="AA52" s="81"/>
      <c r="AB52" s="81"/>
      <c r="AC52" s="85" t="s">
        <v>918</v>
      </c>
      <c r="AD52" s="81"/>
      <c r="AE52" s="81" t="b">
        <v>0</v>
      </c>
      <c r="AF52" s="81">
        <v>0</v>
      </c>
      <c r="AG52" s="85" t="s">
        <v>1162</v>
      </c>
      <c r="AH52" s="81" t="b">
        <v>0</v>
      </c>
      <c r="AI52" s="81" t="s">
        <v>1181</v>
      </c>
      <c r="AJ52" s="81"/>
      <c r="AK52" s="85" t="s">
        <v>1162</v>
      </c>
      <c r="AL52" s="81" t="b">
        <v>0</v>
      </c>
      <c r="AM52" s="81">
        <v>0</v>
      </c>
      <c r="AN52" s="85" t="s">
        <v>1162</v>
      </c>
      <c r="AO52" s="85" t="s">
        <v>1190</v>
      </c>
      <c r="AP52" s="81" t="b">
        <v>0</v>
      </c>
      <c r="AQ52" s="85" t="s">
        <v>918</v>
      </c>
      <c r="AR52" s="81" t="s">
        <v>187</v>
      </c>
      <c r="AS52" s="81">
        <v>0</v>
      </c>
      <c r="AT52" s="81">
        <v>0</v>
      </c>
      <c r="AU52" s="81"/>
      <c r="AV52" s="81"/>
      <c r="AW52" s="81"/>
      <c r="AX52" s="81"/>
      <c r="AY52" s="81"/>
      <c r="AZ52" s="81"/>
      <c r="BA52" s="81"/>
      <c r="BB52" s="81"/>
      <c r="BC52">
        <v>1</v>
      </c>
      <c r="BD52" s="80" t="str">
        <f>REPLACE(INDEX(GroupVertices[Group],MATCH(Edges[[#This Row],[Vertex 1]],GroupVertices[Vertex],0)),1,1,"")</f>
        <v>3</v>
      </c>
      <c r="BE52" s="80" t="str">
        <f>REPLACE(INDEX(GroupVertices[Group],MATCH(Edges[[#This Row],[Vertex 2]],GroupVertices[Vertex],0)),1,1,"")</f>
        <v>3</v>
      </c>
      <c r="BF52" s="49">
        <v>0</v>
      </c>
      <c r="BG52" s="50">
        <v>0</v>
      </c>
      <c r="BH52" s="49">
        <v>0</v>
      </c>
      <c r="BI52" s="50">
        <v>0</v>
      </c>
      <c r="BJ52" s="49">
        <v>0</v>
      </c>
      <c r="BK52" s="50">
        <v>0</v>
      </c>
      <c r="BL52" s="49">
        <v>7</v>
      </c>
      <c r="BM52" s="50">
        <v>100</v>
      </c>
      <c r="BN52" s="49">
        <v>7</v>
      </c>
    </row>
    <row r="53" spans="1:66" ht="15">
      <c r="A53" s="65" t="s">
        <v>270</v>
      </c>
      <c r="B53" s="65" t="s">
        <v>430</v>
      </c>
      <c r="C53" s="66" t="s">
        <v>4392</v>
      </c>
      <c r="D53" s="67">
        <v>1</v>
      </c>
      <c r="E53" s="68" t="s">
        <v>132</v>
      </c>
      <c r="F53" s="69">
        <v>32</v>
      </c>
      <c r="G53" s="66" t="s">
        <v>51</v>
      </c>
      <c r="H53" s="70"/>
      <c r="I53" s="71"/>
      <c r="J53" s="71"/>
      <c r="K53" s="35" t="s">
        <v>65</v>
      </c>
      <c r="L53" s="79">
        <v>53</v>
      </c>
      <c r="M53" s="79"/>
      <c r="N53" s="73"/>
      <c r="O53" s="81" t="s">
        <v>504</v>
      </c>
      <c r="P53" s="83">
        <v>44643.725324074076</v>
      </c>
      <c r="Q53" s="81" t="s">
        <v>512</v>
      </c>
      <c r="R53" s="81"/>
      <c r="S53" s="81"/>
      <c r="T53" s="81"/>
      <c r="U53" s="84" t="str">
        <f>HYPERLINK("https://pbs.twimg.com/media/FOiWtSbWYAkulkw.jpg")</f>
        <v>https://pbs.twimg.com/media/FOiWtSbWYAkulkw.jpg</v>
      </c>
      <c r="V53" s="84" t="str">
        <f>HYPERLINK("https://pbs.twimg.com/media/FOiWtSbWYAkulkw.jpg")</f>
        <v>https://pbs.twimg.com/media/FOiWtSbWYAkulkw.jpg</v>
      </c>
      <c r="W53" s="83">
        <v>44643.725324074076</v>
      </c>
      <c r="X53" s="88">
        <v>44643</v>
      </c>
      <c r="Y53" s="85" t="s">
        <v>650</v>
      </c>
      <c r="Z53" s="84" t="str">
        <f>HYPERLINK("https://twitter.com/samigabbouj/status/1506683307974660096")</f>
        <v>https://twitter.com/samigabbouj/status/1506683307974660096</v>
      </c>
      <c r="AA53" s="81"/>
      <c r="AB53" s="81"/>
      <c r="AC53" s="85" t="s">
        <v>919</v>
      </c>
      <c r="AD53" s="81"/>
      <c r="AE53" s="81" t="b">
        <v>0</v>
      </c>
      <c r="AF53" s="81">
        <v>0</v>
      </c>
      <c r="AG53" s="85" t="s">
        <v>1162</v>
      </c>
      <c r="AH53" s="81" t="b">
        <v>0</v>
      </c>
      <c r="AI53" s="81" t="s">
        <v>1179</v>
      </c>
      <c r="AJ53" s="81"/>
      <c r="AK53" s="85" t="s">
        <v>1162</v>
      </c>
      <c r="AL53" s="81" t="b">
        <v>0</v>
      </c>
      <c r="AM53" s="81">
        <v>68</v>
      </c>
      <c r="AN53" s="85" t="s">
        <v>1081</v>
      </c>
      <c r="AO53" s="85" t="s">
        <v>1189</v>
      </c>
      <c r="AP53" s="81" t="b">
        <v>0</v>
      </c>
      <c r="AQ53" s="85" t="s">
        <v>1081</v>
      </c>
      <c r="AR53" s="81" t="s">
        <v>187</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v>0</v>
      </c>
      <c r="BG53" s="50">
        <v>0</v>
      </c>
      <c r="BH53" s="49">
        <v>0</v>
      </c>
      <c r="BI53" s="50">
        <v>0</v>
      </c>
      <c r="BJ53" s="49">
        <v>0</v>
      </c>
      <c r="BK53" s="50">
        <v>0</v>
      </c>
      <c r="BL53" s="49">
        <v>6</v>
      </c>
      <c r="BM53" s="50">
        <v>100</v>
      </c>
      <c r="BN53" s="49">
        <v>6</v>
      </c>
    </row>
    <row r="54" spans="1:66" ht="15">
      <c r="A54" s="65" t="s">
        <v>271</v>
      </c>
      <c r="B54" s="65" t="s">
        <v>271</v>
      </c>
      <c r="C54" s="66" t="s">
        <v>4392</v>
      </c>
      <c r="D54" s="67">
        <v>1</v>
      </c>
      <c r="E54" s="68" t="s">
        <v>132</v>
      </c>
      <c r="F54" s="69">
        <v>32</v>
      </c>
      <c r="G54" s="66" t="s">
        <v>51</v>
      </c>
      <c r="H54" s="70"/>
      <c r="I54" s="71"/>
      <c r="J54" s="71"/>
      <c r="K54" s="35" t="s">
        <v>65</v>
      </c>
      <c r="L54" s="79">
        <v>54</v>
      </c>
      <c r="M54" s="79"/>
      <c r="N54" s="73"/>
      <c r="O54" s="81" t="s">
        <v>187</v>
      </c>
      <c r="P54" s="83">
        <v>44643.73024305556</v>
      </c>
      <c r="Q54" s="81" t="s">
        <v>518</v>
      </c>
      <c r="R54" s="84" t="str">
        <f>HYPERLINK("https://twitter.com/aleksipahkala/status/1506619784791826438")</f>
        <v>https://twitter.com/aleksipahkala/status/1506619784791826438</v>
      </c>
      <c r="S54" s="81" t="s">
        <v>580</v>
      </c>
      <c r="T54" s="85" t="s">
        <v>590</v>
      </c>
      <c r="U54" s="81"/>
      <c r="V54" s="84" t="str">
        <f>HYPERLINK("https://pbs.twimg.com/profile_images/1376776793273798660/-glEE62f_normal.jpg")</f>
        <v>https://pbs.twimg.com/profile_images/1376776793273798660/-glEE62f_normal.jpg</v>
      </c>
      <c r="W54" s="83">
        <v>44643.73024305556</v>
      </c>
      <c r="X54" s="88">
        <v>44643</v>
      </c>
      <c r="Y54" s="85" t="s">
        <v>651</v>
      </c>
      <c r="Z54" s="84" t="str">
        <f>HYPERLINK("https://twitter.com/junttipekka/status/1506685094177787916")</f>
        <v>https://twitter.com/junttipekka/status/1506685094177787916</v>
      </c>
      <c r="AA54" s="81"/>
      <c r="AB54" s="81"/>
      <c r="AC54" s="85" t="s">
        <v>920</v>
      </c>
      <c r="AD54" s="81"/>
      <c r="AE54" s="81" t="b">
        <v>0</v>
      </c>
      <c r="AF54" s="81">
        <v>0</v>
      </c>
      <c r="AG54" s="85" t="s">
        <v>1162</v>
      </c>
      <c r="AH54" s="81" t="b">
        <v>1</v>
      </c>
      <c r="AI54" s="81" t="s">
        <v>1179</v>
      </c>
      <c r="AJ54" s="81"/>
      <c r="AK54" s="85" t="s">
        <v>1081</v>
      </c>
      <c r="AL54" s="81" t="b">
        <v>0</v>
      </c>
      <c r="AM54" s="81">
        <v>0</v>
      </c>
      <c r="AN54" s="85" t="s">
        <v>1162</v>
      </c>
      <c r="AO54" s="85" t="s">
        <v>1189</v>
      </c>
      <c r="AP54" s="81" t="b">
        <v>0</v>
      </c>
      <c r="AQ54" s="85" t="s">
        <v>920</v>
      </c>
      <c r="AR54" s="81" t="s">
        <v>187</v>
      </c>
      <c r="AS54" s="81">
        <v>0</v>
      </c>
      <c r="AT54" s="81">
        <v>0</v>
      </c>
      <c r="AU54" s="81"/>
      <c r="AV54" s="81"/>
      <c r="AW54" s="81"/>
      <c r="AX54" s="81"/>
      <c r="AY54" s="81"/>
      <c r="AZ54" s="81"/>
      <c r="BA54" s="81"/>
      <c r="BB54" s="81"/>
      <c r="BC54">
        <v>1</v>
      </c>
      <c r="BD54" s="80" t="str">
        <f>REPLACE(INDEX(GroupVertices[Group],MATCH(Edges[[#This Row],[Vertex 1]],GroupVertices[Vertex],0)),1,1,"")</f>
        <v>3</v>
      </c>
      <c r="BE54" s="80" t="str">
        <f>REPLACE(INDEX(GroupVertices[Group],MATCH(Edges[[#This Row],[Vertex 2]],GroupVertices[Vertex],0)),1,1,"")</f>
        <v>3</v>
      </c>
      <c r="BF54" s="49">
        <v>0</v>
      </c>
      <c r="BG54" s="50">
        <v>0</v>
      </c>
      <c r="BH54" s="49">
        <v>0</v>
      </c>
      <c r="BI54" s="50">
        <v>0</v>
      </c>
      <c r="BJ54" s="49">
        <v>0</v>
      </c>
      <c r="BK54" s="50">
        <v>0</v>
      </c>
      <c r="BL54" s="49">
        <v>30</v>
      </c>
      <c r="BM54" s="50">
        <v>100</v>
      </c>
      <c r="BN54" s="49">
        <v>30</v>
      </c>
    </row>
    <row r="55" spans="1:66" ht="15">
      <c r="A55" s="65" t="s">
        <v>272</v>
      </c>
      <c r="B55" s="65" t="s">
        <v>430</v>
      </c>
      <c r="C55" s="66" t="s">
        <v>4392</v>
      </c>
      <c r="D55" s="67">
        <v>1</v>
      </c>
      <c r="E55" s="68" t="s">
        <v>132</v>
      </c>
      <c r="F55" s="69">
        <v>32</v>
      </c>
      <c r="G55" s="66" t="s">
        <v>51</v>
      </c>
      <c r="H55" s="70"/>
      <c r="I55" s="71"/>
      <c r="J55" s="71"/>
      <c r="K55" s="35" t="s">
        <v>65</v>
      </c>
      <c r="L55" s="79">
        <v>55</v>
      </c>
      <c r="M55" s="79"/>
      <c r="N55" s="73"/>
      <c r="O55" s="81" t="s">
        <v>504</v>
      </c>
      <c r="P55" s="83">
        <v>44643.73210648148</v>
      </c>
      <c r="Q55" s="81" t="s">
        <v>512</v>
      </c>
      <c r="R55" s="81"/>
      <c r="S55" s="81"/>
      <c r="T55" s="81"/>
      <c r="U55" s="84" t="str">
        <f>HYPERLINK("https://pbs.twimg.com/media/FOiWtSbWYAkulkw.jpg")</f>
        <v>https://pbs.twimg.com/media/FOiWtSbWYAkulkw.jpg</v>
      </c>
      <c r="V55" s="84" t="str">
        <f>HYPERLINK("https://pbs.twimg.com/media/FOiWtSbWYAkulkw.jpg")</f>
        <v>https://pbs.twimg.com/media/FOiWtSbWYAkulkw.jpg</v>
      </c>
      <c r="W55" s="83">
        <v>44643.73210648148</v>
      </c>
      <c r="X55" s="88">
        <v>44643</v>
      </c>
      <c r="Y55" s="85" t="s">
        <v>652</v>
      </c>
      <c r="Z55" s="84" t="str">
        <f>HYPERLINK("https://twitter.com/lottabacklund/status/1506685767124455434")</f>
        <v>https://twitter.com/lottabacklund/status/1506685767124455434</v>
      </c>
      <c r="AA55" s="81"/>
      <c r="AB55" s="81"/>
      <c r="AC55" s="85" t="s">
        <v>921</v>
      </c>
      <c r="AD55" s="81"/>
      <c r="AE55" s="81" t="b">
        <v>0</v>
      </c>
      <c r="AF55" s="81">
        <v>0</v>
      </c>
      <c r="AG55" s="85" t="s">
        <v>1162</v>
      </c>
      <c r="AH55" s="81" t="b">
        <v>0</v>
      </c>
      <c r="AI55" s="81" t="s">
        <v>1179</v>
      </c>
      <c r="AJ55" s="81"/>
      <c r="AK55" s="85" t="s">
        <v>1162</v>
      </c>
      <c r="AL55" s="81" t="b">
        <v>0</v>
      </c>
      <c r="AM55" s="81">
        <v>68</v>
      </c>
      <c r="AN55" s="85" t="s">
        <v>1081</v>
      </c>
      <c r="AO55" s="85" t="s">
        <v>1190</v>
      </c>
      <c r="AP55" s="81" t="b">
        <v>0</v>
      </c>
      <c r="AQ55" s="85" t="s">
        <v>1081</v>
      </c>
      <c r="AR55" s="81" t="s">
        <v>187</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6</v>
      </c>
      <c r="BM55" s="50">
        <v>100</v>
      </c>
      <c r="BN55" s="49">
        <v>6</v>
      </c>
    </row>
    <row r="56" spans="1:66" ht="15">
      <c r="A56" s="65" t="s">
        <v>273</v>
      </c>
      <c r="B56" s="65" t="s">
        <v>430</v>
      </c>
      <c r="C56" s="66" t="s">
        <v>4392</v>
      </c>
      <c r="D56" s="67">
        <v>1</v>
      </c>
      <c r="E56" s="68" t="s">
        <v>132</v>
      </c>
      <c r="F56" s="69">
        <v>32</v>
      </c>
      <c r="G56" s="66" t="s">
        <v>51</v>
      </c>
      <c r="H56" s="70"/>
      <c r="I56" s="71"/>
      <c r="J56" s="71"/>
      <c r="K56" s="35" t="s">
        <v>65</v>
      </c>
      <c r="L56" s="79">
        <v>56</v>
      </c>
      <c r="M56" s="79"/>
      <c r="N56" s="73"/>
      <c r="O56" s="81" t="s">
        <v>504</v>
      </c>
      <c r="P56" s="83">
        <v>44643.74037037037</v>
      </c>
      <c r="Q56" s="81" t="s">
        <v>512</v>
      </c>
      <c r="R56" s="81"/>
      <c r="S56" s="81"/>
      <c r="T56" s="81"/>
      <c r="U56" s="84" t="str">
        <f>HYPERLINK("https://pbs.twimg.com/media/FOiWtSbWYAkulkw.jpg")</f>
        <v>https://pbs.twimg.com/media/FOiWtSbWYAkulkw.jpg</v>
      </c>
      <c r="V56" s="84" t="str">
        <f>HYPERLINK("https://pbs.twimg.com/media/FOiWtSbWYAkulkw.jpg")</f>
        <v>https://pbs.twimg.com/media/FOiWtSbWYAkulkw.jpg</v>
      </c>
      <c r="W56" s="83">
        <v>44643.74037037037</v>
      </c>
      <c r="X56" s="88">
        <v>44643</v>
      </c>
      <c r="Y56" s="85" t="s">
        <v>653</v>
      </c>
      <c r="Z56" s="84" t="str">
        <f>HYPERLINK("https://twitter.com/niinamuyau/status/1506688760821469191")</f>
        <v>https://twitter.com/niinamuyau/status/1506688760821469191</v>
      </c>
      <c r="AA56" s="81"/>
      <c r="AB56" s="81"/>
      <c r="AC56" s="85" t="s">
        <v>922</v>
      </c>
      <c r="AD56" s="81"/>
      <c r="AE56" s="81" t="b">
        <v>0</v>
      </c>
      <c r="AF56" s="81">
        <v>0</v>
      </c>
      <c r="AG56" s="85" t="s">
        <v>1162</v>
      </c>
      <c r="AH56" s="81" t="b">
        <v>0</v>
      </c>
      <c r="AI56" s="81" t="s">
        <v>1179</v>
      </c>
      <c r="AJ56" s="81"/>
      <c r="AK56" s="85" t="s">
        <v>1162</v>
      </c>
      <c r="AL56" s="81" t="b">
        <v>0</v>
      </c>
      <c r="AM56" s="81">
        <v>68</v>
      </c>
      <c r="AN56" s="85" t="s">
        <v>1081</v>
      </c>
      <c r="AO56" s="85" t="s">
        <v>1190</v>
      </c>
      <c r="AP56" s="81" t="b">
        <v>0</v>
      </c>
      <c r="AQ56" s="85" t="s">
        <v>1081</v>
      </c>
      <c r="AR56" s="81" t="s">
        <v>187</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v>0</v>
      </c>
      <c r="BG56" s="50">
        <v>0</v>
      </c>
      <c r="BH56" s="49">
        <v>0</v>
      </c>
      <c r="BI56" s="50">
        <v>0</v>
      </c>
      <c r="BJ56" s="49">
        <v>0</v>
      </c>
      <c r="BK56" s="50">
        <v>0</v>
      </c>
      <c r="BL56" s="49">
        <v>6</v>
      </c>
      <c r="BM56" s="50">
        <v>100</v>
      </c>
      <c r="BN56" s="49">
        <v>6</v>
      </c>
    </row>
    <row r="57" spans="1:66" ht="15">
      <c r="A57" s="65" t="s">
        <v>274</v>
      </c>
      <c r="B57" s="65" t="s">
        <v>430</v>
      </c>
      <c r="C57" s="66" t="s">
        <v>4392</v>
      </c>
      <c r="D57" s="67">
        <v>1</v>
      </c>
      <c r="E57" s="68" t="s">
        <v>132</v>
      </c>
      <c r="F57" s="69">
        <v>32</v>
      </c>
      <c r="G57" s="66" t="s">
        <v>51</v>
      </c>
      <c r="H57" s="70"/>
      <c r="I57" s="71"/>
      <c r="J57" s="71"/>
      <c r="K57" s="35" t="s">
        <v>65</v>
      </c>
      <c r="L57" s="79">
        <v>57</v>
      </c>
      <c r="M57" s="79"/>
      <c r="N57" s="73"/>
      <c r="O57" s="81" t="s">
        <v>504</v>
      </c>
      <c r="P57" s="83">
        <v>44643.74072916667</v>
      </c>
      <c r="Q57" s="81" t="s">
        <v>512</v>
      </c>
      <c r="R57" s="81"/>
      <c r="S57" s="81"/>
      <c r="T57" s="81"/>
      <c r="U57" s="84" t="str">
        <f>HYPERLINK("https://pbs.twimg.com/media/FOiWtSbWYAkulkw.jpg")</f>
        <v>https://pbs.twimg.com/media/FOiWtSbWYAkulkw.jpg</v>
      </c>
      <c r="V57" s="84" t="str">
        <f>HYPERLINK("https://pbs.twimg.com/media/FOiWtSbWYAkulkw.jpg")</f>
        <v>https://pbs.twimg.com/media/FOiWtSbWYAkulkw.jpg</v>
      </c>
      <c r="W57" s="83">
        <v>44643.74072916667</v>
      </c>
      <c r="X57" s="88">
        <v>44643</v>
      </c>
      <c r="Y57" s="85" t="s">
        <v>654</v>
      </c>
      <c r="Z57" s="84" t="str">
        <f>HYPERLINK("https://twitter.com/janiturku/status/1506688892698869762")</f>
        <v>https://twitter.com/janiturku/status/1506688892698869762</v>
      </c>
      <c r="AA57" s="81"/>
      <c r="AB57" s="81"/>
      <c r="AC57" s="85" t="s">
        <v>923</v>
      </c>
      <c r="AD57" s="81"/>
      <c r="AE57" s="81" t="b">
        <v>0</v>
      </c>
      <c r="AF57" s="81">
        <v>0</v>
      </c>
      <c r="AG57" s="85" t="s">
        <v>1162</v>
      </c>
      <c r="AH57" s="81" t="b">
        <v>0</v>
      </c>
      <c r="AI57" s="81" t="s">
        <v>1179</v>
      </c>
      <c r="AJ57" s="81"/>
      <c r="AK57" s="85" t="s">
        <v>1162</v>
      </c>
      <c r="AL57" s="81" t="b">
        <v>0</v>
      </c>
      <c r="AM57" s="81">
        <v>68</v>
      </c>
      <c r="AN57" s="85" t="s">
        <v>1081</v>
      </c>
      <c r="AO57" s="85" t="s">
        <v>1188</v>
      </c>
      <c r="AP57" s="81" t="b">
        <v>0</v>
      </c>
      <c r="AQ57" s="85" t="s">
        <v>1081</v>
      </c>
      <c r="AR57" s="81" t="s">
        <v>187</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v>0</v>
      </c>
      <c r="BG57" s="50">
        <v>0</v>
      </c>
      <c r="BH57" s="49">
        <v>0</v>
      </c>
      <c r="BI57" s="50">
        <v>0</v>
      </c>
      <c r="BJ57" s="49">
        <v>0</v>
      </c>
      <c r="BK57" s="50">
        <v>0</v>
      </c>
      <c r="BL57" s="49">
        <v>6</v>
      </c>
      <c r="BM57" s="50">
        <v>100</v>
      </c>
      <c r="BN57" s="49">
        <v>6</v>
      </c>
    </row>
    <row r="58" spans="1:66" ht="15">
      <c r="A58" s="65" t="s">
        <v>275</v>
      </c>
      <c r="B58" s="65" t="s">
        <v>430</v>
      </c>
      <c r="C58" s="66" t="s">
        <v>4392</v>
      </c>
      <c r="D58" s="67">
        <v>1</v>
      </c>
      <c r="E58" s="68" t="s">
        <v>132</v>
      </c>
      <c r="F58" s="69">
        <v>32</v>
      </c>
      <c r="G58" s="66" t="s">
        <v>51</v>
      </c>
      <c r="H58" s="70"/>
      <c r="I58" s="71"/>
      <c r="J58" s="71"/>
      <c r="K58" s="35" t="s">
        <v>65</v>
      </c>
      <c r="L58" s="79">
        <v>58</v>
      </c>
      <c r="M58" s="79"/>
      <c r="N58" s="73"/>
      <c r="O58" s="81" t="s">
        <v>504</v>
      </c>
      <c r="P58" s="83">
        <v>44643.74827546296</v>
      </c>
      <c r="Q58" s="81" t="s">
        <v>512</v>
      </c>
      <c r="R58" s="81"/>
      <c r="S58" s="81"/>
      <c r="T58" s="81"/>
      <c r="U58" s="84" t="str">
        <f>HYPERLINK("https://pbs.twimg.com/media/FOiWtSbWYAkulkw.jpg")</f>
        <v>https://pbs.twimg.com/media/FOiWtSbWYAkulkw.jpg</v>
      </c>
      <c r="V58" s="84" t="str">
        <f>HYPERLINK("https://pbs.twimg.com/media/FOiWtSbWYAkulkw.jpg")</f>
        <v>https://pbs.twimg.com/media/FOiWtSbWYAkulkw.jpg</v>
      </c>
      <c r="W58" s="83">
        <v>44643.74827546296</v>
      </c>
      <c r="X58" s="88">
        <v>44643</v>
      </c>
      <c r="Y58" s="85" t="s">
        <v>655</v>
      </c>
      <c r="Z58" s="84" t="str">
        <f>HYPERLINK("https://twitter.com/arnkil/status/1506691628240674820")</f>
        <v>https://twitter.com/arnkil/status/1506691628240674820</v>
      </c>
      <c r="AA58" s="81"/>
      <c r="AB58" s="81"/>
      <c r="AC58" s="85" t="s">
        <v>924</v>
      </c>
      <c r="AD58" s="81"/>
      <c r="AE58" s="81" t="b">
        <v>0</v>
      </c>
      <c r="AF58" s="81">
        <v>0</v>
      </c>
      <c r="AG58" s="85" t="s">
        <v>1162</v>
      </c>
      <c r="AH58" s="81" t="b">
        <v>0</v>
      </c>
      <c r="AI58" s="81" t="s">
        <v>1179</v>
      </c>
      <c r="AJ58" s="81"/>
      <c r="AK58" s="85" t="s">
        <v>1162</v>
      </c>
      <c r="AL58" s="81" t="b">
        <v>0</v>
      </c>
      <c r="AM58" s="81">
        <v>68</v>
      </c>
      <c r="AN58" s="85" t="s">
        <v>1081</v>
      </c>
      <c r="AO58" s="85" t="s">
        <v>1190</v>
      </c>
      <c r="AP58" s="81" t="b">
        <v>0</v>
      </c>
      <c r="AQ58" s="85" t="s">
        <v>1081</v>
      </c>
      <c r="AR58" s="81" t="s">
        <v>187</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v>0</v>
      </c>
      <c r="BG58" s="50">
        <v>0</v>
      </c>
      <c r="BH58" s="49">
        <v>0</v>
      </c>
      <c r="BI58" s="50">
        <v>0</v>
      </c>
      <c r="BJ58" s="49">
        <v>0</v>
      </c>
      <c r="BK58" s="50">
        <v>0</v>
      </c>
      <c r="BL58" s="49">
        <v>6</v>
      </c>
      <c r="BM58" s="50">
        <v>100</v>
      </c>
      <c r="BN58" s="49">
        <v>6</v>
      </c>
    </row>
    <row r="59" spans="1:66" ht="15">
      <c r="A59" s="65" t="s">
        <v>276</v>
      </c>
      <c r="B59" s="65" t="s">
        <v>276</v>
      </c>
      <c r="C59" s="66" t="s">
        <v>4392</v>
      </c>
      <c r="D59" s="67">
        <v>1</v>
      </c>
      <c r="E59" s="68" t="s">
        <v>132</v>
      </c>
      <c r="F59" s="69">
        <v>32</v>
      </c>
      <c r="G59" s="66" t="s">
        <v>51</v>
      </c>
      <c r="H59" s="70"/>
      <c r="I59" s="71"/>
      <c r="J59" s="71"/>
      <c r="K59" s="35" t="s">
        <v>65</v>
      </c>
      <c r="L59" s="79">
        <v>59</v>
      </c>
      <c r="M59" s="79"/>
      <c r="N59" s="73"/>
      <c r="O59" s="81" t="s">
        <v>187</v>
      </c>
      <c r="P59" s="83">
        <v>44643.75241898148</v>
      </c>
      <c r="Q59" s="81" t="s">
        <v>519</v>
      </c>
      <c r="R59" s="81"/>
      <c r="S59" s="81"/>
      <c r="T59" s="81"/>
      <c r="U59" s="81"/>
      <c r="V59" s="84" t="str">
        <f>HYPERLINK("https://pbs.twimg.com/profile_images/1275145567178457090/fpyfPpLl_normal.jpg")</f>
        <v>https://pbs.twimg.com/profile_images/1275145567178457090/fpyfPpLl_normal.jpg</v>
      </c>
      <c r="W59" s="83">
        <v>44643.75241898148</v>
      </c>
      <c r="X59" s="88">
        <v>44643</v>
      </c>
      <c r="Y59" s="85" t="s">
        <v>656</v>
      </c>
      <c r="Z59" s="84" t="str">
        <f>HYPERLINK("https://twitter.com/mikkohongisto/status/1506693129889619972")</f>
        <v>https://twitter.com/mikkohongisto/status/1506693129889619972</v>
      </c>
      <c r="AA59" s="81"/>
      <c r="AB59" s="81"/>
      <c r="AC59" s="85" t="s">
        <v>925</v>
      </c>
      <c r="AD59" s="81"/>
      <c r="AE59" s="81" t="b">
        <v>0</v>
      </c>
      <c r="AF59" s="81">
        <v>0</v>
      </c>
      <c r="AG59" s="85" t="s">
        <v>1162</v>
      </c>
      <c r="AH59" s="81" t="b">
        <v>0</v>
      </c>
      <c r="AI59" s="81" t="s">
        <v>1182</v>
      </c>
      <c r="AJ59" s="81"/>
      <c r="AK59" s="85" t="s">
        <v>1162</v>
      </c>
      <c r="AL59" s="81" t="b">
        <v>0</v>
      </c>
      <c r="AM59" s="81">
        <v>0</v>
      </c>
      <c r="AN59" s="85" t="s">
        <v>1162</v>
      </c>
      <c r="AO59" s="85" t="s">
        <v>1191</v>
      </c>
      <c r="AP59" s="81" t="b">
        <v>0</v>
      </c>
      <c r="AQ59" s="85" t="s">
        <v>925</v>
      </c>
      <c r="AR59" s="81" t="s">
        <v>187</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3</v>
      </c>
      <c r="BF59" s="49">
        <v>0</v>
      </c>
      <c r="BG59" s="50">
        <v>0</v>
      </c>
      <c r="BH59" s="49">
        <v>0</v>
      </c>
      <c r="BI59" s="50">
        <v>0</v>
      </c>
      <c r="BJ59" s="49">
        <v>0</v>
      </c>
      <c r="BK59" s="50">
        <v>0</v>
      </c>
      <c r="BL59" s="49">
        <v>5</v>
      </c>
      <c r="BM59" s="50">
        <v>100</v>
      </c>
      <c r="BN59" s="49">
        <v>5</v>
      </c>
    </row>
    <row r="60" spans="1:66" ht="15">
      <c r="A60" s="65" t="s">
        <v>277</v>
      </c>
      <c r="B60" s="65" t="s">
        <v>430</v>
      </c>
      <c r="C60" s="66" t="s">
        <v>4392</v>
      </c>
      <c r="D60" s="67">
        <v>1</v>
      </c>
      <c r="E60" s="68" t="s">
        <v>132</v>
      </c>
      <c r="F60" s="69">
        <v>32</v>
      </c>
      <c r="G60" s="66" t="s">
        <v>51</v>
      </c>
      <c r="H60" s="70"/>
      <c r="I60" s="71"/>
      <c r="J60" s="71"/>
      <c r="K60" s="35" t="s">
        <v>65</v>
      </c>
      <c r="L60" s="79">
        <v>60</v>
      </c>
      <c r="M60" s="79"/>
      <c r="N60" s="73"/>
      <c r="O60" s="81" t="s">
        <v>504</v>
      </c>
      <c r="P60" s="83">
        <v>44643.765648148146</v>
      </c>
      <c r="Q60" s="81" t="s">
        <v>512</v>
      </c>
      <c r="R60" s="81"/>
      <c r="S60" s="81"/>
      <c r="T60" s="81"/>
      <c r="U60" s="84" t="str">
        <f>HYPERLINK("https://pbs.twimg.com/media/FOiWtSbWYAkulkw.jpg")</f>
        <v>https://pbs.twimg.com/media/FOiWtSbWYAkulkw.jpg</v>
      </c>
      <c r="V60" s="84" t="str">
        <f>HYPERLINK("https://pbs.twimg.com/media/FOiWtSbWYAkulkw.jpg")</f>
        <v>https://pbs.twimg.com/media/FOiWtSbWYAkulkw.jpg</v>
      </c>
      <c r="W60" s="83">
        <v>44643.765648148146</v>
      </c>
      <c r="X60" s="88">
        <v>44643</v>
      </c>
      <c r="Y60" s="85" t="s">
        <v>657</v>
      </c>
      <c r="Z60" s="84" t="str">
        <f>HYPERLINK("https://twitter.com/castrenr/status/1506697920778805252")</f>
        <v>https://twitter.com/castrenr/status/1506697920778805252</v>
      </c>
      <c r="AA60" s="81"/>
      <c r="AB60" s="81"/>
      <c r="AC60" s="85" t="s">
        <v>926</v>
      </c>
      <c r="AD60" s="81"/>
      <c r="AE60" s="81" t="b">
        <v>0</v>
      </c>
      <c r="AF60" s="81">
        <v>0</v>
      </c>
      <c r="AG60" s="85" t="s">
        <v>1162</v>
      </c>
      <c r="AH60" s="81" t="b">
        <v>0</v>
      </c>
      <c r="AI60" s="81" t="s">
        <v>1179</v>
      </c>
      <c r="AJ60" s="81"/>
      <c r="AK60" s="85" t="s">
        <v>1162</v>
      </c>
      <c r="AL60" s="81" t="b">
        <v>0</v>
      </c>
      <c r="AM60" s="81">
        <v>68</v>
      </c>
      <c r="AN60" s="85" t="s">
        <v>1081</v>
      </c>
      <c r="AO60" s="85" t="s">
        <v>1189</v>
      </c>
      <c r="AP60" s="81" t="b">
        <v>0</v>
      </c>
      <c r="AQ60" s="85" t="s">
        <v>1081</v>
      </c>
      <c r="AR60" s="81" t="s">
        <v>187</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v>0</v>
      </c>
      <c r="BG60" s="50">
        <v>0</v>
      </c>
      <c r="BH60" s="49">
        <v>0</v>
      </c>
      <c r="BI60" s="50">
        <v>0</v>
      </c>
      <c r="BJ60" s="49">
        <v>0</v>
      </c>
      <c r="BK60" s="50">
        <v>0</v>
      </c>
      <c r="BL60" s="49">
        <v>6</v>
      </c>
      <c r="BM60" s="50">
        <v>100</v>
      </c>
      <c r="BN60" s="49">
        <v>6</v>
      </c>
    </row>
    <row r="61" spans="1:66" ht="15">
      <c r="A61" s="65" t="s">
        <v>278</v>
      </c>
      <c r="B61" s="65" t="s">
        <v>430</v>
      </c>
      <c r="C61" s="66" t="s">
        <v>4392</v>
      </c>
      <c r="D61" s="67">
        <v>1</v>
      </c>
      <c r="E61" s="68" t="s">
        <v>132</v>
      </c>
      <c r="F61" s="69">
        <v>32</v>
      </c>
      <c r="G61" s="66" t="s">
        <v>51</v>
      </c>
      <c r="H61" s="70"/>
      <c r="I61" s="71"/>
      <c r="J61" s="71"/>
      <c r="K61" s="35" t="s">
        <v>65</v>
      </c>
      <c r="L61" s="79">
        <v>61</v>
      </c>
      <c r="M61" s="79"/>
      <c r="N61" s="73"/>
      <c r="O61" s="81" t="s">
        <v>504</v>
      </c>
      <c r="P61" s="83">
        <v>44643.77028935185</v>
      </c>
      <c r="Q61" s="81" t="s">
        <v>512</v>
      </c>
      <c r="R61" s="81"/>
      <c r="S61" s="81"/>
      <c r="T61" s="81"/>
      <c r="U61" s="84" t="str">
        <f>HYPERLINK("https://pbs.twimg.com/media/FOiWtSbWYAkulkw.jpg")</f>
        <v>https://pbs.twimg.com/media/FOiWtSbWYAkulkw.jpg</v>
      </c>
      <c r="V61" s="84" t="str">
        <f>HYPERLINK("https://pbs.twimg.com/media/FOiWtSbWYAkulkw.jpg")</f>
        <v>https://pbs.twimg.com/media/FOiWtSbWYAkulkw.jpg</v>
      </c>
      <c r="W61" s="83">
        <v>44643.77028935185</v>
      </c>
      <c r="X61" s="88">
        <v>44643</v>
      </c>
      <c r="Y61" s="85" t="s">
        <v>658</v>
      </c>
      <c r="Z61" s="84" t="str">
        <f>HYPERLINK("https://twitter.com/jjjpellinen/status/1506699605626568709")</f>
        <v>https://twitter.com/jjjpellinen/status/1506699605626568709</v>
      </c>
      <c r="AA61" s="81"/>
      <c r="AB61" s="81"/>
      <c r="AC61" s="85" t="s">
        <v>927</v>
      </c>
      <c r="AD61" s="81"/>
      <c r="AE61" s="81" t="b">
        <v>0</v>
      </c>
      <c r="AF61" s="81">
        <v>0</v>
      </c>
      <c r="AG61" s="85" t="s">
        <v>1162</v>
      </c>
      <c r="AH61" s="81" t="b">
        <v>0</v>
      </c>
      <c r="AI61" s="81" t="s">
        <v>1179</v>
      </c>
      <c r="AJ61" s="81"/>
      <c r="AK61" s="85" t="s">
        <v>1162</v>
      </c>
      <c r="AL61" s="81" t="b">
        <v>0</v>
      </c>
      <c r="AM61" s="81">
        <v>68</v>
      </c>
      <c r="AN61" s="85" t="s">
        <v>1081</v>
      </c>
      <c r="AO61" s="85" t="s">
        <v>1190</v>
      </c>
      <c r="AP61" s="81" t="b">
        <v>0</v>
      </c>
      <c r="AQ61" s="85" t="s">
        <v>1081</v>
      </c>
      <c r="AR61" s="81" t="s">
        <v>187</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v>0</v>
      </c>
      <c r="BG61" s="50">
        <v>0</v>
      </c>
      <c r="BH61" s="49">
        <v>0</v>
      </c>
      <c r="BI61" s="50">
        <v>0</v>
      </c>
      <c r="BJ61" s="49">
        <v>0</v>
      </c>
      <c r="BK61" s="50">
        <v>0</v>
      </c>
      <c r="BL61" s="49">
        <v>6</v>
      </c>
      <c r="BM61" s="50">
        <v>100</v>
      </c>
      <c r="BN61" s="49">
        <v>6</v>
      </c>
    </row>
    <row r="62" spans="1:66" ht="15">
      <c r="A62" s="65" t="s">
        <v>279</v>
      </c>
      <c r="B62" s="65" t="s">
        <v>430</v>
      </c>
      <c r="C62" s="66" t="s">
        <v>4392</v>
      </c>
      <c r="D62" s="67">
        <v>1</v>
      </c>
      <c r="E62" s="68" t="s">
        <v>132</v>
      </c>
      <c r="F62" s="69">
        <v>32</v>
      </c>
      <c r="G62" s="66" t="s">
        <v>51</v>
      </c>
      <c r="H62" s="70"/>
      <c r="I62" s="71"/>
      <c r="J62" s="71"/>
      <c r="K62" s="35" t="s">
        <v>65</v>
      </c>
      <c r="L62" s="79">
        <v>62</v>
      </c>
      <c r="M62" s="79"/>
      <c r="N62" s="73"/>
      <c r="O62" s="81" t="s">
        <v>504</v>
      </c>
      <c r="P62" s="83">
        <v>44643.774722222224</v>
      </c>
      <c r="Q62" s="81" t="s">
        <v>512</v>
      </c>
      <c r="R62" s="81"/>
      <c r="S62" s="81"/>
      <c r="T62" s="81"/>
      <c r="U62" s="84" t="str">
        <f>HYPERLINK("https://pbs.twimg.com/media/FOiWtSbWYAkulkw.jpg")</f>
        <v>https://pbs.twimg.com/media/FOiWtSbWYAkulkw.jpg</v>
      </c>
      <c r="V62" s="84" t="str">
        <f>HYPERLINK("https://pbs.twimg.com/media/FOiWtSbWYAkulkw.jpg")</f>
        <v>https://pbs.twimg.com/media/FOiWtSbWYAkulkw.jpg</v>
      </c>
      <c r="W62" s="83">
        <v>44643.774722222224</v>
      </c>
      <c r="X62" s="88">
        <v>44643</v>
      </c>
      <c r="Y62" s="85" t="s">
        <v>659</v>
      </c>
      <c r="Z62" s="84" t="str">
        <f>HYPERLINK("https://twitter.com/jpkajan/status/1506701211315183616")</f>
        <v>https://twitter.com/jpkajan/status/1506701211315183616</v>
      </c>
      <c r="AA62" s="81"/>
      <c r="AB62" s="81"/>
      <c r="AC62" s="85" t="s">
        <v>928</v>
      </c>
      <c r="AD62" s="81"/>
      <c r="AE62" s="81" t="b">
        <v>0</v>
      </c>
      <c r="AF62" s="81">
        <v>0</v>
      </c>
      <c r="AG62" s="85" t="s">
        <v>1162</v>
      </c>
      <c r="AH62" s="81" t="b">
        <v>0</v>
      </c>
      <c r="AI62" s="81" t="s">
        <v>1179</v>
      </c>
      <c r="AJ62" s="81"/>
      <c r="AK62" s="85" t="s">
        <v>1162</v>
      </c>
      <c r="AL62" s="81" t="b">
        <v>0</v>
      </c>
      <c r="AM62" s="81">
        <v>68</v>
      </c>
      <c r="AN62" s="85" t="s">
        <v>1081</v>
      </c>
      <c r="AO62" s="85" t="s">
        <v>1188</v>
      </c>
      <c r="AP62" s="81" t="b">
        <v>0</v>
      </c>
      <c r="AQ62" s="85" t="s">
        <v>1081</v>
      </c>
      <c r="AR62" s="81" t="s">
        <v>187</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6</v>
      </c>
      <c r="BM62" s="50">
        <v>100</v>
      </c>
      <c r="BN62" s="49">
        <v>6</v>
      </c>
    </row>
    <row r="63" spans="1:66" ht="15">
      <c r="A63" s="65" t="s">
        <v>280</v>
      </c>
      <c r="B63" s="65" t="s">
        <v>430</v>
      </c>
      <c r="C63" s="66" t="s">
        <v>4392</v>
      </c>
      <c r="D63" s="67">
        <v>1</v>
      </c>
      <c r="E63" s="68" t="s">
        <v>132</v>
      </c>
      <c r="F63" s="69">
        <v>32</v>
      </c>
      <c r="G63" s="66" t="s">
        <v>51</v>
      </c>
      <c r="H63" s="70"/>
      <c r="I63" s="71"/>
      <c r="J63" s="71"/>
      <c r="K63" s="35" t="s">
        <v>65</v>
      </c>
      <c r="L63" s="79">
        <v>63</v>
      </c>
      <c r="M63" s="79"/>
      <c r="N63" s="73"/>
      <c r="O63" s="81" t="s">
        <v>504</v>
      </c>
      <c r="P63" s="83">
        <v>44643.77553240741</v>
      </c>
      <c r="Q63" s="81" t="s">
        <v>512</v>
      </c>
      <c r="R63" s="81"/>
      <c r="S63" s="81"/>
      <c r="T63" s="81"/>
      <c r="U63" s="84" t="str">
        <f>HYPERLINK("https://pbs.twimg.com/media/FOiWtSbWYAkulkw.jpg")</f>
        <v>https://pbs.twimg.com/media/FOiWtSbWYAkulkw.jpg</v>
      </c>
      <c r="V63" s="84" t="str">
        <f>HYPERLINK("https://pbs.twimg.com/media/FOiWtSbWYAkulkw.jpg")</f>
        <v>https://pbs.twimg.com/media/FOiWtSbWYAkulkw.jpg</v>
      </c>
      <c r="W63" s="83">
        <v>44643.77553240741</v>
      </c>
      <c r="X63" s="88">
        <v>44643</v>
      </c>
      <c r="Y63" s="85" t="s">
        <v>660</v>
      </c>
      <c r="Z63" s="84" t="str">
        <f>HYPERLINK("https://twitter.com/samilaiho/status/1506701502727008260")</f>
        <v>https://twitter.com/samilaiho/status/1506701502727008260</v>
      </c>
      <c r="AA63" s="81"/>
      <c r="AB63" s="81"/>
      <c r="AC63" s="85" t="s">
        <v>929</v>
      </c>
      <c r="AD63" s="81"/>
      <c r="AE63" s="81" t="b">
        <v>0</v>
      </c>
      <c r="AF63" s="81">
        <v>0</v>
      </c>
      <c r="AG63" s="85" t="s">
        <v>1162</v>
      </c>
      <c r="AH63" s="81" t="b">
        <v>0</v>
      </c>
      <c r="AI63" s="81" t="s">
        <v>1179</v>
      </c>
      <c r="AJ63" s="81"/>
      <c r="AK63" s="85" t="s">
        <v>1162</v>
      </c>
      <c r="AL63" s="81" t="b">
        <v>0</v>
      </c>
      <c r="AM63" s="81">
        <v>68</v>
      </c>
      <c r="AN63" s="85" t="s">
        <v>1081</v>
      </c>
      <c r="AO63" s="85" t="s">
        <v>1190</v>
      </c>
      <c r="AP63" s="81" t="b">
        <v>0</v>
      </c>
      <c r="AQ63" s="85" t="s">
        <v>1081</v>
      </c>
      <c r="AR63" s="81" t="s">
        <v>187</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6</v>
      </c>
      <c r="BM63" s="50">
        <v>100</v>
      </c>
      <c r="BN63" s="49">
        <v>6</v>
      </c>
    </row>
    <row r="64" spans="1:66" ht="15">
      <c r="A64" s="65" t="s">
        <v>281</v>
      </c>
      <c r="B64" s="65" t="s">
        <v>430</v>
      </c>
      <c r="C64" s="66" t="s">
        <v>4392</v>
      </c>
      <c r="D64" s="67">
        <v>1</v>
      </c>
      <c r="E64" s="68" t="s">
        <v>132</v>
      </c>
      <c r="F64" s="69">
        <v>32</v>
      </c>
      <c r="G64" s="66" t="s">
        <v>51</v>
      </c>
      <c r="H64" s="70"/>
      <c r="I64" s="71"/>
      <c r="J64" s="71"/>
      <c r="K64" s="35" t="s">
        <v>65</v>
      </c>
      <c r="L64" s="79">
        <v>64</v>
      </c>
      <c r="M64" s="79"/>
      <c r="N64" s="73"/>
      <c r="O64" s="81" t="s">
        <v>504</v>
      </c>
      <c r="P64" s="83">
        <v>44643.79829861111</v>
      </c>
      <c r="Q64" s="81" t="s">
        <v>512</v>
      </c>
      <c r="R64" s="81"/>
      <c r="S64" s="81"/>
      <c r="T64" s="81"/>
      <c r="U64" s="84" t="str">
        <f>HYPERLINK("https://pbs.twimg.com/media/FOiWtSbWYAkulkw.jpg")</f>
        <v>https://pbs.twimg.com/media/FOiWtSbWYAkulkw.jpg</v>
      </c>
      <c r="V64" s="84" t="str">
        <f>HYPERLINK("https://pbs.twimg.com/media/FOiWtSbWYAkulkw.jpg")</f>
        <v>https://pbs.twimg.com/media/FOiWtSbWYAkulkw.jpg</v>
      </c>
      <c r="W64" s="83">
        <v>44643.79829861111</v>
      </c>
      <c r="X64" s="88">
        <v>44643</v>
      </c>
      <c r="Y64" s="85" t="s">
        <v>661</v>
      </c>
      <c r="Z64" s="84" t="str">
        <f>HYPERLINK("https://twitter.com/millscgh/status/1506709753128493059")</f>
        <v>https://twitter.com/millscgh/status/1506709753128493059</v>
      </c>
      <c r="AA64" s="81"/>
      <c r="AB64" s="81"/>
      <c r="AC64" s="85" t="s">
        <v>930</v>
      </c>
      <c r="AD64" s="81"/>
      <c r="AE64" s="81" t="b">
        <v>0</v>
      </c>
      <c r="AF64" s="81">
        <v>0</v>
      </c>
      <c r="AG64" s="85" t="s">
        <v>1162</v>
      </c>
      <c r="AH64" s="81" t="b">
        <v>0</v>
      </c>
      <c r="AI64" s="81" t="s">
        <v>1179</v>
      </c>
      <c r="AJ64" s="81"/>
      <c r="AK64" s="85" t="s">
        <v>1162</v>
      </c>
      <c r="AL64" s="81" t="b">
        <v>0</v>
      </c>
      <c r="AM64" s="81">
        <v>68</v>
      </c>
      <c r="AN64" s="85" t="s">
        <v>1081</v>
      </c>
      <c r="AO64" s="85" t="s">
        <v>1188</v>
      </c>
      <c r="AP64" s="81" t="b">
        <v>0</v>
      </c>
      <c r="AQ64" s="85" t="s">
        <v>1081</v>
      </c>
      <c r="AR64" s="81" t="s">
        <v>187</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v>0</v>
      </c>
      <c r="BG64" s="50">
        <v>0</v>
      </c>
      <c r="BH64" s="49">
        <v>0</v>
      </c>
      <c r="BI64" s="50">
        <v>0</v>
      </c>
      <c r="BJ64" s="49">
        <v>0</v>
      </c>
      <c r="BK64" s="50">
        <v>0</v>
      </c>
      <c r="BL64" s="49">
        <v>6</v>
      </c>
      <c r="BM64" s="50">
        <v>100</v>
      </c>
      <c r="BN64" s="49">
        <v>6</v>
      </c>
    </row>
    <row r="65" spans="1:66" ht="15">
      <c r="A65" s="65" t="s">
        <v>282</v>
      </c>
      <c r="B65" s="65" t="s">
        <v>430</v>
      </c>
      <c r="C65" s="66" t="s">
        <v>4392</v>
      </c>
      <c r="D65" s="67">
        <v>1</v>
      </c>
      <c r="E65" s="68" t="s">
        <v>132</v>
      </c>
      <c r="F65" s="69">
        <v>32</v>
      </c>
      <c r="G65" s="66" t="s">
        <v>51</v>
      </c>
      <c r="H65" s="70"/>
      <c r="I65" s="71"/>
      <c r="J65" s="71"/>
      <c r="K65" s="35" t="s">
        <v>65</v>
      </c>
      <c r="L65" s="79">
        <v>65</v>
      </c>
      <c r="M65" s="79"/>
      <c r="N65" s="73"/>
      <c r="O65" s="81" t="s">
        <v>504</v>
      </c>
      <c r="P65" s="83">
        <v>44643.79927083333</v>
      </c>
      <c r="Q65" s="81" t="s">
        <v>512</v>
      </c>
      <c r="R65" s="81"/>
      <c r="S65" s="81"/>
      <c r="T65" s="81"/>
      <c r="U65" s="84" t="str">
        <f>HYPERLINK("https://pbs.twimg.com/media/FOiWtSbWYAkulkw.jpg")</f>
        <v>https://pbs.twimg.com/media/FOiWtSbWYAkulkw.jpg</v>
      </c>
      <c r="V65" s="84" t="str">
        <f>HYPERLINK("https://pbs.twimg.com/media/FOiWtSbWYAkulkw.jpg")</f>
        <v>https://pbs.twimg.com/media/FOiWtSbWYAkulkw.jpg</v>
      </c>
      <c r="W65" s="83">
        <v>44643.79927083333</v>
      </c>
      <c r="X65" s="88">
        <v>44643</v>
      </c>
      <c r="Y65" s="85" t="s">
        <v>662</v>
      </c>
      <c r="Z65" s="84" t="str">
        <f>HYPERLINK("https://twitter.com/haraldhannelius/status/1506710105143787538")</f>
        <v>https://twitter.com/haraldhannelius/status/1506710105143787538</v>
      </c>
      <c r="AA65" s="81"/>
      <c r="AB65" s="81"/>
      <c r="AC65" s="85" t="s">
        <v>931</v>
      </c>
      <c r="AD65" s="81"/>
      <c r="AE65" s="81" t="b">
        <v>0</v>
      </c>
      <c r="AF65" s="81">
        <v>0</v>
      </c>
      <c r="AG65" s="85" t="s">
        <v>1162</v>
      </c>
      <c r="AH65" s="81" t="b">
        <v>0</v>
      </c>
      <c r="AI65" s="81" t="s">
        <v>1179</v>
      </c>
      <c r="AJ65" s="81"/>
      <c r="AK65" s="85" t="s">
        <v>1162</v>
      </c>
      <c r="AL65" s="81" t="b">
        <v>0</v>
      </c>
      <c r="AM65" s="81">
        <v>68</v>
      </c>
      <c r="AN65" s="85" t="s">
        <v>1081</v>
      </c>
      <c r="AO65" s="85" t="s">
        <v>1188</v>
      </c>
      <c r="AP65" s="81" t="b">
        <v>0</v>
      </c>
      <c r="AQ65" s="85" t="s">
        <v>1081</v>
      </c>
      <c r="AR65" s="81" t="s">
        <v>187</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v>0</v>
      </c>
      <c r="BG65" s="50">
        <v>0</v>
      </c>
      <c r="BH65" s="49">
        <v>0</v>
      </c>
      <c r="BI65" s="50">
        <v>0</v>
      </c>
      <c r="BJ65" s="49">
        <v>0</v>
      </c>
      <c r="BK65" s="50">
        <v>0</v>
      </c>
      <c r="BL65" s="49">
        <v>6</v>
      </c>
      <c r="BM65" s="50">
        <v>100</v>
      </c>
      <c r="BN65" s="49">
        <v>6</v>
      </c>
    </row>
    <row r="66" spans="1:66" ht="15">
      <c r="A66" s="65" t="s">
        <v>283</v>
      </c>
      <c r="B66" s="65" t="s">
        <v>430</v>
      </c>
      <c r="C66" s="66" t="s">
        <v>4392</v>
      </c>
      <c r="D66" s="67">
        <v>1</v>
      </c>
      <c r="E66" s="68" t="s">
        <v>132</v>
      </c>
      <c r="F66" s="69">
        <v>32</v>
      </c>
      <c r="G66" s="66" t="s">
        <v>51</v>
      </c>
      <c r="H66" s="70"/>
      <c r="I66" s="71"/>
      <c r="J66" s="71"/>
      <c r="K66" s="35" t="s">
        <v>65</v>
      </c>
      <c r="L66" s="79">
        <v>66</v>
      </c>
      <c r="M66" s="79"/>
      <c r="N66" s="73"/>
      <c r="O66" s="81" t="s">
        <v>504</v>
      </c>
      <c r="P66" s="83">
        <v>44643.81704861111</v>
      </c>
      <c r="Q66" s="81" t="s">
        <v>512</v>
      </c>
      <c r="R66" s="81"/>
      <c r="S66" s="81"/>
      <c r="T66" s="81"/>
      <c r="U66" s="84" t="str">
        <f>HYPERLINK("https://pbs.twimg.com/media/FOiWtSbWYAkulkw.jpg")</f>
        <v>https://pbs.twimg.com/media/FOiWtSbWYAkulkw.jpg</v>
      </c>
      <c r="V66" s="84" t="str">
        <f>HYPERLINK("https://pbs.twimg.com/media/FOiWtSbWYAkulkw.jpg")</f>
        <v>https://pbs.twimg.com/media/FOiWtSbWYAkulkw.jpg</v>
      </c>
      <c r="W66" s="83">
        <v>44643.81704861111</v>
      </c>
      <c r="X66" s="88">
        <v>44643</v>
      </c>
      <c r="Y66" s="85" t="s">
        <v>663</v>
      </c>
      <c r="Z66" s="84" t="str">
        <f>HYPERLINK("https://twitter.com/tiinaripatti/status/1506716549587083266")</f>
        <v>https://twitter.com/tiinaripatti/status/1506716549587083266</v>
      </c>
      <c r="AA66" s="81"/>
      <c r="AB66" s="81"/>
      <c r="AC66" s="85" t="s">
        <v>932</v>
      </c>
      <c r="AD66" s="81"/>
      <c r="AE66" s="81" t="b">
        <v>0</v>
      </c>
      <c r="AF66" s="81">
        <v>0</v>
      </c>
      <c r="AG66" s="85" t="s">
        <v>1162</v>
      </c>
      <c r="AH66" s="81" t="b">
        <v>0</v>
      </c>
      <c r="AI66" s="81" t="s">
        <v>1179</v>
      </c>
      <c r="AJ66" s="81"/>
      <c r="AK66" s="85" t="s">
        <v>1162</v>
      </c>
      <c r="AL66" s="81" t="b">
        <v>0</v>
      </c>
      <c r="AM66" s="81">
        <v>68</v>
      </c>
      <c r="AN66" s="85" t="s">
        <v>1081</v>
      </c>
      <c r="AO66" s="85" t="s">
        <v>1188</v>
      </c>
      <c r="AP66" s="81" t="b">
        <v>0</v>
      </c>
      <c r="AQ66" s="85" t="s">
        <v>1081</v>
      </c>
      <c r="AR66" s="81" t="s">
        <v>187</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v>0</v>
      </c>
      <c r="BG66" s="50">
        <v>0</v>
      </c>
      <c r="BH66" s="49">
        <v>0</v>
      </c>
      <c r="BI66" s="50">
        <v>0</v>
      </c>
      <c r="BJ66" s="49">
        <v>0</v>
      </c>
      <c r="BK66" s="50">
        <v>0</v>
      </c>
      <c r="BL66" s="49">
        <v>6</v>
      </c>
      <c r="BM66" s="50">
        <v>100</v>
      </c>
      <c r="BN66" s="49">
        <v>6</v>
      </c>
    </row>
    <row r="67" spans="1:66" ht="15">
      <c r="A67" s="65" t="s">
        <v>284</v>
      </c>
      <c r="B67" s="65" t="s">
        <v>430</v>
      </c>
      <c r="C67" s="66" t="s">
        <v>4392</v>
      </c>
      <c r="D67" s="67">
        <v>1</v>
      </c>
      <c r="E67" s="68" t="s">
        <v>132</v>
      </c>
      <c r="F67" s="69">
        <v>32</v>
      </c>
      <c r="G67" s="66" t="s">
        <v>51</v>
      </c>
      <c r="H67" s="70"/>
      <c r="I67" s="71"/>
      <c r="J67" s="71"/>
      <c r="K67" s="35" t="s">
        <v>65</v>
      </c>
      <c r="L67" s="79">
        <v>67</v>
      </c>
      <c r="M67" s="79"/>
      <c r="N67" s="73"/>
      <c r="O67" s="81" t="s">
        <v>502</v>
      </c>
      <c r="P67" s="83">
        <v>44643.831400462965</v>
      </c>
      <c r="Q67" s="81" t="s">
        <v>520</v>
      </c>
      <c r="R67" s="81"/>
      <c r="S67" s="81"/>
      <c r="T67" s="81"/>
      <c r="U67" s="81"/>
      <c r="V67" s="84" t="str">
        <f>HYPERLINK("https://pbs.twimg.com/profile_images/660922159242547200/watDMhyO_normal.jpg")</f>
        <v>https://pbs.twimg.com/profile_images/660922159242547200/watDMhyO_normal.jpg</v>
      </c>
      <c r="W67" s="83">
        <v>44643.831400462965</v>
      </c>
      <c r="X67" s="88">
        <v>44643</v>
      </c>
      <c r="Y67" s="85" t="s">
        <v>664</v>
      </c>
      <c r="Z67" s="84" t="str">
        <f>HYPERLINK("https://twitter.com/sinimarjah/status/1506721750108852237")</f>
        <v>https://twitter.com/sinimarjah/status/1506721750108852237</v>
      </c>
      <c r="AA67" s="81"/>
      <c r="AB67" s="81"/>
      <c r="AC67" s="85" t="s">
        <v>933</v>
      </c>
      <c r="AD67" s="85" t="s">
        <v>1081</v>
      </c>
      <c r="AE67" s="81" t="b">
        <v>0</v>
      </c>
      <c r="AF67" s="81">
        <v>0</v>
      </c>
      <c r="AG67" s="85" t="s">
        <v>1165</v>
      </c>
      <c r="AH67" s="81" t="b">
        <v>0</v>
      </c>
      <c r="AI67" s="81" t="s">
        <v>1176</v>
      </c>
      <c r="AJ67" s="81"/>
      <c r="AK67" s="85" t="s">
        <v>1162</v>
      </c>
      <c r="AL67" s="81" t="b">
        <v>0</v>
      </c>
      <c r="AM67" s="81">
        <v>0</v>
      </c>
      <c r="AN67" s="85" t="s">
        <v>1162</v>
      </c>
      <c r="AO67" s="85" t="s">
        <v>1190</v>
      </c>
      <c r="AP67" s="81" t="b">
        <v>0</v>
      </c>
      <c r="AQ67" s="85" t="s">
        <v>1081</v>
      </c>
      <c r="AR67" s="81" t="s">
        <v>187</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v>0</v>
      </c>
      <c r="BG67" s="50">
        <v>0</v>
      </c>
      <c r="BH67" s="49">
        <v>0</v>
      </c>
      <c r="BI67" s="50">
        <v>0</v>
      </c>
      <c r="BJ67" s="49">
        <v>0</v>
      </c>
      <c r="BK67" s="50">
        <v>0</v>
      </c>
      <c r="BL67" s="49">
        <v>5</v>
      </c>
      <c r="BM67" s="50">
        <v>100</v>
      </c>
      <c r="BN67" s="49">
        <v>5</v>
      </c>
    </row>
    <row r="68" spans="1:66" ht="15">
      <c r="A68" s="65" t="s">
        <v>285</v>
      </c>
      <c r="B68" s="65" t="s">
        <v>430</v>
      </c>
      <c r="C68" s="66" t="s">
        <v>4392</v>
      </c>
      <c r="D68" s="67">
        <v>1</v>
      </c>
      <c r="E68" s="68" t="s">
        <v>132</v>
      </c>
      <c r="F68" s="69">
        <v>32</v>
      </c>
      <c r="G68" s="66" t="s">
        <v>51</v>
      </c>
      <c r="H68" s="70"/>
      <c r="I68" s="71"/>
      <c r="J68" s="71"/>
      <c r="K68" s="35" t="s">
        <v>65</v>
      </c>
      <c r="L68" s="79">
        <v>68</v>
      </c>
      <c r="M68" s="79"/>
      <c r="N68" s="73"/>
      <c r="O68" s="81" t="s">
        <v>504</v>
      </c>
      <c r="P68" s="83">
        <v>44643.8443287037</v>
      </c>
      <c r="Q68" s="81" t="s">
        <v>512</v>
      </c>
      <c r="R68" s="81"/>
      <c r="S68" s="81"/>
      <c r="T68" s="81"/>
      <c r="U68" s="84" t="str">
        <f>HYPERLINK("https://pbs.twimg.com/media/FOiWtSbWYAkulkw.jpg")</f>
        <v>https://pbs.twimg.com/media/FOiWtSbWYAkulkw.jpg</v>
      </c>
      <c r="V68" s="84" t="str">
        <f>HYPERLINK("https://pbs.twimg.com/media/FOiWtSbWYAkulkw.jpg")</f>
        <v>https://pbs.twimg.com/media/FOiWtSbWYAkulkw.jpg</v>
      </c>
      <c r="W68" s="83">
        <v>44643.8443287037</v>
      </c>
      <c r="X68" s="88">
        <v>44643</v>
      </c>
      <c r="Y68" s="85" t="s">
        <v>665</v>
      </c>
      <c r="Z68" s="84" t="str">
        <f>HYPERLINK("https://twitter.com/aaponyholm/status/1506726435381202960")</f>
        <v>https://twitter.com/aaponyholm/status/1506726435381202960</v>
      </c>
      <c r="AA68" s="81"/>
      <c r="AB68" s="81"/>
      <c r="AC68" s="85" t="s">
        <v>934</v>
      </c>
      <c r="AD68" s="81"/>
      <c r="AE68" s="81" t="b">
        <v>0</v>
      </c>
      <c r="AF68" s="81">
        <v>0</v>
      </c>
      <c r="AG68" s="85" t="s">
        <v>1162</v>
      </c>
      <c r="AH68" s="81" t="b">
        <v>0</v>
      </c>
      <c r="AI68" s="81" t="s">
        <v>1179</v>
      </c>
      <c r="AJ68" s="81"/>
      <c r="AK68" s="85" t="s">
        <v>1162</v>
      </c>
      <c r="AL68" s="81" t="b">
        <v>0</v>
      </c>
      <c r="AM68" s="81">
        <v>68</v>
      </c>
      <c r="AN68" s="85" t="s">
        <v>1081</v>
      </c>
      <c r="AO68" s="85" t="s">
        <v>1188</v>
      </c>
      <c r="AP68" s="81" t="b">
        <v>0</v>
      </c>
      <c r="AQ68" s="85" t="s">
        <v>1081</v>
      </c>
      <c r="AR68" s="81" t="s">
        <v>187</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v>0</v>
      </c>
      <c r="BG68" s="50">
        <v>0</v>
      </c>
      <c r="BH68" s="49">
        <v>0</v>
      </c>
      <c r="BI68" s="50">
        <v>0</v>
      </c>
      <c r="BJ68" s="49">
        <v>0</v>
      </c>
      <c r="BK68" s="50">
        <v>0</v>
      </c>
      <c r="BL68" s="49">
        <v>6</v>
      </c>
      <c r="BM68" s="50">
        <v>100</v>
      </c>
      <c r="BN68" s="49">
        <v>6</v>
      </c>
    </row>
    <row r="69" spans="1:66" ht="15">
      <c r="A69" s="65" t="s">
        <v>286</v>
      </c>
      <c r="B69" s="65" t="s">
        <v>430</v>
      </c>
      <c r="C69" s="66" t="s">
        <v>4392</v>
      </c>
      <c r="D69" s="67">
        <v>1</v>
      </c>
      <c r="E69" s="68" t="s">
        <v>132</v>
      </c>
      <c r="F69" s="69">
        <v>32</v>
      </c>
      <c r="G69" s="66" t="s">
        <v>51</v>
      </c>
      <c r="H69" s="70"/>
      <c r="I69" s="71"/>
      <c r="J69" s="71"/>
      <c r="K69" s="35" t="s">
        <v>65</v>
      </c>
      <c r="L69" s="79">
        <v>69</v>
      </c>
      <c r="M69" s="79"/>
      <c r="N69" s="73"/>
      <c r="O69" s="81" t="s">
        <v>504</v>
      </c>
      <c r="P69" s="83">
        <v>44643.84835648148</v>
      </c>
      <c r="Q69" s="81" t="s">
        <v>512</v>
      </c>
      <c r="R69" s="81"/>
      <c r="S69" s="81"/>
      <c r="T69" s="81"/>
      <c r="U69" s="84" t="str">
        <f>HYPERLINK("https://pbs.twimg.com/media/FOiWtSbWYAkulkw.jpg")</f>
        <v>https://pbs.twimg.com/media/FOiWtSbWYAkulkw.jpg</v>
      </c>
      <c r="V69" s="84" t="str">
        <f>HYPERLINK("https://pbs.twimg.com/media/FOiWtSbWYAkulkw.jpg")</f>
        <v>https://pbs.twimg.com/media/FOiWtSbWYAkulkw.jpg</v>
      </c>
      <c r="W69" s="83">
        <v>44643.84835648148</v>
      </c>
      <c r="X69" s="88">
        <v>44643</v>
      </c>
      <c r="Y69" s="85" t="s">
        <v>666</v>
      </c>
      <c r="Z69" s="84" t="str">
        <f>HYPERLINK("https://twitter.com/tallella2/status/1506727896035074052")</f>
        <v>https://twitter.com/tallella2/status/1506727896035074052</v>
      </c>
      <c r="AA69" s="81"/>
      <c r="AB69" s="81"/>
      <c r="AC69" s="85" t="s">
        <v>935</v>
      </c>
      <c r="AD69" s="81"/>
      <c r="AE69" s="81" t="b">
        <v>0</v>
      </c>
      <c r="AF69" s="81">
        <v>0</v>
      </c>
      <c r="AG69" s="85" t="s">
        <v>1162</v>
      </c>
      <c r="AH69" s="81" t="b">
        <v>0</v>
      </c>
      <c r="AI69" s="81" t="s">
        <v>1179</v>
      </c>
      <c r="AJ69" s="81"/>
      <c r="AK69" s="85" t="s">
        <v>1162</v>
      </c>
      <c r="AL69" s="81" t="b">
        <v>0</v>
      </c>
      <c r="AM69" s="81">
        <v>68</v>
      </c>
      <c r="AN69" s="85" t="s">
        <v>1081</v>
      </c>
      <c r="AO69" s="85" t="s">
        <v>1189</v>
      </c>
      <c r="AP69" s="81" t="b">
        <v>0</v>
      </c>
      <c r="AQ69" s="85" t="s">
        <v>1081</v>
      </c>
      <c r="AR69" s="81" t="s">
        <v>187</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v>0</v>
      </c>
      <c r="BG69" s="50">
        <v>0</v>
      </c>
      <c r="BH69" s="49">
        <v>0</v>
      </c>
      <c r="BI69" s="50">
        <v>0</v>
      </c>
      <c r="BJ69" s="49">
        <v>0</v>
      </c>
      <c r="BK69" s="50">
        <v>0</v>
      </c>
      <c r="BL69" s="49">
        <v>6</v>
      </c>
      <c r="BM69" s="50">
        <v>100</v>
      </c>
      <c r="BN69" s="49">
        <v>6</v>
      </c>
    </row>
    <row r="70" spans="1:66" ht="15">
      <c r="A70" s="65" t="s">
        <v>287</v>
      </c>
      <c r="B70" s="65" t="s">
        <v>430</v>
      </c>
      <c r="C70" s="66" t="s">
        <v>4392</v>
      </c>
      <c r="D70" s="67">
        <v>1</v>
      </c>
      <c r="E70" s="68" t="s">
        <v>132</v>
      </c>
      <c r="F70" s="69">
        <v>32</v>
      </c>
      <c r="G70" s="66" t="s">
        <v>51</v>
      </c>
      <c r="H70" s="70"/>
      <c r="I70" s="71"/>
      <c r="J70" s="71"/>
      <c r="K70" s="35" t="s">
        <v>65</v>
      </c>
      <c r="L70" s="79">
        <v>70</v>
      </c>
      <c r="M70" s="79"/>
      <c r="N70" s="73"/>
      <c r="O70" s="81" t="s">
        <v>504</v>
      </c>
      <c r="P70" s="83">
        <v>44643.85109953704</v>
      </c>
      <c r="Q70" s="81" t="s">
        <v>512</v>
      </c>
      <c r="R70" s="81"/>
      <c r="S70" s="81"/>
      <c r="T70" s="81"/>
      <c r="U70" s="84" t="str">
        <f>HYPERLINK("https://pbs.twimg.com/media/FOiWtSbWYAkulkw.jpg")</f>
        <v>https://pbs.twimg.com/media/FOiWtSbWYAkulkw.jpg</v>
      </c>
      <c r="V70" s="84" t="str">
        <f>HYPERLINK("https://pbs.twimg.com/media/FOiWtSbWYAkulkw.jpg")</f>
        <v>https://pbs.twimg.com/media/FOiWtSbWYAkulkw.jpg</v>
      </c>
      <c r="W70" s="83">
        <v>44643.85109953704</v>
      </c>
      <c r="X70" s="88">
        <v>44643</v>
      </c>
      <c r="Y70" s="85" t="s">
        <v>667</v>
      </c>
      <c r="Z70" s="84" t="str">
        <f>HYPERLINK("https://twitter.com/docjares/status/1506728889946624007")</f>
        <v>https://twitter.com/docjares/status/1506728889946624007</v>
      </c>
      <c r="AA70" s="81"/>
      <c r="AB70" s="81"/>
      <c r="AC70" s="85" t="s">
        <v>936</v>
      </c>
      <c r="AD70" s="81"/>
      <c r="AE70" s="81" t="b">
        <v>0</v>
      </c>
      <c r="AF70" s="81">
        <v>0</v>
      </c>
      <c r="AG70" s="85" t="s">
        <v>1162</v>
      </c>
      <c r="AH70" s="81" t="b">
        <v>0</v>
      </c>
      <c r="AI70" s="81" t="s">
        <v>1179</v>
      </c>
      <c r="AJ70" s="81"/>
      <c r="AK70" s="85" t="s">
        <v>1162</v>
      </c>
      <c r="AL70" s="81" t="b">
        <v>0</v>
      </c>
      <c r="AM70" s="81">
        <v>68</v>
      </c>
      <c r="AN70" s="85" t="s">
        <v>1081</v>
      </c>
      <c r="AO70" s="85" t="s">
        <v>1188</v>
      </c>
      <c r="AP70" s="81" t="b">
        <v>0</v>
      </c>
      <c r="AQ70" s="85" t="s">
        <v>1081</v>
      </c>
      <c r="AR70" s="81" t="s">
        <v>187</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2</v>
      </c>
      <c r="BF70" s="49">
        <v>0</v>
      </c>
      <c r="BG70" s="50">
        <v>0</v>
      </c>
      <c r="BH70" s="49">
        <v>0</v>
      </c>
      <c r="BI70" s="50">
        <v>0</v>
      </c>
      <c r="BJ70" s="49">
        <v>0</v>
      </c>
      <c r="BK70" s="50">
        <v>0</v>
      </c>
      <c r="BL70" s="49">
        <v>6</v>
      </c>
      <c r="BM70" s="50">
        <v>100</v>
      </c>
      <c r="BN70" s="49">
        <v>6</v>
      </c>
    </row>
    <row r="71" spans="1:66" ht="15">
      <c r="A71" s="65" t="s">
        <v>288</v>
      </c>
      <c r="B71" s="65" t="s">
        <v>288</v>
      </c>
      <c r="C71" s="66" t="s">
        <v>4392</v>
      </c>
      <c r="D71" s="67">
        <v>1</v>
      </c>
      <c r="E71" s="68" t="s">
        <v>132</v>
      </c>
      <c r="F71" s="69">
        <v>32</v>
      </c>
      <c r="G71" s="66" t="s">
        <v>51</v>
      </c>
      <c r="H71" s="70"/>
      <c r="I71" s="71"/>
      <c r="J71" s="71"/>
      <c r="K71" s="35" t="s">
        <v>65</v>
      </c>
      <c r="L71" s="79">
        <v>71</v>
      </c>
      <c r="M71" s="79"/>
      <c r="N71" s="73"/>
      <c r="O71" s="81" t="s">
        <v>187</v>
      </c>
      <c r="P71" s="83">
        <v>44643.86282407407</v>
      </c>
      <c r="Q71" s="81" t="s">
        <v>521</v>
      </c>
      <c r="R71" s="81"/>
      <c r="S71" s="81"/>
      <c r="T71" s="81"/>
      <c r="U71" s="81"/>
      <c r="V71" s="84" t="str">
        <f>HYPERLINK("https://pbs.twimg.com/profile_images/1457628999551700996/bXeOcT0h_normal.jpg")</f>
        <v>https://pbs.twimg.com/profile_images/1457628999551700996/bXeOcT0h_normal.jpg</v>
      </c>
      <c r="W71" s="83">
        <v>44643.86282407407</v>
      </c>
      <c r="X71" s="88">
        <v>44643</v>
      </c>
      <c r="Y71" s="85" t="s">
        <v>668</v>
      </c>
      <c r="Z71" s="84" t="str">
        <f>HYPERLINK("https://twitter.com/koala79124457/status/1506733139867193346")</f>
        <v>https://twitter.com/koala79124457/status/1506733139867193346</v>
      </c>
      <c r="AA71" s="81"/>
      <c r="AB71" s="81"/>
      <c r="AC71" s="85" t="s">
        <v>937</v>
      </c>
      <c r="AD71" s="81"/>
      <c r="AE71" s="81" t="b">
        <v>0</v>
      </c>
      <c r="AF71" s="81">
        <v>6</v>
      </c>
      <c r="AG71" s="85" t="s">
        <v>1162</v>
      </c>
      <c r="AH71" s="81" t="b">
        <v>0</v>
      </c>
      <c r="AI71" s="81" t="s">
        <v>1179</v>
      </c>
      <c r="AJ71" s="81"/>
      <c r="AK71" s="85" t="s">
        <v>1162</v>
      </c>
      <c r="AL71" s="81" t="b">
        <v>0</v>
      </c>
      <c r="AM71" s="81">
        <v>0</v>
      </c>
      <c r="AN71" s="85" t="s">
        <v>1162</v>
      </c>
      <c r="AO71" s="85" t="s">
        <v>1190</v>
      </c>
      <c r="AP71" s="81" t="b">
        <v>0</v>
      </c>
      <c r="AQ71" s="85" t="s">
        <v>937</v>
      </c>
      <c r="AR71" s="81" t="s">
        <v>187</v>
      </c>
      <c r="AS71" s="81">
        <v>0</v>
      </c>
      <c r="AT71" s="81">
        <v>0</v>
      </c>
      <c r="AU71" s="81"/>
      <c r="AV71" s="81"/>
      <c r="AW71" s="81"/>
      <c r="AX71" s="81"/>
      <c r="AY71" s="81"/>
      <c r="AZ71" s="81"/>
      <c r="BA71" s="81"/>
      <c r="BB71" s="81"/>
      <c r="BC71">
        <v>1</v>
      </c>
      <c r="BD71" s="80" t="str">
        <f>REPLACE(INDEX(GroupVertices[Group],MATCH(Edges[[#This Row],[Vertex 1]],GroupVertices[Vertex],0)),1,1,"")</f>
        <v>3</v>
      </c>
      <c r="BE71" s="80" t="str">
        <f>REPLACE(INDEX(GroupVertices[Group],MATCH(Edges[[#This Row],[Vertex 2]],GroupVertices[Vertex],0)),1,1,"")</f>
        <v>3</v>
      </c>
      <c r="BF71" s="49">
        <v>0</v>
      </c>
      <c r="BG71" s="50">
        <v>0</v>
      </c>
      <c r="BH71" s="49">
        <v>0</v>
      </c>
      <c r="BI71" s="50">
        <v>0</v>
      </c>
      <c r="BJ71" s="49">
        <v>0</v>
      </c>
      <c r="BK71" s="50">
        <v>0</v>
      </c>
      <c r="BL71" s="49">
        <v>36</v>
      </c>
      <c r="BM71" s="50">
        <v>100</v>
      </c>
      <c r="BN71" s="49">
        <v>36</v>
      </c>
    </row>
    <row r="72" spans="1:66" ht="15">
      <c r="A72" s="65" t="s">
        <v>289</v>
      </c>
      <c r="B72" s="65" t="s">
        <v>430</v>
      </c>
      <c r="C72" s="66" t="s">
        <v>4392</v>
      </c>
      <c r="D72" s="67">
        <v>1</v>
      </c>
      <c r="E72" s="68" t="s">
        <v>132</v>
      </c>
      <c r="F72" s="69">
        <v>32</v>
      </c>
      <c r="G72" s="66" t="s">
        <v>51</v>
      </c>
      <c r="H72" s="70"/>
      <c r="I72" s="71"/>
      <c r="J72" s="71"/>
      <c r="K72" s="35" t="s">
        <v>65</v>
      </c>
      <c r="L72" s="79">
        <v>72</v>
      </c>
      <c r="M72" s="79"/>
      <c r="N72" s="73"/>
      <c r="O72" s="81" t="s">
        <v>504</v>
      </c>
      <c r="P72" s="83">
        <v>44643.86420138889</v>
      </c>
      <c r="Q72" s="81" t="s">
        <v>512</v>
      </c>
      <c r="R72" s="81"/>
      <c r="S72" s="81"/>
      <c r="T72" s="81"/>
      <c r="U72" s="84" t="str">
        <f>HYPERLINK("https://pbs.twimg.com/media/FOiWtSbWYAkulkw.jpg")</f>
        <v>https://pbs.twimg.com/media/FOiWtSbWYAkulkw.jpg</v>
      </c>
      <c r="V72" s="84" t="str">
        <f>HYPERLINK("https://pbs.twimg.com/media/FOiWtSbWYAkulkw.jpg")</f>
        <v>https://pbs.twimg.com/media/FOiWtSbWYAkulkw.jpg</v>
      </c>
      <c r="W72" s="83">
        <v>44643.86420138889</v>
      </c>
      <c r="X72" s="88">
        <v>44643</v>
      </c>
      <c r="Y72" s="85" t="s">
        <v>669</v>
      </c>
      <c r="Z72" s="84" t="str">
        <f>HYPERLINK("https://twitter.com/hamalainenster/status/1506733637152161805")</f>
        <v>https://twitter.com/hamalainenster/status/1506733637152161805</v>
      </c>
      <c r="AA72" s="81"/>
      <c r="AB72" s="81"/>
      <c r="AC72" s="85" t="s">
        <v>938</v>
      </c>
      <c r="AD72" s="81"/>
      <c r="AE72" s="81" t="b">
        <v>0</v>
      </c>
      <c r="AF72" s="81">
        <v>0</v>
      </c>
      <c r="AG72" s="85" t="s">
        <v>1162</v>
      </c>
      <c r="AH72" s="81" t="b">
        <v>0</v>
      </c>
      <c r="AI72" s="81" t="s">
        <v>1179</v>
      </c>
      <c r="AJ72" s="81"/>
      <c r="AK72" s="85" t="s">
        <v>1162</v>
      </c>
      <c r="AL72" s="81" t="b">
        <v>0</v>
      </c>
      <c r="AM72" s="81">
        <v>68</v>
      </c>
      <c r="AN72" s="85" t="s">
        <v>1081</v>
      </c>
      <c r="AO72" s="85" t="s">
        <v>1189</v>
      </c>
      <c r="AP72" s="81" t="b">
        <v>0</v>
      </c>
      <c r="AQ72" s="85" t="s">
        <v>1081</v>
      </c>
      <c r="AR72" s="81" t="s">
        <v>187</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v>0</v>
      </c>
      <c r="BG72" s="50">
        <v>0</v>
      </c>
      <c r="BH72" s="49">
        <v>0</v>
      </c>
      <c r="BI72" s="50">
        <v>0</v>
      </c>
      <c r="BJ72" s="49">
        <v>0</v>
      </c>
      <c r="BK72" s="50">
        <v>0</v>
      </c>
      <c r="BL72" s="49">
        <v>6</v>
      </c>
      <c r="BM72" s="50">
        <v>100</v>
      </c>
      <c r="BN72" s="49">
        <v>6</v>
      </c>
    </row>
    <row r="73" spans="1:66" ht="15">
      <c r="A73" s="65" t="s">
        <v>290</v>
      </c>
      <c r="B73" s="65" t="s">
        <v>430</v>
      </c>
      <c r="C73" s="66" t="s">
        <v>4392</v>
      </c>
      <c r="D73" s="67">
        <v>1</v>
      </c>
      <c r="E73" s="68" t="s">
        <v>132</v>
      </c>
      <c r="F73" s="69">
        <v>32</v>
      </c>
      <c r="G73" s="66" t="s">
        <v>51</v>
      </c>
      <c r="H73" s="70"/>
      <c r="I73" s="71"/>
      <c r="J73" s="71"/>
      <c r="K73" s="35" t="s">
        <v>65</v>
      </c>
      <c r="L73" s="79">
        <v>73</v>
      </c>
      <c r="M73" s="79"/>
      <c r="N73" s="73"/>
      <c r="O73" s="81" t="s">
        <v>504</v>
      </c>
      <c r="P73" s="83">
        <v>44643.8666087963</v>
      </c>
      <c r="Q73" s="81" t="s">
        <v>512</v>
      </c>
      <c r="R73" s="81"/>
      <c r="S73" s="81"/>
      <c r="T73" s="81"/>
      <c r="U73" s="84" t="str">
        <f>HYPERLINK("https://pbs.twimg.com/media/FOiWtSbWYAkulkw.jpg")</f>
        <v>https://pbs.twimg.com/media/FOiWtSbWYAkulkw.jpg</v>
      </c>
      <c r="V73" s="84" t="str">
        <f>HYPERLINK("https://pbs.twimg.com/media/FOiWtSbWYAkulkw.jpg")</f>
        <v>https://pbs.twimg.com/media/FOiWtSbWYAkulkw.jpg</v>
      </c>
      <c r="W73" s="83">
        <v>44643.8666087963</v>
      </c>
      <c r="X73" s="88">
        <v>44643</v>
      </c>
      <c r="Y73" s="85" t="s">
        <v>670</v>
      </c>
      <c r="Z73" s="84" t="str">
        <f>HYPERLINK("https://twitter.com/teemukorpiaho/status/1506734510335053835")</f>
        <v>https://twitter.com/teemukorpiaho/status/1506734510335053835</v>
      </c>
      <c r="AA73" s="81"/>
      <c r="AB73" s="81"/>
      <c r="AC73" s="85" t="s">
        <v>939</v>
      </c>
      <c r="AD73" s="81"/>
      <c r="AE73" s="81" t="b">
        <v>0</v>
      </c>
      <c r="AF73" s="81">
        <v>0</v>
      </c>
      <c r="AG73" s="85" t="s">
        <v>1162</v>
      </c>
      <c r="AH73" s="81" t="b">
        <v>0</v>
      </c>
      <c r="AI73" s="81" t="s">
        <v>1179</v>
      </c>
      <c r="AJ73" s="81"/>
      <c r="AK73" s="85" t="s">
        <v>1162</v>
      </c>
      <c r="AL73" s="81" t="b">
        <v>0</v>
      </c>
      <c r="AM73" s="81">
        <v>68</v>
      </c>
      <c r="AN73" s="85" t="s">
        <v>1081</v>
      </c>
      <c r="AO73" s="85" t="s">
        <v>1188</v>
      </c>
      <c r="AP73" s="81" t="b">
        <v>0</v>
      </c>
      <c r="AQ73" s="85" t="s">
        <v>1081</v>
      </c>
      <c r="AR73" s="81" t="s">
        <v>187</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2</v>
      </c>
      <c r="BF73" s="49">
        <v>0</v>
      </c>
      <c r="BG73" s="50">
        <v>0</v>
      </c>
      <c r="BH73" s="49">
        <v>0</v>
      </c>
      <c r="BI73" s="50">
        <v>0</v>
      </c>
      <c r="BJ73" s="49">
        <v>0</v>
      </c>
      <c r="BK73" s="50">
        <v>0</v>
      </c>
      <c r="BL73" s="49">
        <v>6</v>
      </c>
      <c r="BM73" s="50">
        <v>100</v>
      </c>
      <c r="BN73" s="49">
        <v>6</v>
      </c>
    </row>
    <row r="74" spans="1:66" ht="15">
      <c r="A74" s="65" t="s">
        <v>291</v>
      </c>
      <c r="B74" s="65" t="s">
        <v>430</v>
      </c>
      <c r="C74" s="66" t="s">
        <v>4392</v>
      </c>
      <c r="D74" s="67">
        <v>1</v>
      </c>
      <c r="E74" s="68" t="s">
        <v>132</v>
      </c>
      <c r="F74" s="69">
        <v>32</v>
      </c>
      <c r="G74" s="66" t="s">
        <v>51</v>
      </c>
      <c r="H74" s="70"/>
      <c r="I74" s="71"/>
      <c r="J74" s="71"/>
      <c r="K74" s="35" t="s">
        <v>65</v>
      </c>
      <c r="L74" s="79">
        <v>74</v>
      </c>
      <c r="M74" s="79"/>
      <c r="N74" s="73"/>
      <c r="O74" s="81" t="s">
        <v>504</v>
      </c>
      <c r="P74" s="83">
        <v>44643.902337962965</v>
      </c>
      <c r="Q74" s="81" t="s">
        <v>512</v>
      </c>
      <c r="R74" s="81"/>
      <c r="S74" s="81"/>
      <c r="T74" s="81"/>
      <c r="U74" s="84" t="str">
        <f>HYPERLINK("https://pbs.twimg.com/media/FOiWtSbWYAkulkw.jpg")</f>
        <v>https://pbs.twimg.com/media/FOiWtSbWYAkulkw.jpg</v>
      </c>
      <c r="V74" s="84" t="str">
        <f>HYPERLINK("https://pbs.twimg.com/media/FOiWtSbWYAkulkw.jpg")</f>
        <v>https://pbs.twimg.com/media/FOiWtSbWYAkulkw.jpg</v>
      </c>
      <c r="W74" s="83">
        <v>44643.902337962965</v>
      </c>
      <c r="X74" s="88">
        <v>44643</v>
      </c>
      <c r="Y74" s="85" t="s">
        <v>671</v>
      </c>
      <c r="Z74" s="84" t="str">
        <f>HYPERLINK("https://twitter.com/lauriloven/status/1506747455978844164")</f>
        <v>https://twitter.com/lauriloven/status/1506747455978844164</v>
      </c>
      <c r="AA74" s="81"/>
      <c r="AB74" s="81"/>
      <c r="AC74" s="85" t="s">
        <v>940</v>
      </c>
      <c r="AD74" s="81"/>
      <c r="AE74" s="81" t="b">
        <v>0</v>
      </c>
      <c r="AF74" s="81">
        <v>0</v>
      </c>
      <c r="AG74" s="85" t="s">
        <v>1162</v>
      </c>
      <c r="AH74" s="81" t="b">
        <v>0</v>
      </c>
      <c r="AI74" s="81" t="s">
        <v>1179</v>
      </c>
      <c r="AJ74" s="81"/>
      <c r="AK74" s="85" t="s">
        <v>1162</v>
      </c>
      <c r="AL74" s="81" t="b">
        <v>0</v>
      </c>
      <c r="AM74" s="81">
        <v>68</v>
      </c>
      <c r="AN74" s="85" t="s">
        <v>1081</v>
      </c>
      <c r="AO74" s="85" t="s">
        <v>1190</v>
      </c>
      <c r="AP74" s="81" t="b">
        <v>0</v>
      </c>
      <c r="AQ74" s="85" t="s">
        <v>1081</v>
      </c>
      <c r="AR74" s="81" t="s">
        <v>187</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v>0</v>
      </c>
      <c r="BG74" s="50">
        <v>0</v>
      </c>
      <c r="BH74" s="49">
        <v>0</v>
      </c>
      <c r="BI74" s="50">
        <v>0</v>
      </c>
      <c r="BJ74" s="49">
        <v>0</v>
      </c>
      <c r="BK74" s="50">
        <v>0</v>
      </c>
      <c r="BL74" s="49">
        <v>6</v>
      </c>
      <c r="BM74" s="50">
        <v>100</v>
      </c>
      <c r="BN74" s="49">
        <v>6</v>
      </c>
    </row>
    <row r="75" spans="1:66" ht="15">
      <c r="A75" s="65" t="s">
        <v>292</v>
      </c>
      <c r="B75" s="65" t="s">
        <v>430</v>
      </c>
      <c r="C75" s="66" t="s">
        <v>4392</v>
      </c>
      <c r="D75" s="67">
        <v>1</v>
      </c>
      <c r="E75" s="68" t="s">
        <v>132</v>
      </c>
      <c r="F75" s="69">
        <v>32</v>
      </c>
      <c r="G75" s="66" t="s">
        <v>51</v>
      </c>
      <c r="H75" s="70"/>
      <c r="I75" s="71"/>
      <c r="J75" s="71"/>
      <c r="K75" s="35" t="s">
        <v>65</v>
      </c>
      <c r="L75" s="79">
        <v>75</v>
      </c>
      <c r="M75" s="79"/>
      <c r="N75" s="73"/>
      <c r="O75" s="81" t="s">
        <v>504</v>
      </c>
      <c r="P75" s="83">
        <v>44643.909791666665</v>
      </c>
      <c r="Q75" s="81" t="s">
        <v>512</v>
      </c>
      <c r="R75" s="81"/>
      <c r="S75" s="81"/>
      <c r="T75" s="81"/>
      <c r="U75" s="84" t="str">
        <f>HYPERLINK("https://pbs.twimg.com/media/FOiWtSbWYAkulkw.jpg")</f>
        <v>https://pbs.twimg.com/media/FOiWtSbWYAkulkw.jpg</v>
      </c>
      <c r="V75" s="84" t="str">
        <f>HYPERLINK("https://pbs.twimg.com/media/FOiWtSbWYAkulkw.jpg")</f>
        <v>https://pbs.twimg.com/media/FOiWtSbWYAkulkw.jpg</v>
      </c>
      <c r="W75" s="83">
        <v>44643.909791666665</v>
      </c>
      <c r="X75" s="88">
        <v>44643</v>
      </c>
      <c r="Y75" s="85" t="s">
        <v>672</v>
      </c>
      <c r="Z75" s="84" t="str">
        <f>HYPERLINK("https://twitter.com/sansincisor/status/1506750158339457039")</f>
        <v>https://twitter.com/sansincisor/status/1506750158339457039</v>
      </c>
      <c r="AA75" s="81"/>
      <c r="AB75" s="81"/>
      <c r="AC75" s="85" t="s">
        <v>941</v>
      </c>
      <c r="AD75" s="81"/>
      <c r="AE75" s="81" t="b">
        <v>0</v>
      </c>
      <c r="AF75" s="81">
        <v>0</v>
      </c>
      <c r="AG75" s="85" t="s">
        <v>1162</v>
      </c>
      <c r="AH75" s="81" t="b">
        <v>0</v>
      </c>
      <c r="AI75" s="81" t="s">
        <v>1179</v>
      </c>
      <c r="AJ75" s="81"/>
      <c r="AK75" s="85" t="s">
        <v>1162</v>
      </c>
      <c r="AL75" s="81" t="b">
        <v>0</v>
      </c>
      <c r="AM75" s="81">
        <v>68</v>
      </c>
      <c r="AN75" s="85" t="s">
        <v>1081</v>
      </c>
      <c r="AO75" s="85" t="s">
        <v>1190</v>
      </c>
      <c r="AP75" s="81" t="b">
        <v>0</v>
      </c>
      <c r="AQ75" s="85" t="s">
        <v>1081</v>
      </c>
      <c r="AR75" s="81" t="s">
        <v>187</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v>0</v>
      </c>
      <c r="BG75" s="50">
        <v>0</v>
      </c>
      <c r="BH75" s="49">
        <v>0</v>
      </c>
      <c r="BI75" s="50">
        <v>0</v>
      </c>
      <c r="BJ75" s="49">
        <v>0</v>
      </c>
      <c r="BK75" s="50">
        <v>0</v>
      </c>
      <c r="BL75" s="49">
        <v>6</v>
      </c>
      <c r="BM75" s="50">
        <v>100</v>
      </c>
      <c r="BN75" s="49">
        <v>6</v>
      </c>
    </row>
    <row r="76" spans="1:66" ht="15">
      <c r="A76" s="65" t="s">
        <v>293</v>
      </c>
      <c r="B76" s="65" t="s">
        <v>430</v>
      </c>
      <c r="C76" s="66" t="s">
        <v>4392</v>
      </c>
      <c r="D76" s="67">
        <v>1</v>
      </c>
      <c r="E76" s="68" t="s">
        <v>132</v>
      </c>
      <c r="F76" s="69">
        <v>32</v>
      </c>
      <c r="G76" s="66" t="s">
        <v>51</v>
      </c>
      <c r="H76" s="70"/>
      <c r="I76" s="71"/>
      <c r="J76" s="71"/>
      <c r="K76" s="35" t="s">
        <v>65</v>
      </c>
      <c r="L76" s="79">
        <v>76</v>
      </c>
      <c r="M76" s="79"/>
      <c r="N76" s="73"/>
      <c r="O76" s="81" t="s">
        <v>504</v>
      </c>
      <c r="P76" s="83">
        <v>44643.925717592596</v>
      </c>
      <c r="Q76" s="81" t="s">
        <v>512</v>
      </c>
      <c r="R76" s="81"/>
      <c r="S76" s="81"/>
      <c r="T76" s="81"/>
      <c r="U76" s="84" t="str">
        <f>HYPERLINK("https://pbs.twimg.com/media/FOiWtSbWYAkulkw.jpg")</f>
        <v>https://pbs.twimg.com/media/FOiWtSbWYAkulkw.jpg</v>
      </c>
      <c r="V76" s="84" t="str">
        <f>HYPERLINK("https://pbs.twimg.com/media/FOiWtSbWYAkulkw.jpg")</f>
        <v>https://pbs.twimg.com/media/FOiWtSbWYAkulkw.jpg</v>
      </c>
      <c r="W76" s="83">
        <v>44643.925717592596</v>
      </c>
      <c r="X76" s="88">
        <v>44643</v>
      </c>
      <c r="Y76" s="85" t="s">
        <v>673</v>
      </c>
      <c r="Z76" s="84" t="str">
        <f>HYPERLINK("https://twitter.com/nekoliini/status/1506755928539942917")</f>
        <v>https://twitter.com/nekoliini/status/1506755928539942917</v>
      </c>
      <c r="AA76" s="81"/>
      <c r="AB76" s="81"/>
      <c r="AC76" s="85" t="s">
        <v>942</v>
      </c>
      <c r="AD76" s="81"/>
      <c r="AE76" s="81" t="b">
        <v>0</v>
      </c>
      <c r="AF76" s="81">
        <v>0</v>
      </c>
      <c r="AG76" s="85" t="s">
        <v>1162</v>
      </c>
      <c r="AH76" s="81" t="b">
        <v>0</v>
      </c>
      <c r="AI76" s="81" t="s">
        <v>1179</v>
      </c>
      <c r="AJ76" s="81"/>
      <c r="AK76" s="85" t="s">
        <v>1162</v>
      </c>
      <c r="AL76" s="81" t="b">
        <v>0</v>
      </c>
      <c r="AM76" s="81">
        <v>68</v>
      </c>
      <c r="AN76" s="85" t="s">
        <v>1081</v>
      </c>
      <c r="AO76" s="85" t="s">
        <v>1188</v>
      </c>
      <c r="AP76" s="81" t="b">
        <v>0</v>
      </c>
      <c r="AQ76" s="85" t="s">
        <v>1081</v>
      </c>
      <c r="AR76" s="81" t="s">
        <v>187</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v>0</v>
      </c>
      <c r="BG76" s="50">
        <v>0</v>
      </c>
      <c r="BH76" s="49">
        <v>0</v>
      </c>
      <c r="BI76" s="50">
        <v>0</v>
      </c>
      <c r="BJ76" s="49">
        <v>0</v>
      </c>
      <c r="BK76" s="50">
        <v>0</v>
      </c>
      <c r="BL76" s="49">
        <v>6</v>
      </c>
      <c r="BM76" s="50">
        <v>100</v>
      </c>
      <c r="BN76" s="49">
        <v>6</v>
      </c>
    </row>
    <row r="77" spans="1:66" ht="15">
      <c r="A77" s="65" t="s">
        <v>294</v>
      </c>
      <c r="B77" s="65" t="s">
        <v>430</v>
      </c>
      <c r="C77" s="66" t="s">
        <v>4392</v>
      </c>
      <c r="D77" s="67">
        <v>1</v>
      </c>
      <c r="E77" s="68" t="s">
        <v>132</v>
      </c>
      <c r="F77" s="69">
        <v>32</v>
      </c>
      <c r="G77" s="66" t="s">
        <v>51</v>
      </c>
      <c r="H77" s="70"/>
      <c r="I77" s="71"/>
      <c r="J77" s="71"/>
      <c r="K77" s="35" t="s">
        <v>65</v>
      </c>
      <c r="L77" s="79">
        <v>77</v>
      </c>
      <c r="M77" s="79"/>
      <c r="N77" s="73"/>
      <c r="O77" s="81" t="s">
        <v>504</v>
      </c>
      <c r="P77" s="83">
        <v>44644.291400462964</v>
      </c>
      <c r="Q77" s="81" t="s">
        <v>512</v>
      </c>
      <c r="R77" s="81"/>
      <c r="S77" s="81"/>
      <c r="T77" s="81"/>
      <c r="U77" s="84" t="str">
        <f>HYPERLINK("https://pbs.twimg.com/media/FOiWtSbWYAkulkw.jpg")</f>
        <v>https://pbs.twimg.com/media/FOiWtSbWYAkulkw.jpg</v>
      </c>
      <c r="V77" s="84" t="str">
        <f>HYPERLINK("https://pbs.twimg.com/media/FOiWtSbWYAkulkw.jpg")</f>
        <v>https://pbs.twimg.com/media/FOiWtSbWYAkulkw.jpg</v>
      </c>
      <c r="W77" s="83">
        <v>44644.291400462964</v>
      </c>
      <c r="X77" s="88">
        <v>44644</v>
      </c>
      <c r="Y77" s="85" t="s">
        <v>674</v>
      </c>
      <c r="Z77" s="84" t="str">
        <f>HYPERLINK("https://twitter.com/ragzila/status/1506888449403535362")</f>
        <v>https://twitter.com/ragzila/status/1506888449403535362</v>
      </c>
      <c r="AA77" s="81"/>
      <c r="AB77" s="81"/>
      <c r="AC77" s="85" t="s">
        <v>943</v>
      </c>
      <c r="AD77" s="81"/>
      <c r="AE77" s="81" t="b">
        <v>0</v>
      </c>
      <c r="AF77" s="81">
        <v>0</v>
      </c>
      <c r="AG77" s="85" t="s">
        <v>1162</v>
      </c>
      <c r="AH77" s="81" t="b">
        <v>0</v>
      </c>
      <c r="AI77" s="81" t="s">
        <v>1179</v>
      </c>
      <c r="AJ77" s="81"/>
      <c r="AK77" s="85" t="s">
        <v>1162</v>
      </c>
      <c r="AL77" s="81" t="b">
        <v>0</v>
      </c>
      <c r="AM77" s="81">
        <v>68</v>
      </c>
      <c r="AN77" s="85" t="s">
        <v>1081</v>
      </c>
      <c r="AO77" s="85" t="s">
        <v>1188</v>
      </c>
      <c r="AP77" s="81" t="b">
        <v>0</v>
      </c>
      <c r="AQ77" s="85" t="s">
        <v>1081</v>
      </c>
      <c r="AR77" s="81" t="s">
        <v>187</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2</v>
      </c>
      <c r="BF77" s="49">
        <v>0</v>
      </c>
      <c r="BG77" s="50">
        <v>0</v>
      </c>
      <c r="BH77" s="49">
        <v>0</v>
      </c>
      <c r="BI77" s="50">
        <v>0</v>
      </c>
      <c r="BJ77" s="49">
        <v>0</v>
      </c>
      <c r="BK77" s="50">
        <v>0</v>
      </c>
      <c r="BL77" s="49">
        <v>6</v>
      </c>
      <c r="BM77" s="50">
        <v>100</v>
      </c>
      <c r="BN77" s="49">
        <v>6</v>
      </c>
    </row>
    <row r="78" spans="1:66" ht="15">
      <c r="A78" s="65" t="s">
        <v>295</v>
      </c>
      <c r="B78" s="65" t="s">
        <v>295</v>
      </c>
      <c r="C78" s="66" t="s">
        <v>4392</v>
      </c>
      <c r="D78" s="67">
        <v>1</v>
      </c>
      <c r="E78" s="68" t="s">
        <v>132</v>
      </c>
      <c r="F78" s="69">
        <v>32</v>
      </c>
      <c r="G78" s="66" t="s">
        <v>51</v>
      </c>
      <c r="H78" s="70"/>
      <c r="I78" s="71"/>
      <c r="J78" s="71"/>
      <c r="K78" s="35" t="s">
        <v>65</v>
      </c>
      <c r="L78" s="79">
        <v>78</v>
      </c>
      <c r="M78" s="79"/>
      <c r="N78" s="73"/>
      <c r="O78" s="81" t="s">
        <v>187</v>
      </c>
      <c r="P78" s="83">
        <v>44644.29293981481</v>
      </c>
      <c r="Q78" s="81" t="s">
        <v>522</v>
      </c>
      <c r="R78" s="84" t="str">
        <f>HYPERLINK("https://www.reddit.com/r/Suomi/comments/tkwpbr/pentik_anis_astiasarja_vanhemmille_herrasmiehille/?utm_source=ifttt")</f>
        <v>https://www.reddit.com/r/Suomi/comments/tkwpbr/pentik_anis_astiasarja_vanhemmille_herrasmiehille/?utm_source=ifttt</v>
      </c>
      <c r="S78" s="81" t="s">
        <v>581</v>
      </c>
      <c r="T78" s="81"/>
      <c r="U78" s="81"/>
      <c r="V78" s="84" t="str">
        <f>HYPERLINK("https://pbs.twimg.com/profile_images/1372496681959256065/2SNvd5g3_normal.jpg")</f>
        <v>https://pbs.twimg.com/profile_images/1372496681959256065/2SNvd5g3_normal.jpg</v>
      </c>
      <c r="W78" s="83">
        <v>44644.29293981481</v>
      </c>
      <c r="X78" s="88">
        <v>44644</v>
      </c>
      <c r="Y78" s="85" t="s">
        <v>675</v>
      </c>
      <c r="Z78" s="84" t="str">
        <f>HYPERLINK("https://twitter.com/9h0hm/status/1506889006885314566")</f>
        <v>https://twitter.com/9h0hm/status/1506889006885314566</v>
      </c>
      <c r="AA78" s="81"/>
      <c r="AB78" s="81"/>
      <c r="AC78" s="85" t="s">
        <v>944</v>
      </c>
      <c r="AD78" s="81"/>
      <c r="AE78" s="81" t="b">
        <v>0</v>
      </c>
      <c r="AF78" s="81">
        <v>0</v>
      </c>
      <c r="AG78" s="85" t="s">
        <v>1162</v>
      </c>
      <c r="AH78" s="81" t="b">
        <v>0</v>
      </c>
      <c r="AI78" s="81" t="s">
        <v>1179</v>
      </c>
      <c r="AJ78" s="81"/>
      <c r="AK78" s="85" t="s">
        <v>1162</v>
      </c>
      <c r="AL78" s="81" t="b">
        <v>0</v>
      </c>
      <c r="AM78" s="81">
        <v>0</v>
      </c>
      <c r="AN78" s="85" t="s">
        <v>1162</v>
      </c>
      <c r="AO78" s="85" t="s">
        <v>1192</v>
      </c>
      <c r="AP78" s="81" t="b">
        <v>0</v>
      </c>
      <c r="AQ78" s="85" t="s">
        <v>944</v>
      </c>
      <c r="AR78" s="81" t="s">
        <v>187</v>
      </c>
      <c r="AS78" s="81">
        <v>0</v>
      </c>
      <c r="AT78" s="81">
        <v>0</v>
      </c>
      <c r="AU78" s="81"/>
      <c r="AV78" s="81"/>
      <c r="AW78" s="81"/>
      <c r="AX78" s="81"/>
      <c r="AY78" s="81"/>
      <c r="AZ78" s="81"/>
      <c r="BA78" s="81"/>
      <c r="BB78" s="81"/>
      <c r="BC78">
        <v>1</v>
      </c>
      <c r="BD78" s="80" t="str">
        <f>REPLACE(INDEX(GroupVertices[Group],MATCH(Edges[[#This Row],[Vertex 1]],GroupVertices[Vertex],0)),1,1,"")</f>
        <v>3</v>
      </c>
      <c r="BE78" s="80" t="str">
        <f>REPLACE(INDEX(GroupVertices[Group],MATCH(Edges[[#This Row],[Vertex 2]],GroupVertices[Vertex],0)),1,1,"")</f>
        <v>3</v>
      </c>
      <c r="BF78" s="49">
        <v>0</v>
      </c>
      <c r="BG78" s="50">
        <v>0</v>
      </c>
      <c r="BH78" s="49">
        <v>0</v>
      </c>
      <c r="BI78" s="50">
        <v>0</v>
      </c>
      <c r="BJ78" s="49">
        <v>0</v>
      </c>
      <c r="BK78" s="50">
        <v>0</v>
      </c>
      <c r="BL78" s="49">
        <v>13</v>
      </c>
      <c r="BM78" s="50">
        <v>100</v>
      </c>
      <c r="BN78" s="49">
        <v>13</v>
      </c>
    </row>
    <row r="79" spans="1:66" ht="15">
      <c r="A79" s="65" t="s">
        <v>296</v>
      </c>
      <c r="B79" s="65" t="s">
        <v>430</v>
      </c>
      <c r="C79" s="66" t="s">
        <v>4392</v>
      </c>
      <c r="D79" s="67">
        <v>1</v>
      </c>
      <c r="E79" s="68" t="s">
        <v>132</v>
      </c>
      <c r="F79" s="69">
        <v>32</v>
      </c>
      <c r="G79" s="66" t="s">
        <v>51</v>
      </c>
      <c r="H79" s="70"/>
      <c r="I79" s="71"/>
      <c r="J79" s="71"/>
      <c r="K79" s="35" t="s">
        <v>65</v>
      </c>
      <c r="L79" s="79">
        <v>79</v>
      </c>
      <c r="M79" s="79"/>
      <c r="N79" s="73"/>
      <c r="O79" s="81" t="s">
        <v>504</v>
      </c>
      <c r="P79" s="83">
        <v>44644.34924768518</v>
      </c>
      <c r="Q79" s="81" t="s">
        <v>512</v>
      </c>
      <c r="R79" s="81"/>
      <c r="S79" s="81"/>
      <c r="T79" s="81"/>
      <c r="U79" s="84" t="str">
        <f>HYPERLINK("https://pbs.twimg.com/media/FOiWtSbWYAkulkw.jpg")</f>
        <v>https://pbs.twimg.com/media/FOiWtSbWYAkulkw.jpg</v>
      </c>
      <c r="V79" s="84" t="str">
        <f>HYPERLINK("https://pbs.twimg.com/media/FOiWtSbWYAkulkw.jpg")</f>
        <v>https://pbs.twimg.com/media/FOiWtSbWYAkulkw.jpg</v>
      </c>
      <c r="W79" s="83">
        <v>44644.34924768518</v>
      </c>
      <c r="X79" s="88">
        <v>44644</v>
      </c>
      <c r="Y79" s="85" t="s">
        <v>676</v>
      </c>
      <c r="Z79" s="84" t="str">
        <f>HYPERLINK("https://twitter.com/kapt_suolisolmu/status/1506909413755564037")</f>
        <v>https://twitter.com/kapt_suolisolmu/status/1506909413755564037</v>
      </c>
      <c r="AA79" s="81"/>
      <c r="AB79" s="81"/>
      <c r="AC79" s="85" t="s">
        <v>945</v>
      </c>
      <c r="AD79" s="81"/>
      <c r="AE79" s="81" t="b">
        <v>0</v>
      </c>
      <c r="AF79" s="81">
        <v>0</v>
      </c>
      <c r="AG79" s="85" t="s">
        <v>1162</v>
      </c>
      <c r="AH79" s="81" t="b">
        <v>0</v>
      </c>
      <c r="AI79" s="81" t="s">
        <v>1179</v>
      </c>
      <c r="AJ79" s="81"/>
      <c r="AK79" s="85" t="s">
        <v>1162</v>
      </c>
      <c r="AL79" s="81" t="b">
        <v>0</v>
      </c>
      <c r="AM79" s="81">
        <v>68</v>
      </c>
      <c r="AN79" s="85" t="s">
        <v>1081</v>
      </c>
      <c r="AO79" s="85" t="s">
        <v>1188</v>
      </c>
      <c r="AP79" s="81" t="b">
        <v>0</v>
      </c>
      <c r="AQ79" s="85" t="s">
        <v>1081</v>
      </c>
      <c r="AR79" s="81" t="s">
        <v>187</v>
      </c>
      <c r="AS79" s="81">
        <v>0</v>
      </c>
      <c r="AT79" s="81">
        <v>0</v>
      </c>
      <c r="AU79" s="81"/>
      <c r="AV79" s="81"/>
      <c r="AW79" s="81"/>
      <c r="AX79" s="81"/>
      <c r="AY79" s="81"/>
      <c r="AZ79" s="81"/>
      <c r="BA79" s="81"/>
      <c r="BB79" s="81"/>
      <c r="BC79">
        <v>1</v>
      </c>
      <c r="BD79" s="80" t="str">
        <f>REPLACE(INDEX(GroupVertices[Group],MATCH(Edges[[#This Row],[Vertex 1]],GroupVertices[Vertex],0)),1,1,"")</f>
        <v>2</v>
      </c>
      <c r="BE79" s="80" t="str">
        <f>REPLACE(INDEX(GroupVertices[Group],MATCH(Edges[[#This Row],[Vertex 2]],GroupVertices[Vertex],0)),1,1,"")</f>
        <v>2</v>
      </c>
      <c r="BF79" s="49">
        <v>0</v>
      </c>
      <c r="BG79" s="50">
        <v>0</v>
      </c>
      <c r="BH79" s="49">
        <v>0</v>
      </c>
      <c r="BI79" s="50">
        <v>0</v>
      </c>
      <c r="BJ79" s="49">
        <v>0</v>
      </c>
      <c r="BK79" s="50">
        <v>0</v>
      </c>
      <c r="BL79" s="49">
        <v>6</v>
      </c>
      <c r="BM79" s="50">
        <v>100</v>
      </c>
      <c r="BN79" s="49">
        <v>6</v>
      </c>
    </row>
    <row r="80" spans="1:66" ht="15">
      <c r="A80" s="65" t="s">
        <v>297</v>
      </c>
      <c r="B80" s="65" t="s">
        <v>430</v>
      </c>
      <c r="C80" s="66" t="s">
        <v>4392</v>
      </c>
      <c r="D80" s="67">
        <v>1</v>
      </c>
      <c r="E80" s="68" t="s">
        <v>132</v>
      </c>
      <c r="F80" s="69">
        <v>32</v>
      </c>
      <c r="G80" s="66" t="s">
        <v>51</v>
      </c>
      <c r="H80" s="70"/>
      <c r="I80" s="71"/>
      <c r="J80" s="71"/>
      <c r="K80" s="35" t="s">
        <v>65</v>
      </c>
      <c r="L80" s="79">
        <v>80</v>
      </c>
      <c r="M80" s="79"/>
      <c r="N80" s="73"/>
      <c r="O80" s="81" t="s">
        <v>504</v>
      </c>
      <c r="P80" s="83">
        <v>44644.353171296294</v>
      </c>
      <c r="Q80" s="81" t="s">
        <v>512</v>
      </c>
      <c r="R80" s="81"/>
      <c r="S80" s="81"/>
      <c r="T80" s="81"/>
      <c r="U80" s="84" t="str">
        <f>HYPERLINK("https://pbs.twimg.com/media/FOiWtSbWYAkulkw.jpg")</f>
        <v>https://pbs.twimg.com/media/FOiWtSbWYAkulkw.jpg</v>
      </c>
      <c r="V80" s="84" t="str">
        <f>HYPERLINK("https://pbs.twimg.com/media/FOiWtSbWYAkulkw.jpg")</f>
        <v>https://pbs.twimg.com/media/FOiWtSbWYAkulkw.jpg</v>
      </c>
      <c r="W80" s="83">
        <v>44644.353171296294</v>
      </c>
      <c r="X80" s="88">
        <v>44644</v>
      </c>
      <c r="Y80" s="85" t="s">
        <v>677</v>
      </c>
      <c r="Z80" s="84" t="str">
        <f>HYPERLINK("https://twitter.com/ks_rautalinko/status/1506910835700121604")</f>
        <v>https://twitter.com/ks_rautalinko/status/1506910835700121604</v>
      </c>
      <c r="AA80" s="81"/>
      <c r="AB80" s="81"/>
      <c r="AC80" s="85" t="s">
        <v>946</v>
      </c>
      <c r="AD80" s="81"/>
      <c r="AE80" s="81" t="b">
        <v>0</v>
      </c>
      <c r="AF80" s="81">
        <v>0</v>
      </c>
      <c r="AG80" s="85" t="s">
        <v>1162</v>
      </c>
      <c r="AH80" s="81" t="b">
        <v>0</v>
      </c>
      <c r="AI80" s="81" t="s">
        <v>1179</v>
      </c>
      <c r="AJ80" s="81"/>
      <c r="AK80" s="85" t="s">
        <v>1162</v>
      </c>
      <c r="AL80" s="81" t="b">
        <v>0</v>
      </c>
      <c r="AM80" s="81">
        <v>68</v>
      </c>
      <c r="AN80" s="85" t="s">
        <v>1081</v>
      </c>
      <c r="AO80" s="85" t="s">
        <v>1190</v>
      </c>
      <c r="AP80" s="81" t="b">
        <v>0</v>
      </c>
      <c r="AQ80" s="85" t="s">
        <v>1081</v>
      </c>
      <c r="AR80" s="81" t="s">
        <v>187</v>
      </c>
      <c r="AS80" s="81">
        <v>0</v>
      </c>
      <c r="AT80" s="81">
        <v>0</v>
      </c>
      <c r="AU80" s="81"/>
      <c r="AV80" s="81"/>
      <c r="AW80" s="81"/>
      <c r="AX80" s="81"/>
      <c r="AY80" s="81"/>
      <c r="AZ80" s="81"/>
      <c r="BA80" s="81"/>
      <c r="BB80" s="81"/>
      <c r="BC80">
        <v>1</v>
      </c>
      <c r="BD80" s="80" t="str">
        <f>REPLACE(INDEX(GroupVertices[Group],MATCH(Edges[[#This Row],[Vertex 1]],GroupVertices[Vertex],0)),1,1,"")</f>
        <v>2</v>
      </c>
      <c r="BE80" s="80" t="str">
        <f>REPLACE(INDEX(GroupVertices[Group],MATCH(Edges[[#This Row],[Vertex 2]],GroupVertices[Vertex],0)),1,1,"")</f>
        <v>2</v>
      </c>
      <c r="BF80" s="49">
        <v>0</v>
      </c>
      <c r="BG80" s="50">
        <v>0</v>
      </c>
      <c r="BH80" s="49">
        <v>0</v>
      </c>
      <c r="BI80" s="50">
        <v>0</v>
      </c>
      <c r="BJ80" s="49">
        <v>0</v>
      </c>
      <c r="BK80" s="50">
        <v>0</v>
      </c>
      <c r="BL80" s="49">
        <v>6</v>
      </c>
      <c r="BM80" s="50">
        <v>100</v>
      </c>
      <c r="BN80" s="49">
        <v>6</v>
      </c>
    </row>
    <row r="81" spans="1:66" ht="15">
      <c r="A81" s="65" t="s">
        <v>298</v>
      </c>
      <c r="B81" s="65" t="s">
        <v>493</v>
      </c>
      <c r="C81" s="66" t="s">
        <v>4392</v>
      </c>
      <c r="D81" s="67">
        <v>1</v>
      </c>
      <c r="E81" s="68" t="s">
        <v>132</v>
      </c>
      <c r="F81" s="69">
        <v>32</v>
      </c>
      <c r="G81" s="66" t="s">
        <v>51</v>
      </c>
      <c r="H81" s="70"/>
      <c r="I81" s="71"/>
      <c r="J81" s="71"/>
      <c r="K81" s="35" t="s">
        <v>65</v>
      </c>
      <c r="L81" s="79">
        <v>81</v>
      </c>
      <c r="M81" s="79"/>
      <c r="N81" s="73"/>
      <c r="O81" s="81" t="s">
        <v>502</v>
      </c>
      <c r="P81" s="83">
        <v>44644.36833333333</v>
      </c>
      <c r="Q81" s="81" t="s">
        <v>523</v>
      </c>
      <c r="R81" s="81"/>
      <c r="S81" s="81"/>
      <c r="T81" s="81"/>
      <c r="U81" s="81"/>
      <c r="V81" s="84" t="str">
        <f>HYPERLINK("https://pbs.twimg.com/profile_images/1501549234734178315/T7t_77fh_normal.jpg")</f>
        <v>https://pbs.twimg.com/profile_images/1501549234734178315/T7t_77fh_normal.jpg</v>
      </c>
      <c r="W81" s="83">
        <v>44644.36833333333</v>
      </c>
      <c r="X81" s="88">
        <v>44644</v>
      </c>
      <c r="Y81" s="85" t="s">
        <v>678</v>
      </c>
      <c r="Z81" s="84" t="str">
        <f>HYPERLINK("https://twitter.com/ohtmaa/status/1506916329118474242")</f>
        <v>https://twitter.com/ohtmaa/status/1506916329118474242</v>
      </c>
      <c r="AA81" s="81"/>
      <c r="AB81" s="81"/>
      <c r="AC81" s="85" t="s">
        <v>947</v>
      </c>
      <c r="AD81" s="85" t="s">
        <v>1148</v>
      </c>
      <c r="AE81" s="81" t="b">
        <v>0</v>
      </c>
      <c r="AF81" s="81">
        <v>1</v>
      </c>
      <c r="AG81" s="85" t="s">
        <v>1166</v>
      </c>
      <c r="AH81" s="81" t="b">
        <v>0</v>
      </c>
      <c r="AI81" s="81" t="s">
        <v>1179</v>
      </c>
      <c r="AJ81" s="81"/>
      <c r="AK81" s="85" t="s">
        <v>1162</v>
      </c>
      <c r="AL81" s="81" t="b">
        <v>0</v>
      </c>
      <c r="AM81" s="81">
        <v>0</v>
      </c>
      <c r="AN81" s="85" t="s">
        <v>1162</v>
      </c>
      <c r="AO81" s="85" t="s">
        <v>1188</v>
      </c>
      <c r="AP81" s="81" t="b">
        <v>0</v>
      </c>
      <c r="AQ81" s="85" t="s">
        <v>1148</v>
      </c>
      <c r="AR81" s="81" t="s">
        <v>187</v>
      </c>
      <c r="AS81" s="81">
        <v>0</v>
      </c>
      <c r="AT81" s="81">
        <v>0</v>
      </c>
      <c r="AU81" s="81"/>
      <c r="AV81" s="81"/>
      <c r="AW81" s="81"/>
      <c r="AX81" s="81"/>
      <c r="AY81" s="81"/>
      <c r="AZ81" s="81"/>
      <c r="BA81" s="81"/>
      <c r="BB81" s="81"/>
      <c r="BC81">
        <v>1</v>
      </c>
      <c r="BD81" s="80" t="str">
        <f>REPLACE(INDEX(GroupVertices[Group],MATCH(Edges[[#This Row],[Vertex 1]],GroupVertices[Vertex],0)),1,1,"")</f>
        <v>19</v>
      </c>
      <c r="BE81" s="80" t="str">
        <f>REPLACE(INDEX(GroupVertices[Group],MATCH(Edges[[#This Row],[Vertex 2]],GroupVertices[Vertex],0)),1,1,"")</f>
        <v>19</v>
      </c>
      <c r="BF81" s="49">
        <v>0</v>
      </c>
      <c r="BG81" s="50">
        <v>0</v>
      </c>
      <c r="BH81" s="49">
        <v>0</v>
      </c>
      <c r="BI81" s="50">
        <v>0</v>
      </c>
      <c r="BJ81" s="49">
        <v>0</v>
      </c>
      <c r="BK81" s="50">
        <v>0</v>
      </c>
      <c r="BL81" s="49">
        <v>12</v>
      </c>
      <c r="BM81" s="50">
        <v>100</v>
      </c>
      <c r="BN81" s="49">
        <v>12</v>
      </c>
    </row>
    <row r="82" spans="1:66" ht="15">
      <c r="A82" s="65" t="s">
        <v>299</v>
      </c>
      <c r="B82" s="65" t="s">
        <v>299</v>
      </c>
      <c r="C82" s="66" t="s">
        <v>4392</v>
      </c>
      <c r="D82" s="67">
        <v>1</v>
      </c>
      <c r="E82" s="68" t="s">
        <v>132</v>
      </c>
      <c r="F82" s="69">
        <v>32</v>
      </c>
      <c r="G82" s="66" t="s">
        <v>51</v>
      </c>
      <c r="H82" s="70"/>
      <c r="I82" s="71"/>
      <c r="J82" s="71"/>
      <c r="K82" s="35" t="s">
        <v>65</v>
      </c>
      <c r="L82" s="79">
        <v>82</v>
      </c>
      <c r="M82" s="79"/>
      <c r="N82" s="73"/>
      <c r="O82" s="81" t="s">
        <v>187</v>
      </c>
      <c r="P82" s="83">
        <v>44644.376388888886</v>
      </c>
      <c r="Q82" s="81" t="s">
        <v>524</v>
      </c>
      <c r="R82" s="81"/>
      <c r="S82" s="81"/>
      <c r="T82" s="85" t="s">
        <v>591</v>
      </c>
      <c r="U82" s="84" t="str">
        <f>HYPERLINK("https://pbs.twimg.com/media/FOmnEXkWQAASQXA.jpg")</f>
        <v>https://pbs.twimg.com/media/FOmnEXkWQAASQXA.jpg</v>
      </c>
      <c r="V82" s="84" t="str">
        <f>HYPERLINK("https://pbs.twimg.com/media/FOmnEXkWQAASQXA.jpg")</f>
        <v>https://pbs.twimg.com/media/FOmnEXkWQAASQXA.jpg</v>
      </c>
      <c r="W82" s="83">
        <v>44644.376388888886</v>
      </c>
      <c r="X82" s="88">
        <v>44644</v>
      </c>
      <c r="Y82" s="85" t="s">
        <v>679</v>
      </c>
      <c r="Z82" s="84" t="str">
        <f>HYPERLINK("https://twitter.com/toukoq/status/1506919246693085189")</f>
        <v>https://twitter.com/toukoq/status/1506919246693085189</v>
      </c>
      <c r="AA82" s="81"/>
      <c r="AB82" s="81"/>
      <c r="AC82" s="85" t="s">
        <v>948</v>
      </c>
      <c r="AD82" s="81"/>
      <c r="AE82" s="81" t="b">
        <v>0</v>
      </c>
      <c r="AF82" s="81">
        <v>5</v>
      </c>
      <c r="AG82" s="85" t="s">
        <v>1162</v>
      </c>
      <c r="AH82" s="81" t="b">
        <v>0</v>
      </c>
      <c r="AI82" s="81" t="s">
        <v>1179</v>
      </c>
      <c r="AJ82" s="81"/>
      <c r="AK82" s="85" t="s">
        <v>1162</v>
      </c>
      <c r="AL82" s="81" t="b">
        <v>0</v>
      </c>
      <c r="AM82" s="81">
        <v>0</v>
      </c>
      <c r="AN82" s="85" t="s">
        <v>1162</v>
      </c>
      <c r="AO82" s="85" t="s">
        <v>1188</v>
      </c>
      <c r="AP82" s="81" t="b">
        <v>0</v>
      </c>
      <c r="AQ82" s="85" t="s">
        <v>948</v>
      </c>
      <c r="AR82" s="81" t="s">
        <v>187</v>
      </c>
      <c r="AS82" s="81">
        <v>0</v>
      </c>
      <c r="AT82" s="81">
        <v>0</v>
      </c>
      <c r="AU82" s="81" t="s">
        <v>1198</v>
      </c>
      <c r="AV82" s="81" t="s">
        <v>1201</v>
      </c>
      <c r="AW82" s="81" t="s">
        <v>1202</v>
      </c>
      <c r="AX82" s="81" t="s">
        <v>1203</v>
      </c>
      <c r="AY82" s="81" t="s">
        <v>1206</v>
      </c>
      <c r="AZ82" s="81" t="s">
        <v>1209</v>
      </c>
      <c r="BA82" s="81" t="s">
        <v>1212</v>
      </c>
      <c r="BB82" s="84" t="str">
        <f>HYPERLINK("https://api.twitter.com/1.1/geo/id/67459c9774b13146.json")</f>
        <v>https://api.twitter.com/1.1/geo/id/67459c9774b13146.json</v>
      </c>
      <c r="BC82">
        <v>1</v>
      </c>
      <c r="BD82" s="80" t="str">
        <f>REPLACE(INDEX(GroupVertices[Group],MATCH(Edges[[#This Row],[Vertex 1]],GroupVertices[Vertex],0)),1,1,"")</f>
        <v>3</v>
      </c>
      <c r="BE82" s="80" t="str">
        <f>REPLACE(INDEX(GroupVertices[Group],MATCH(Edges[[#This Row],[Vertex 2]],GroupVertices[Vertex],0)),1,1,"")</f>
        <v>3</v>
      </c>
      <c r="BF82" s="49">
        <v>0</v>
      </c>
      <c r="BG82" s="50">
        <v>0</v>
      </c>
      <c r="BH82" s="49">
        <v>0</v>
      </c>
      <c r="BI82" s="50">
        <v>0</v>
      </c>
      <c r="BJ82" s="49">
        <v>0</v>
      </c>
      <c r="BK82" s="50">
        <v>0</v>
      </c>
      <c r="BL82" s="49">
        <v>38</v>
      </c>
      <c r="BM82" s="50">
        <v>100</v>
      </c>
      <c r="BN82" s="49">
        <v>38</v>
      </c>
    </row>
    <row r="83" spans="1:66" ht="15">
      <c r="A83" s="65" t="s">
        <v>300</v>
      </c>
      <c r="B83" s="65" t="s">
        <v>430</v>
      </c>
      <c r="C83" s="66" t="s">
        <v>4392</v>
      </c>
      <c r="D83" s="67">
        <v>1</v>
      </c>
      <c r="E83" s="68" t="s">
        <v>132</v>
      </c>
      <c r="F83" s="69">
        <v>32</v>
      </c>
      <c r="G83" s="66" t="s">
        <v>51</v>
      </c>
      <c r="H83" s="70"/>
      <c r="I83" s="71"/>
      <c r="J83" s="71"/>
      <c r="K83" s="35" t="s">
        <v>65</v>
      </c>
      <c r="L83" s="79">
        <v>83</v>
      </c>
      <c r="M83" s="79"/>
      <c r="N83" s="73"/>
      <c r="O83" s="81" t="s">
        <v>504</v>
      </c>
      <c r="P83" s="83">
        <v>44644.39268518519</v>
      </c>
      <c r="Q83" s="81" t="s">
        <v>512</v>
      </c>
      <c r="R83" s="81"/>
      <c r="S83" s="81"/>
      <c r="T83" s="81"/>
      <c r="U83" s="84" t="str">
        <f>HYPERLINK("https://pbs.twimg.com/media/FOiWtSbWYAkulkw.jpg")</f>
        <v>https://pbs.twimg.com/media/FOiWtSbWYAkulkw.jpg</v>
      </c>
      <c r="V83" s="84" t="str">
        <f>HYPERLINK("https://pbs.twimg.com/media/FOiWtSbWYAkulkw.jpg")</f>
        <v>https://pbs.twimg.com/media/FOiWtSbWYAkulkw.jpg</v>
      </c>
      <c r="W83" s="83">
        <v>44644.39268518519</v>
      </c>
      <c r="X83" s="88">
        <v>44644</v>
      </c>
      <c r="Y83" s="85" t="s">
        <v>680</v>
      </c>
      <c r="Z83" s="84" t="str">
        <f>HYPERLINK("https://twitter.com/panuvatanen/status/1506925152055009285")</f>
        <v>https://twitter.com/panuvatanen/status/1506925152055009285</v>
      </c>
      <c r="AA83" s="81"/>
      <c r="AB83" s="81"/>
      <c r="AC83" s="85" t="s">
        <v>949</v>
      </c>
      <c r="AD83" s="81"/>
      <c r="AE83" s="81" t="b">
        <v>0</v>
      </c>
      <c r="AF83" s="81">
        <v>0</v>
      </c>
      <c r="AG83" s="85" t="s">
        <v>1162</v>
      </c>
      <c r="AH83" s="81" t="b">
        <v>0</v>
      </c>
      <c r="AI83" s="81" t="s">
        <v>1179</v>
      </c>
      <c r="AJ83" s="81"/>
      <c r="AK83" s="85" t="s">
        <v>1162</v>
      </c>
      <c r="AL83" s="81" t="b">
        <v>0</v>
      </c>
      <c r="AM83" s="81">
        <v>68</v>
      </c>
      <c r="AN83" s="85" t="s">
        <v>1081</v>
      </c>
      <c r="AO83" s="85" t="s">
        <v>1189</v>
      </c>
      <c r="AP83" s="81" t="b">
        <v>0</v>
      </c>
      <c r="AQ83" s="85" t="s">
        <v>1081</v>
      </c>
      <c r="AR83" s="81" t="s">
        <v>187</v>
      </c>
      <c r="AS83" s="81">
        <v>0</v>
      </c>
      <c r="AT83" s="81">
        <v>0</v>
      </c>
      <c r="AU83" s="81"/>
      <c r="AV83" s="81"/>
      <c r="AW83" s="81"/>
      <c r="AX83" s="81"/>
      <c r="AY83" s="81"/>
      <c r="AZ83" s="81"/>
      <c r="BA83" s="81"/>
      <c r="BB83" s="81"/>
      <c r="BC83">
        <v>1</v>
      </c>
      <c r="BD83" s="80" t="str">
        <f>REPLACE(INDEX(GroupVertices[Group],MATCH(Edges[[#This Row],[Vertex 1]],GroupVertices[Vertex],0)),1,1,"")</f>
        <v>2</v>
      </c>
      <c r="BE83" s="80" t="str">
        <f>REPLACE(INDEX(GroupVertices[Group],MATCH(Edges[[#This Row],[Vertex 2]],GroupVertices[Vertex],0)),1,1,"")</f>
        <v>2</v>
      </c>
      <c r="BF83" s="49">
        <v>0</v>
      </c>
      <c r="BG83" s="50">
        <v>0</v>
      </c>
      <c r="BH83" s="49">
        <v>0</v>
      </c>
      <c r="BI83" s="50">
        <v>0</v>
      </c>
      <c r="BJ83" s="49">
        <v>0</v>
      </c>
      <c r="BK83" s="50">
        <v>0</v>
      </c>
      <c r="BL83" s="49">
        <v>6</v>
      </c>
      <c r="BM83" s="50">
        <v>100</v>
      </c>
      <c r="BN83" s="49">
        <v>6</v>
      </c>
    </row>
    <row r="84" spans="1:66" ht="15">
      <c r="A84" s="65" t="s">
        <v>301</v>
      </c>
      <c r="B84" s="65" t="s">
        <v>430</v>
      </c>
      <c r="C84" s="66" t="s">
        <v>4392</v>
      </c>
      <c r="D84" s="67">
        <v>1</v>
      </c>
      <c r="E84" s="68" t="s">
        <v>132</v>
      </c>
      <c r="F84" s="69">
        <v>32</v>
      </c>
      <c r="G84" s="66" t="s">
        <v>51</v>
      </c>
      <c r="H84" s="70"/>
      <c r="I84" s="71"/>
      <c r="J84" s="71"/>
      <c r="K84" s="35" t="s">
        <v>65</v>
      </c>
      <c r="L84" s="79">
        <v>84</v>
      </c>
      <c r="M84" s="79"/>
      <c r="N84" s="73"/>
      <c r="O84" s="81" t="s">
        <v>504</v>
      </c>
      <c r="P84" s="83">
        <v>44644.40032407407</v>
      </c>
      <c r="Q84" s="81" t="s">
        <v>512</v>
      </c>
      <c r="R84" s="81"/>
      <c r="S84" s="81"/>
      <c r="T84" s="81"/>
      <c r="U84" s="84" t="str">
        <f>HYPERLINK("https://pbs.twimg.com/media/FOiWtSbWYAkulkw.jpg")</f>
        <v>https://pbs.twimg.com/media/FOiWtSbWYAkulkw.jpg</v>
      </c>
      <c r="V84" s="84" t="str">
        <f>HYPERLINK("https://pbs.twimg.com/media/FOiWtSbWYAkulkw.jpg")</f>
        <v>https://pbs.twimg.com/media/FOiWtSbWYAkulkw.jpg</v>
      </c>
      <c r="W84" s="83">
        <v>44644.40032407407</v>
      </c>
      <c r="X84" s="88">
        <v>44644</v>
      </c>
      <c r="Y84" s="85" t="s">
        <v>681</v>
      </c>
      <c r="Z84" s="84" t="str">
        <f>HYPERLINK("https://twitter.com/oonasofias/status/1506927922665639941")</f>
        <v>https://twitter.com/oonasofias/status/1506927922665639941</v>
      </c>
      <c r="AA84" s="81"/>
      <c r="AB84" s="81"/>
      <c r="AC84" s="85" t="s">
        <v>950</v>
      </c>
      <c r="AD84" s="81"/>
      <c r="AE84" s="81" t="b">
        <v>0</v>
      </c>
      <c r="AF84" s="81">
        <v>0</v>
      </c>
      <c r="AG84" s="85" t="s">
        <v>1162</v>
      </c>
      <c r="AH84" s="81" t="b">
        <v>0</v>
      </c>
      <c r="AI84" s="81" t="s">
        <v>1179</v>
      </c>
      <c r="AJ84" s="81"/>
      <c r="AK84" s="85" t="s">
        <v>1162</v>
      </c>
      <c r="AL84" s="81" t="b">
        <v>0</v>
      </c>
      <c r="AM84" s="81">
        <v>68</v>
      </c>
      <c r="AN84" s="85" t="s">
        <v>1081</v>
      </c>
      <c r="AO84" s="85" t="s">
        <v>1188</v>
      </c>
      <c r="AP84" s="81" t="b">
        <v>0</v>
      </c>
      <c r="AQ84" s="85" t="s">
        <v>1081</v>
      </c>
      <c r="AR84" s="81" t="s">
        <v>187</v>
      </c>
      <c r="AS84" s="81">
        <v>0</v>
      </c>
      <c r="AT84" s="81">
        <v>0</v>
      </c>
      <c r="AU84" s="81"/>
      <c r="AV84" s="81"/>
      <c r="AW84" s="81"/>
      <c r="AX84" s="81"/>
      <c r="AY84" s="81"/>
      <c r="AZ84" s="81"/>
      <c r="BA84" s="81"/>
      <c r="BB84" s="81"/>
      <c r="BC84">
        <v>1</v>
      </c>
      <c r="BD84" s="80" t="str">
        <f>REPLACE(INDEX(GroupVertices[Group],MATCH(Edges[[#This Row],[Vertex 1]],GroupVertices[Vertex],0)),1,1,"")</f>
        <v>2</v>
      </c>
      <c r="BE84" s="80" t="str">
        <f>REPLACE(INDEX(GroupVertices[Group],MATCH(Edges[[#This Row],[Vertex 2]],GroupVertices[Vertex],0)),1,1,"")</f>
        <v>2</v>
      </c>
      <c r="BF84" s="49">
        <v>0</v>
      </c>
      <c r="BG84" s="50">
        <v>0</v>
      </c>
      <c r="BH84" s="49">
        <v>0</v>
      </c>
      <c r="BI84" s="50">
        <v>0</v>
      </c>
      <c r="BJ84" s="49">
        <v>0</v>
      </c>
      <c r="BK84" s="50">
        <v>0</v>
      </c>
      <c r="BL84" s="49">
        <v>6</v>
      </c>
      <c r="BM84" s="50">
        <v>100</v>
      </c>
      <c r="BN84" s="49">
        <v>6</v>
      </c>
    </row>
    <row r="85" spans="1:66" ht="15">
      <c r="A85" s="65" t="s">
        <v>302</v>
      </c>
      <c r="B85" s="65" t="s">
        <v>302</v>
      </c>
      <c r="C85" s="66" t="s">
        <v>4392</v>
      </c>
      <c r="D85" s="67">
        <v>1</v>
      </c>
      <c r="E85" s="68" t="s">
        <v>132</v>
      </c>
      <c r="F85" s="69">
        <v>32</v>
      </c>
      <c r="G85" s="66" t="s">
        <v>51</v>
      </c>
      <c r="H85" s="70"/>
      <c r="I85" s="71"/>
      <c r="J85" s="71"/>
      <c r="K85" s="35" t="s">
        <v>65</v>
      </c>
      <c r="L85" s="79">
        <v>85</v>
      </c>
      <c r="M85" s="79"/>
      <c r="N85" s="73"/>
      <c r="O85" s="81" t="s">
        <v>187</v>
      </c>
      <c r="P85" s="83">
        <v>44644.435752314814</v>
      </c>
      <c r="Q85" s="81" t="s">
        <v>525</v>
      </c>
      <c r="R85" s="81"/>
      <c r="S85" s="81"/>
      <c r="T85" s="81"/>
      <c r="U85" s="81"/>
      <c r="V85" s="84" t="str">
        <f>HYPERLINK("https://pbs.twimg.com/profile_images/1507177337254678533/x1JkUHy4_normal.jpg")</f>
        <v>https://pbs.twimg.com/profile_images/1507177337254678533/x1JkUHy4_normal.jpg</v>
      </c>
      <c r="W85" s="83">
        <v>44644.435752314814</v>
      </c>
      <c r="X85" s="88">
        <v>44644</v>
      </c>
      <c r="Y85" s="85" t="s">
        <v>682</v>
      </c>
      <c r="Z85" s="84" t="str">
        <f>HYPERLINK("https://twitter.com/renykdewi/status/1506940761492709376")</f>
        <v>https://twitter.com/renykdewi/status/1506940761492709376</v>
      </c>
      <c r="AA85" s="81"/>
      <c r="AB85" s="81"/>
      <c r="AC85" s="85" t="s">
        <v>951</v>
      </c>
      <c r="AD85" s="81"/>
      <c r="AE85" s="81" t="b">
        <v>0</v>
      </c>
      <c r="AF85" s="81">
        <v>0</v>
      </c>
      <c r="AG85" s="85" t="s">
        <v>1162</v>
      </c>
      <c r="AH85" s="81" t="b">
        <v>0</v>
      </c>
      <c r="AI85" s="81" t="s">
        <v>1176</v>
      </c>
      <c r="AJ85" s="81"/>
      <c r="AK85" s="85" t="s">
        <v>1162</v>
      </c>
      <c r="AL85" s="81" t="b">
        <v>0</v>
      </c>
      <c r="AM85" s="81">
        <v>0</v>
      </c>
      <c r="AN85" s="85" t="s">
        <v>1162</v>
      </c>
      <c r="AO85" s="85" t="s">
        <v>1188</v>
      </c>
      <c r="AP85" s="81" t="b">
        <v>0</v>
      </c>
      <c r="AQ85" s="85" t="s">
        <v>951</v>
      </c>
      <c r="AR85" s="81" t="s">
        <v>187</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v>0</v>
      </c>
      <c r="BG85" s="50">
        <v>0</v>
      </c>
      <c r="BH85" s="49">
        <v>0</v>
      </c>
      <c r="BI85" s="50">
        <v>0</v>
      </c>
      <c r="BJ85" s="49">
        <v>0</v>
      </c>
      <c r="BK85" s="50">
        <v>0</v>
      </c>
      <c r="BL85" s="49">
        <v>11</v>
      </c>
      <c r="BM85" s="50">
        <v>100</v>
      </c>
      <c r="BN85" s="49">
        <v>11</v>
      </c>
    </row>
    <row r="86" spans="1:66" ht="15">
      <c r="A86" s="65" t="s">
        <v>303</v>
      </c>
      <c r="B86" s="65" t="s">
        <v>430</v>
      </c>
      <c r="C86" s="66" t="s">
        <v>4392</v>
      </c>
      <c r="D86" s="67">
        <v>1</v>
      </c>
      <c r="E86" s="68" t="s">
        <v>132</v>
      </c>
      <c r="F86" s="69">
        <v>32</v>
      </c>
      <c r="G86" s="66" t="s">
        <v>51</v>
      </c>
      <c r="H86" s="70"/>
      <c r="I86" s="71"/>
      <c r="J86" s="71"/>
      <c r="K86" s="35" t="s">
        <v>65</v>
      </c>
      <c r="L86" s="79">
        <v>86</v>
      </c>
      <c r="M86" s="79"/>
      <c r="N86" s="73"/>
      <c r="O86" s="81" t="s">
        <v>504</v>
      </c>
      <c r="P86" s="83">
        <v>44644.44957175926</v>
      </c>
      <c r="Q86" s="81" t="s">
        <v>512</v>
      </c>
      <c r="R86" s="81"/>
      <c r="S86" s="81"/>
      <c r="T86" s="81"/>
      <c r="U86" s="84" t="str">
        <f>HYPERLINK("https://pbs.twimg.com/media/FOiWtSbWYAkulkw.jpg")</f>
        <v>https://pbs.twimg.com/media/FOiWtSbWYAkulkw.jpg</v>
      </c>
      <c r="V86" s="84" t="str">
        <f>HYPERLINK("https://pbs.twimg.com/media/FOiWtSbWYAkulkw.jpg")</f>
        <v>https://pbs.twimg.com/media/FOiWtSbWYAkulkw.jpg</v>
      </c>
      <c r="W86" s="83">
        <v>44644.44957175926</v>
      </c>
      <c r="X86" s="88">
        <v>44644</v>
      </c>
      <c r="Y86" s="85" t="s">
        <v>683</v>
      </c>
      <c r="Z86" s="84" t="str">
        <f>HYPERLINK("https://twitter.com/miccelsson/status/1506945770058092544")</f>
        <v>https://twitter.com/miccelsson/status/1506945770058092544</v>
      </c>
      <c r="AA86" s="81"/>
      <c r="AB86" s="81"/>
      <c r="AC86" s="85" t="s">
        <v>952</v>
      </c>
      <c r="AD86" s="81"/>
      <c r="AE86" s="81" t="b">
        <v>0</v>
      </c>
      <c r="AF86" s="81">
        <v>0</v>
      </c>
      <c r="AG86" s="85" t="s">
        <v>1162</v>
      </c>
      <c r="AH86" s="81" t="b">
        <v>0</v>
      </c>
      <c r="AI86" s="81" t="s">
        <v>1179</v>
      </c>
      <c r="AJ86" s="81"/>
      <c r="AK86" s="85" t="s">
        <v>1162</v>
      </c>
      <c r="AL86" s="81" t="b">
        <v>0</v>
      </c>
      <c r="AM86" s="81">
        <v>68</v>
      </c>
      <c r="AN86" s="85" t="s">
        <v>1081</v>
      </c>
      <c r="AO86" s="85" t="s">
        <v>1190</v>
      </c>
      <c r="AP86" s="81" t="b">
        <v>0</v>
      </c>
      <c r="AQ86" s="85" t="s">
        <v>1081</v>
      </c>
      <c r="AR86" s="81" t="s">
        <v>187</v>
      </c>
      <c r="AS86" s="81">
        <v>0</v>
      </c>
      <c r="AT86" s="81">
        <v>0</v>
      </c>
      <c r="AU86" s="81"/>
      <c r="AV86" s="81"/>
      <c r="AW86" s="81"/>
      <c r="AX86" s="81"/>
      <c r="AY86" s="81"/>
      <c r="AZ86" s="81"/>
      <c r="BA86" s="81"/>
      <c r="BB86" s="81"/>
      <c r="BC86">
        <v>1</v>
      </c>
      <c r="BD86" s="80" t="str">
        <f>REPLACE(INDEX(GroupVertices[Group],MATCH(Edges[[#This Row],[Vertex 1]],GroupVertices[Vertex],0)),1,1,"")</f>
        <v>2</v>
      </c>
      <c r="BE86" s="80" t="str">
        <f>REPLACE(INDEX(GroupVertices[Group],MATCH(Edges[[#This Row],[Vertex 2]],GroupVertices[Vertex],0)),1,1,"")</f>
        <v>2</v>
      </c>
      <c r="BF86" s="49">
        <v>0</v>
      </c>
      <c r="BG86" s="50">
        <v>0</v>
      </c>
      <c r="BH86" s="49">
        <v>0</v>
      </c>
      <c r="BI86" s="50">
        <v>0</v>
      </c>
      <c r="BJ86" s="49">
        <v>0</v>
      </c>
      <c r="BK86" s="50">
        <v>0</v>
      </c>
      <c r="BL86" s="49">
        <v>6</v>
      </c>
      <c r="BM86" s="50">
        <v>100</v>
      </c>
      <c r="BN86" s="49">
        <v>6</v>
      </c>
    </row>
    <row r="87" spans="1:66" ht="15">
      <c r="A87" s="65" t="s">
        <v>304</v>
      </c>
      <c r="B87" s="65" t="s">
        <v>430</v>
      </c>
      <c r="C87" s="66" t="s">
        <v>4392</v>
      </c>
      <c r="D87" s="67">
        <v>1</v>
      </c>
      <c r="E87" s="68" t="s">
        <v>132</v>
      </c>
      <c r="F87" s="69">
        <v>32</v>
      </c>
      <c r="G87" s="66" t="s">
        <v>51</v>
      </c>
      <c r="H87" s="70"/>
      <c r="I87" s="71"/>
      <c r="J87" s="71"/>
      <c r="K87" s="35" t="s">
        <v>65</v>
      </c>
      <c r="L87" s="79">
        <v>87</v>
      </c>
      <c r="M87" s="79"/>
      <c r="N87" s="73"/>
      <c r="O87" s="81" t="s">
        <v>504</v>
      </c>
      <c r="P87" s="83">
        <v>44644.45141203704</v>
      </c>
      <c r="Q87" s="81" t="s">
        <v>512</v>
      </c>
      <c r="R87" s="81"/>
      <c r="S87" s="81"/>
      <c r="T87" s="81"/>
      <c r="U87" s="84" t="str">
        <f>HYPERLINK("https://pbs.twimg.com/media/FOiWtSbWYAkulkw.jpg")</f>
        <v>https://pbs.twimg.com/media/FOiWtSbWYAkulkw.jpg</v>
      </c>
      <c r="V87" s="84" t="str">
        <f>HYPERLINK("https://pbs.twimg.com/media/FOiWtSbWYAkulkw.jpg")</f>
        <v>https://pbs.twimg.com/media/FOiWtSbWYAkulkw.jpg</v>
      </c>
      <c r="W87" s="83">
        <v>44644.45141203704</v>
      </c>
      <c r="X87" s="88">
        <v>44644</v>
      </c>
      <c r="Y87" s="85" t="s">
        <v>684</v>
      </c>
      <c r="Z87" s="84" t="str">
        <f>HYPERLINK("https://twitter.com/tapoykko/status/1506946436281376773")</f>
        <v>https://twitter.com/tapoykko/status/1506946436281376773</v>
      </c>
      <c r="AA87" s="81"/>
      <c r="AB87" s="81"/>
      <c r="AC87" s="85" t="s">
        <v>953</v>
      </c>
      <c r="AD87" s="81"/>
      <c r="AE87" s="81" t="b">
        <v>0</v>
      </c>
      <c r="AF87" s="81">
        <v>0</v>
      </c>
      <c r="AG87" s="85" t="s">
        <v>1162</v>
      </c>
      <c r="AH87" s="81" t="b">
        <v>0</v>
      </c>
      <c r="AI87" s="81" t="s">
        <v>1179</v>
      </c>
      <c r="AJ87" s="81"/>
      <c r="AK87" s="85" t="s">
        <v>1162</v>
      </c>
      <c r="AL87" s="81" t="b">
        <v>0</v>
      </c>
      <c r="AM87" s="81">
        <v>68</v>
      </c>
      <c r="AN87" s="85" t="s">
        <v>1081</v>
      </c>
      <c r="AO87" s="85" t="s">
        <v>1188</v>
      </c>
      <c r="AP87" s="81" t="b">
        <v>0</v>
      </c>
      <c r="AQ87" s="85" t="s">
        <v>1081</v>
      </c>
      <c r="AR87" s="81" t="s">
        <v>187</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6</v>
      </c>
      <c r="BM87" s="50">
        <v>100</v>
      </c>
      <c r="BN87" s="49">
        <v>6</v>
      </c>
    </row>
    <row r="88" spans="1:66" ht="15">
      <c r="A88" s="65" t="s">
        <v>305</v>
      </c>
      <c r="B88" s="65" t="s">
        <v>430</v>
      </c>
      <c r="C88" s="66" t="s">
        <v>4392</v>
      </c>
      <c r="D88" s="67">
        <v>1</v>
      </c>
      <c r="E88" s="68" t="s">
        <v>132</v>
      </c>
      <c r="F88" s="69">
        <v>32</v>
      </c>
      <c r="G88" s="66" t="s">
        <v>51</v>
      </c>
      <c r="H88" s="70"/>
      <c r="I88" s="71"/>
      <c r="J88" s="71"/>
      <c r="K88" s="35" t="s">
        <v>65</v>
      </c>
      <c r="L88" s="79">
        <v>88</v>
      </c>
      <c r="M88" s="79"/>
      <c r="N88" s="73"/>
      <c r="O88" s="81" t="s">
        <v>504</v>
      </c>
      <c r="P88" s="83">
        <v>44644.451469907406</v>
      </c>
      <c r="Q88" s="81" t="s">
        <v>512</v>
      </c>
      <c r="R88" s="81"/>
      <c r="S88" s="81"/>
      <c r="T88" s="81"/>
      <c r="U88" s="84" t="str">
        <f>HYPERLINK("https://pbs.twimg.com/media/FOiWtSbWYAkulkw.jpg")</f>
        <v>https://pbs.twimg.com/media/FOiWtSbWYAkulkw.jpg</v>
      </c>
      <c r="V88" s="84" t="str">
        <f>HYPERLINK("https://pbs.twimg.com/media/FOiWtSbWYAkulkw.jpg")</f>
        <v>https://pbs.twimg.com/media/FOiWtSbWYAkulkw.jpg</v>
      </c>
      <c r="W88" s="83">
        <v>44644.451469907406</v>
      </c>
      <c r="X88" s="88">
        <v>44644</v>
      </c>
      <c r="Y88" s="85" t="s">
        <v>685</v>
      </c>
      <c r="Z88" s="84" t="str">
        <f>HYPERLINK("https://twitter.com/anttihaapala/status/1506946455591952384")</f>
        <v>https://twitter.com/anttihaapala/status/1506946455591952384</v>
      </c>
      <c r="AA88" s="81"/>
      <c r="AB88" s="81"/>
      <c r="AC88" s="85" t="s">
        <v>954</v>
      </c>
      <c r="AD88" s="81"/>
      <c r="AE88" s="81" t="b">
        <v>0</v>
      </c>
      <c r="AF88" s="81">
        <v>0</v>
      </c>
      <c r="AG88" s="85" t="s">
        <v>1162</v>
      </c>
      <c r="AH88" s="81" t="b">
        <v>0</v>
      </c>
      <c r="AI88" s="81" t="s">
        <v>1179</v>
      </c>
      <c r="AJ88" s="81"/>
      <c r="AK88" s="85" t="s">
        <v>1162</v>
      </c>
      <c r="AL88" s="81" t="b">
        <v>0</v>
      </c>
      <c r="AM88" s="81">
        <v>68</v>
      </c>
      <c r="AN88" s="85" t="s">
        <v>1081</v>
      </c>
      <c r="AO88" s="85" t="s">
        <v>1189</v>
      </c>
      <c r="AP88" s="81" t="b">
        <v>0</v>
      </c>
      <c r="AQ88" s="85" t="s">
        <v>1081</v>
      </c>
      <c r="AR88" s="81" t="s">
        <v>187</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v>0</v>
      </c>
      <c r="BG88" s="50">
        <v>0</v>
      </c>
      <c r="BH88" s="49">
        <v>0</v>
      </c>
      <c r="BI88" s="50">
        <v>0</v>
      </c>
      <c r="BJ88" s="49">
        <v>0</v>
      </c>
      <c r="BK88" s="50">
        <v>0</v>
      </c>
      <c r="BL88" s="49">
        <v>6</v>
      </c>
      <c r="BM88" s="50">
        <v>100</v>
      </c>
      <c r="BN88" s="49">
        <v>6</v>
      </c>
    </row>
    <row r="89" spans="1:66" ht="15">
      <c r="A89" s="65" t="s">
        <v>306</v>
      </c>
      <c r="B89" s="65" t="s">
        <v>430</v>
      </c>
      <c r="C89" s="66" t="s">
        <v>4392</v>
      </c>
      <c r="D89" s="67">
        <v>1</v>
      </c>
      <c r="E89" s="68" t="s">
        <v>132</v>
      </c>
      <c r="F89" s="69">
        <v>32</v>
      </c>
      <c r="G89" s="66" t="s">
        <v>51</v>
      </c>
      <c r="H89" s="70"/>
      <c r="I89" s="71"/>
      <c r="J89" s="71"/>
      <c r="K89" s="35" t="s">
        <v>65</v>
      </c>
      <c r="L89" s="79">
        <v>89</v>
      </c>
      <c r="M89" s="79"/>
      <c r="N89" s="73"/>
      <c r="O89" s="81" t="s">
        <v>504</v>
      </c>
      <c r="P89" s="83">
        <v>44644.54561342593</v>
      </c>
      <c r="Q89" s="81" t="s">
        <v>512</v>
      </c>
      <c r="R89" s="81"/>
      <c r="S89" s="81"/>
      <c r="T89" s="81"/>
      <c r="U89" s="84" t="str">
        <f>HYPERLINK("https://pbs.twimg.com/media/FOiWtSbWYAkulkw.jpg")</f>
        <v>https://pbs.twimg.com/media/FOiWtSbWYAkulkw.jpg</v>
      </c>
      <c r="V89" s="84" t="str">
        <f>HYPERLINK("https://pbs.twimg.com/media/FOiWtSbWYAkulkw.jpg")</f>
        <v>https://pbs.twimg.com/media/FOiWtSbWYAkulkw.jpg</v>
      </c>
      <c r="W89" s="83">
        <v>44644.54561342593</v>
      </c>
      <c r="X89" s="88">
        <v>44644</v>
      </c>
      <c r="Y89" s="85" t="s">
        <v>686</v>
      </c>
      <c r="Z89" s="84" t="str">
        <f>HYPERLINK("https://twitter.com/arielneulaniemi/status/1506980572169703425")</f>
        <v>https://twitter.com/arielneulaniemi/status/1506980572169703425</v>
      </c>
      <c r="AA89" s="81"/>
      <c r="AB89" s="81"/>
      <c r="AC89" s="85" t="s">
        <v>955</v>
      </c>
      <c r="AD89" s="81"/>
      <c r="AE89" s="81" t="b">
        <v>0</v>
      </c>
      <c r="AF89" s="81">
        <v>0</v>
      </c>
      <c r="AG89" s="85" t="s">
        <v>1162</v>
      </c>
      <c r="AH89" s="81" t="b">
        <v>0</v>
      </c>
      <c r="AI89" s="81" t="s">
        <v>1179</v>
      </c>
      <c r="AJ89" s="81"/>
      <c r="AK89" s="85" t="s">
        <v>1162</v>
      </c>
      <c r="AL89" s="81" t="b">
        <v>0</v>
      </c>
      <c r="AM89" s="81">
        <v>68</v>
      </c>
      <c r="AN89" s="85" t="s">
        <v>1081</v>
      </c>
      <c r="AO89" s="85" t="s">
        <v>1188</v>
      </c>
      <c r="AP89" s="81" t="b">
        <v>0</v>
      </c>
      <c r="AQ89" s="85" t="s">
        <v>1081</v>
      </c>
      <c r="AR89" s="81" t="s">
        <v>187</v>
      </c>
      <c r="AS89" s="81">
        <v>0</v>
      </c>
      <c r="AT89" s="81">
        <v>0</v>
      </c>
      <c r="AU89" s="81"/>
      <c r="AV89" s="81"/>
      <c r="AW89" s="81"/>
      <c r="AX89" s="81"/>
      <c r="AY89" s="81"/>
      <c r="AZ89" s="81"/>
      <c r="BA89" s="81"/>
      <c r="BB89" s="81"/>
      <c r="BC89">
        <v>1</v>
      </c>
      <c r="BD89" s="80" t="str">
        <f>REPLACE(INDEX(GroupVertices[Group],MATCH(Edges[[#This Row],[Vertex 1]],GroupVertices[Vertex],0)),1,1,"")</f>
        <v>2</v>
      </c>
      <c r="BE89" s="80" t="str">
        <f>REPLACE(INDEX(GroupVertices[Group],MATCH(Edges[[#This Row],[Vertex 2]],GroupVertices[Vertex],0)),1,1,"")</f>
        <v>2</v>
      </c>
      <c r="BF89" s="49">
        <v>0</v>
      </c>
      <c r="BG89" s="50">
        <v>0</v>
      </c>
      <c r="BH89" s="49">
        <v>0</v>
      </c>
      <c r="BI89" s="50">
        <v>0</v>
      </c>
      <c r="BJ89" s="49">
        <v>0</v>
      </c>
      <c r="BK89" s="50">
        <v>0</v>
      </c>
      <c r="BL89" s="49">
        <v>6</v>
      </c>
      <c r="BM89" s="50">
        <v>100</v>
      </c>
      <c r="BN89" s="49">
        <v>6</v>
      </c>
    </row>
    <row r="90" spans="1:66" ht="15">
      <c r="A90" s="65" t="s">
        <v>307</v>
      </c>
      <c r="B90" s="65" t="s">
        <v>307</v>
      </c>
      <c r="C90" s="66" t="s">
        <v>4392</v>
      </c>
      <c r="D90" s="67">
        <v>1</v>
      </c>
      <c r="E90" s="68" t="s">
        <v>132</v>
      </c>
      <c r="F90" s="69">
        <v>32</v>
      </c>
      <c r="G90" s="66" t="s">
        <v>51</v>
      </c>
      <c r="H90" s="70"/>
      <c r="I90" s="71"/>
      <c r="J90" s="71"/>
      <c r="K90" s="35" t="s">
        <v>65</v>
      </c>
      <c r="L90" s="79">
        <v>90</v>
      </c>
      <c r="M90" s="79"/>
      <c r="N90" s="73"/>
      <c r="O90" s="81" t="s">
        <v>187</v>
      </c>
      <c r="P90" s="83">
        <v>44644.57434027778</v>
      </c>
      <c r="Q90" s="81" t="s">
        <v>526</v>
      </c>
      <c r="R90" s="84" t="str">
        <f>HYPERLINK("https://www.hs.fi/talous/art-2000008704863.html?utm_source=dlvr.it&amp;utm_medium=twitter")</f>
        <v>https://www.hs.fi/talous/art-2000008704863.html?utm_source=dlvr.it&amp;utm_medium=twitter</v>
      </c>
      <c r="S90" s="81" t="s">
        <v>582</v>
      </c>
      <c r="T90" s="81"/>
      <c r="U90" s="81"/>
      <c r="V90" s="84" t="str">
        <f>HYPERLINK("https://pbs.twimg.com/profile_images/1339180305287176192/ntciyzsG_normal.jpg")</f>
        <v>https://pbs.twimg.com/profile_images/1339180305287176192/ntciyzsG_normal.jpg</v>
      </c>
      <c r="W90" s="83">
        <v>44644.57434027778</v>
      </c>
      <c r="X90" s="88">
        <v>44644</v>
      </c>
      <c r="Y90" s="85" t="s">
        <v>687</v>
      </c>
      <c r="Z90" s="84" t="str">
        <f>HYPERLINK("https://twitter.com/hs_visio/status/1506990981840728065")</f>
        <v>https://twitter.com/hs_visio/status/1506990981840728065</v>
      </c>
      <c r="AA90" s="81"/>
      <c r="AB90" s="81"/>
      <c r="AC90" s="85" t="s">
        <v>956</v>
      </c>
      <c r="AD90" s="81"/>
      <c r="AE90" s="81" t="b">
        <v>0</v>
      </c>
      <c r="AF90" s="81">
        <v>2</v>
      </c>
      <c r="AG90" s="85" t="s">
        <v>1162</v>
      </c>
      <c r="AH90" s="81" t="b">
        <v>0</v>
      </c>
      <c r="AI90" s="81" t="s">
        <v>1179</v>
      </c>
      <c r="AJ90" s="81"/>
      <c r="AK90" s="85" t="s">
        <v>1162</v>
      </c>
      <c r="AL90" s="81" t="b">
        <v>0</v>
      </c>
      <c r="AM90" s="81">
        <v>0</v>
      </c>
      <c r="AN90" s="85" t="s">
        <v>1162</v>
      </c>
      <c r="AO90" s="85" t="s">
        <v>1193</v>
      </c>
      <c r="AP90" s="81" t="b">
        <v>0</v>
      </c>
      <c r="AQ90" s="85" t="s">
        <v>956</v>
      </c>
      <c r="AR90" s="81" t="s">
        <v>187</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3</v>
      </c>
      <c r="BF90" s="49">
        <v>0</v>
      </c>
      <c r="BG90" s="50">
        <v>0</v>
      </c>
      <c r="BH90" s="49">
        <v>0</v>
      </c>
      <c r="BI90" s="50">
        <v>0</v>
      </c>
      <c r="BJ90" s="49">
        <v>0</v>
      </c>
      <c r="BK90" s="50">
        <v>0</v>
      </c>
      <c r="BL90" s="49">
        <v>17</v>
      </c>
      <c r="BM90" s="50">
        <v>100</v>
      </c>
      <c r="BN90" s="49">
        <v>17</v>
      </c>
    </row>
    <row r="91" spans="1:66" ht="15">
      <c r="A91" s="65" t="s">
        <v>308</v>
      </c>
      <c r="B91" s="65" t="s">
        <v>351</v>
      </c>
      <c r="C91" s="66" t="s">
        <v>4392</v>
      </c>
      <c r="D91" s="67">
        <v>1</v>
      </c>
      <c r="E91" s="68" t="s">
        <v>132</v>
      </c>
      <c r="F91" s="69">
        <v>32</v>
      </c>
      <c r="G91" s="66" t="s">
        <v>51</v>
      </c>
      <c r="H91" s="70"/>
      <c r="I91" s="71"/>
      <c r="J91" s="71"/>
      <c r="K91" s="35" t="s">
        <v>65</v>
      </c>
      <c r="L91" s="79">
        <v>91</v>
      </c>
      <c r="M91" s="79"/>
      <c r="N91" s="73"/>
      <c r="O91" s="81" t="s">
        <v>504</v>
      </c>
      <c r="P91" s="83">
        <v>44644.57525462963</v>
      </c>
      <c r="Q91" s="81" t="s">
        <v>527</v>
      </c>
      <c r="R91" s="84" t="str">
        <f>HYPERLINK("https://www.hs.fi/talous/art-2000008704863.html")</f>
        <v>https://www.hs.fi/talous/art-2000008704863.html</v>
      </c>
      <c r="S91" s="81" t="s">
        <v>582</v>
      </c>
      <c r="T91" s="81"/>
      <c r="U91" s="81"/>
      <c r="V91" s="84" t="str">
        <f>HYPERLINK("https://pbs.twimg.com/profile_images/1037265395235864576/cTAXyRIu_normal.jpg")</f>
        <v>https://pbs.twimg.com/profile_images/1037265395235864576/cTAXyRIu_normal.jpg</v>
      </c>
      <c r="W91" s="83">
        <v>44644.57525462963</v>
      </c>
      <c r="X91" s="88">
        <v>44644</v>
      </c>
      <c r="Y91" s="85" t="s">
        <v>688</v>
      </c>
      <c r="Z91" s="84" t="str">
        <f>HYPERLINK("https://twitter.com/vilpertt/status/1506991315787173893")</f>
        <v>https://twitter.com/vilpertt/status/1506991315787173893</v>
      </c>
      <c r="AA91" s="81"/>
      <c r="AB91" s="81"/>
      <c r="AC91" s="85" t="s">
        <v>957</v>
      </c>
      <c r="AD91" s="81"/>
      <c r="AE91" s="81" t="b">
        <v>0</v>
      </c>
      <c r="AF91" s="81">
        <v>0</v>
      </c>
      <c r="AG91" s="85" t="s">
        <v>1162</v>
      </c>
      <c r="AH91" s="81" t="b">
        <v>0</v>
      </c>
      <c r="AI91" s="81" t="s">
        <v>1179</v>
      </c>
      <c r="AJ91" s="81"/>
      <c r="AK91" s="85" t="s">
        <v>1162</v>
      </c>
      <c r="AL91" s="81" t="b">
        <v>0</v>
      </c>
      <c r="AM91" s="81">
        <v>6</v>
      </c>
      <c r="AN91" s="85" t="s">
        <v>1002</v>
      </c>
      <c r="AO91" s="85" t="s">
        <v>1190</v>
      </c>
      <c r="AP91" s="81" t="b">
        <v>0</v>
      </c>
      <c r="AQ91" s="85" t="s">
        <v>1002</v>
      </c>
      <c r="AR91" s="81" t="s">
        <v>187</v>
      </c>
      <c r="AS91" s="81">
        <v>0</v>
      </c>
      <c r="AT91" s="81">
        <v>0</v>
      </c>
      <c r="AU91" s="81"/>
      <c r="AV91" s="81"/>
      <c r="AW91" s="81"/>
      <c r="AX91" s="81"/>
      <c r="AY91" s="81"/>
      <c r="AZ91" s="81"/>
      <c r="BA91" s="81"/>
      <c r="BB91" s="81"/>
      <c r="BC91">
        <v>1</v>
      </c>
      <c r="BD91" s="80" t="str">
        <f>REPLACE(INDEX(GroupVertices[Group],MATCH(Edges[[#This Row],[Vertex 1]],GroupVertices[Vertex],0)),1,1,"")</f>
        <v>5</v>
      </c>
      <c r="BE91" s="80" t="str">
        <f>REPLACE(INDEX(GroupVertices[Group],MATCH(Edges[[#This Row],[Vertex 2]],GroupVertices[Vertex],0)),1,1,"")</f>
        <v>5</v>
      </c>
      <c r="BF91" s="49">
        <v>0</v>
      </c>
      <c r="BG91" s="50">
        <v>0</v>
      </c>
      <c r="BH91" s="49">
        <v>0</v>
      </c>
      <c r="BI91" s="50">
        <v>0</v>
      </c>
      <c r="BJ91" s="49">
        <v>0</v>
      </c>
      <c r="BK91" s="50">
        <v>0</v>
      </c>
      <c r="BL91" s="49">
        <v>16</v>
      </c>
      <c r="BM91" s="50">
        <v>100</v>
      </c>
      <c r="BN91" s="49">
        <v>16</v>
      </c>
    </row>
    <row r="92" spans="1:66" ht="15">
      <c r="A92" s="65" t="s">
        <v>309</v>
      </c>
      <c r="B92" s="65" t="s">
        <v>309</v>
      </c>
      <c r="C92" s="66" t="s">
        <v>4392</v>
      </c>
      <c r="D92" s="67">
        <v>1</v>
      </c>
      <c r="E92" s="68" t="s">
        <v>132</v>
      </c>
      <c r="F92" s="69">
        <v>32</v>
      </c>
      <c r="G92" s="66" t="s">
        <v>51</v>
      </c>
      <c r="H92" s="70"/>
      <c r="I92" s="71"/>
      <c r="J92" s="71"/>
      <c r="K92" s="35" t="s">
        <v>65</v>
      </c>
      <c r="L92" s="79">
        <v>92</v>
      </c>
      <c r="M92" s="79"/>
      <c r="N92" s="73"/>
      <c r="O92" s="81" t="s">
        <v>187</v>
      </c>
      <c r="P92" s="83">
        <v>44644.58611111111</v>
      </c>
      <c r="Q92" s="81" t="s">
        <v>528</v>
      </c>
      <c r="R92" s="84" t="str">
        <f>HYPERLINK("https://twitter.com/AlmaOnali/status/1506994320288759817")</f>
        <v>https://twitter.com/AlmaOnali/status/1506994320288759817</v>
      </c>
      <c r="S92" s="81" t="s">
        <v>580</v>
      </c>
      <c r="T92" s="81"/>
      <c r="U92" s="81"/>
      <c r="V92" s="84" t="str">
        <f>HYPERLINK("https://pbs.twimg.com/profile_images/492434663/jalanj_lki_normal.jpg")</f>
        <v>https://pbs.twimg.com/profile_images/492434663/jalanj_lki_normal.jpg</v>
      </c>
      <c r="W92" s="83">
        <v>44644.58611111111</v>
      </c>
      <c r="X92" s="88">
        <v>44644</v>
      </c>
      <c r="Y92" s="85" t="s">
        <v>689</v>
      </c>
      <c r="Z92" s="84" t="str">
        <f>HYPERLINK("https://twitter.com/pekkarahko/status/1506995246395179013")</f>
        <v>https://twitter.com/pekkarahko/status/1506995246395179013</v>
      </c>
      <c r="AA92" s="81"/>
      <c r="AB92" s="81"/>
      <c r="AC92" s="85" t="s">
        <v>958</v>
      </c>
      <c r="AD92" s="81"/>
      <c r="AE92" s="81" t="b">
        <v>0</v>
      </c>
      <c r="AF92" s="81">
        <v>2</v>
      </c>
      <c r="AG92" s="85" t="s">
        <v>1162</v>
      </c>
      <c r="AH92" s="81" t="b">
        <v>1</v>
      </c>
      <c r="AI92" s="81" t="s">
        <v>1179</v>
      </c>
      <c r="AJ92" s="81"/>
      <c r="AK92" s="85" t="s">
        <v>1134</v>
      </c>
      <c r="AL92" s="81" t="b">
        <v>0</v>
      </c>
      <c r="AM92" s="81">
        <v>0</v>
      </c>
      <c r="AN92" s="85" t="s">
        <v>1162</v>
      </c>
      <c r="AO92" s="85" t="s">
        <v>1189</v>
      </c>
      <c r="AP92" s="81" t="b">
        <v>0</v>
      </c>
      <c r="AQ92" s="85" t="s">
        <v>958</v>
      </c>
      <c r="AR92" s="81" t="s">
        <v>187</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c r="BF92" s="49">
        <v>0</v>
      </c>
      <c r="BG92" s="50">
        <v>0</v>
      </c>
      <c r="BH92" s="49">
        <v>0</v>
      </c>
      <c r="BI92" s="50">
        <v>0</v>
      </c>
      <c r="BJ92" s="49">
        <v>0</v>
      </c>
      <c r="BK92" s="50">
        <v>0</v>
      </c>
      <c r="BL92" s="49">
        <v>12</v>
      </c>
      <c r="BM92" s="50">
        <v>100</v>
      </c>
      <c r="BN92" s="49">
        <v>12</v>
      </c>
    </row>
    <row r="93" spans="1:66" ht="15">
      <c r="A93" s="65" t="s">
        <v>310</v>
      </c>
      <c r="B93" s="65" t="s">
        <v>310</v>
      </c>
      <c r="C93" s="66" t="s">
        <v>4392</v>
      </c>
      <c r="D93" s="67">
        <v>1</v>
      </c>
      <c r="E93" s="68" t="s">
        <v>132</v>
      </c>
      <c r="F93" s="69">
        <v>32</v>
      </c>
      <c r="G93" s="66" t="s">
        <v>51</v>
      </c>
      <c r="H93" s="70"/>
      <c r="I93" s="71"/>
      <c r="J93" s="71"/>
      <c r="K93" s="35" t="s">
        <v>65</v>
      </c>
      <c r="L93" s="79">
        <v>93</v>
      </c>
      <c r="M93" s="79"/>
      <c r="N93" s="73"/>
      <c r="O93" s="81" t="s">
        <v>187</v>
      </c>
      <c r="P93" s="83">
        <v>44644.58920138889</v>
      </c>
      <c r="Q93" s="81" t="s">
        <v>529</v>
      </c>
      <c r="R93" s="84" t="str">
        <f>HYPERLINK("https://suomalainentyo.fi/2022/03/24/kohti-hiilineutraalia-pentik-keramiikkatehdasta-ensimmaisena-askeleena-posion-tehtaalle-ekokompassi-ymparistosertifikaatti/")</f>
        <v>https://suomalainentyo.fi/2022/03/24/kohti-hiilineutraalia-pentik-keramiikkatehdasta-ensimmaisena-askeleena-posion-tehtaalle-ekokompassi-ymparistosertifikaatti/</v>
      </c>
      <c r="S93" s="81" t="s">
        <v>583</v>
      </c>
      <c r="T93" s="85" t="s">
        <v>592</v>
      </c>
      <c r="U93" s="81"/>
      <c r="V93" s="84" t="str">
        <f>HYPERLINK("https://pbs.twimg.com/profile_images/684385530944057344/Z1nbV-IU_normal.jpg")</f>
        <v>https://pbs.twimg.com/profile_images/684385530944057344/Z1nbV-IU_normal.jpg</v>
      </c>
      <c r="W93" s="83">
        <v>44644.58920138889</v>
      </c>
      <c r="X93" s="88">
        <v>44644</v>
      </c>
      <c r="Y93" s="85" t="s">
        <v>690</v>
      </c>
      <c r="Z93" s="84" t="str">
        <f>HYPERLINK("https://twitter.com/suomalainentyo/status/1506996369906712583")</f>
        <v>https://twitter.com/suomalainentyo/status/1506996369906712583</v>
      </c>
      <c r="AA93" s="81"/>
      <c r="AB93" s="81"/>
      <c r="AC93" s="85" t="s">
        <v>959</v>
      </c>
      <c r="AD93" s="81"/>
      <c r="AE93" s="81" t="b">
        <v>0</v>
      </c>
      <c r="AF93" s="81">
        <v>4</v>
      </c>
      <c r="AG93" s="85" t="s">
        <v>1162</v>
      </c>
      <c r="AH93" s="81" t="b">
        <v>0</v>
      </c>
      <c r="AI93" s="81" t="s">
        <v>1179</v>
      </c>
      <c r="AJ93" s="81"/>
      <c r="AK93" s="85" t="s">
        <v>1162</v>
      </c>
      <c r="AL93" s="81" t="b">
        <v>0</v>
      </c>
      <c r="AM93" s="81">
        <v>1</v>
      </c>
      <c r="AN93" s="85" t="s">
        <v>1162</v>
      </c>
      <c r="AO93" s="85" t="s">
        <v>1191</v>
      </c>
      <c r="AP93" s="81" t="b">
        <v>0</v>
      </c>
      <c r="AQ93" s="85" t="s">
        <v>959</v>
      </c>
      <c r="AR93" s="81" t="s">
        <v>187</v>
      </c>
      <c r="AS93" s="81">
        <v>0</v>
      </c>
      <c r="AT93" s="81">
        <v>0</v>
      </c>
      <c r="AU93" s="81"/>
      <c r="AV93" s="81"/>
      <c r="AW93" s="81"/>
      <c r="AX93" s="81"/>
      <c r="AY93" s="81"/>
      <c r="AZ93" s="81"/>
      <c r="BA93" s="81"/>
      <c r="BB93" s="81"/>
      <c r="BC93">
        <v>1</v>
      </c>
      <c r="BD93" s="80" t="str">
        <f>REPLACE(INDEX(GroupVertices[Group],MATCH(Edges[[#This Row],[Vertex 1]],GroupVertices[Vertex],0)),1,1,"")</f>
        <v>18</v>
      </c>
      <c r="BE93" s="80" t="str">
        <f>REPLACE(INDEX(GroupVertices[Group],MATCH(Edges[[#This Row],[Vertex 2]],GroupVertices[Vertex],0)),1,1,"")</f>
        <v>18</v>
      </c>
      <c r="BF93" s="49">
        <v>0</v>
      </c>
      <c r="BG93" s="50">
        <v>0</v>
      </c>
      <c r="BH93" s="49">
        <v>0</v>
      </c>
      <c r="BI93" s="50">
        <v>0</v>
      </c>
      <c r="BJ93" s="49">
        <v>0</v>
      </c>
      <c r="BK93" s="50">
        <v>0</v>
      </c>
      <c r="BL93" s="49">
        <v>13</v>
      </c>
      <c r="BM93" s="50">
        <v>100</v>
      </c>
      <c r="BN93" s="49">
        <v>13</v>
      </c>
    </row>
    <row r="94" spans="1:66" ht="15">
      <c r="A94" s="65" t="s">
        <v>311</v>
      </c>
      <c r="B94" s="65" t="s">
        <v>310</v>
      </c>
      <c r="C94" s="66" t="s">
        <v>4392</v>
      </c>
      <c r="D94" s="67">
        <v>1</v>
      </c>
      <c r="E94" s="68" t="s">
        <v>132</v>
      </c>
      <c r="F94" s="69">
        <v>32</v>
      </c>
      <c r="G94" s="66" t="s">
        <v>51</v>
      </c>
      <c r="H94" s="70"/>
      <c r="I94" s="71"/>
      <c r="J94" s="71"/>
      <c r="K94" s="35" t="s">
        <v>65</v>
      </c>
      <c r="L94" s="79">
        <v>94</v>
      </c>
      <c r="M94" s="79"/>
      <c r="N94" s="73"/>
      <c r="O94" s="81" t="s">
        <v>504</v>
      </c>
      <c r="P94" s="83">
        <v>44644.59484953704</v>
      </c>
      <c r="Q94" s="81" t="s">
        <v>529</v>
      </c>
      <c r="R94" s="84" t="str">
        <f>HYPERLINK("https://suomalainentyo.fi/2022/03/24/kohti-hiilineutraalia-pentik-keramiikkatehdasta-ensimmaisena-askeleena-posion-tehtaalle-ekokompassi-ymparistosertifikaatti/")</f>
        <v>https://suomalainentyo.fi/2022/03/24/kohti-hiilineutraalia-pentik-keramiikkatehdasta-ensimmaisena-askeleena-posion-tehtaalle-ekokompassi-ymparistosertifikaatti/</v>
      </c>
      <c r="S94" s="81" t="s">
        <v>583</v>
      </c>
      <c r="T94" s="85" t="s">
        <v>592</v>
      </c>
      <c r="U94" s="81"/>
      <c r="V94" s="84" t="str">
        <f>HYPERLINK("https://pbs.twimg.com/profile_images/644513025525813248/HsB8dB7j_normal.jpg")</f>
        <v>https://pbs.twimg.com/profile_images/644513025525813248/HsB8dB7j_normal.jpg</v>
      </c>
      <c r="W94" s="83">
        <v>44644.59484953704</v>
      </c>
      <c r="X94" s="88">
        <v>44644</v>
      </c>
      <c r="Y94" s="85" t="s">
        <v>691</v>
      </c>
      <c r="Z94" s="84" t="str">
        <f>HYPERLINK("https://twitter.com/designfromfinla/status/1506998415665905666")</f>
        <v>https://twitter.com/designfromfinla/status/1506998415665905666</v>
      </c>
      <c r="AA94" s="81"/>
      <c r="AB94" s="81"/>
      <c r="AC94" s="85" t="s">
        <v>960</v>
      </c>
      <c r="AD94" s="81"/>
      <c r="AE94" s="81" t="b">
        <v>0</v>
      </c>
      <c r="AF94" s="81">
        <v>0</v>
      </c>
      <c r="AG94" s="85" t="s">
        <v>1162</v>
      </c>
      <c r="AH94" s="81" t="b">
        <v>0</v>
      </c>
      <c r="AI94" s="81" t="s">
        <v>1179</v>
      </c>
      <c r="AJ94" s="81"/>
      <c r="AK94" s="85" t="s">
        <v>1162</v>
      </c>
      <c r="AL94" s="81" t="b">
        <v>0</v>
      </c>
      <c r="AM94" s="81">
        <v>1</v>
      </c>
      <c r="AN94" s="85" t="s">
        <v>959</v>
      </c>
      <c r="AO94" s="85" t="s">
        <v>1191</v>
      </c>
      <c r="AP94" s="81" t="b">
        <v>0</v>
      </c>
      <c r="AQ94" s="85" t="s">
        <v>959</v>
      </c>
      <c r="AR94" s="81" t="s">
        <v>187</v>
      </c>
      <c r="AS94" s="81">
        <v>0</v>
      </c>
      <c r="AT94" s="81">
        <v>0</v>
      </c>
      <c r="AU94" s="81"/>
      <c r="AV94" s="81"/>
      <c r="AW94" s="81"/>
      <c r="AX94" s="81"/>
      <c r="AY94" s="81"/>
      <c r="AZ94" s="81"/>
      <c r="BA94" s="81"/>
      <c r="BB94" s="81"/>
      <c r="BC94">
        <v>1</v>
      </c>
      <c r="BD94" s="80" t="str">
        <f>REPLACE(INDEX(GroupVertices[Group],MATCH(Edges[[#This Row],[Vertex 1]],GroupVertices[Vertex],0)),1,1,"")</f>
        <v>18</v>
      </c>
      <c r="BE94" s="80" t="str">
        <f>REPLACE(INDEX(GroupVertices[Group],MATCH(Edges[[#This Row],[Vertex 2]],GroupVertices[Vertex],0)),1,1,"")</f>
        <v>18</v>
      </c>
      <c r="BF94" s="49">
        <v>0</v>
      </c>
      <c r="BG94" s="50">
        <v>0</v>
      </c>
      <c r="BH94" s="49">
        <v>0</v>
      </c>
      <c r="BI94" s="50">
        <v>0</v>
      </c>
      <c r="BJ94" s="49">
        <v>0</v>
      </c>
      <c r="BK94" s="50">
        <v>0</v>
      </c>
      <c r="BL94" s="49">
        <v>13</v>
      </c>
      <c r="BM94" s="50">
        <v>100</v>
      </c>
      <c r="BN94" s="49">
        <v>13</v>
      </c>
    </row>
    <row r="95" spans="1:66" ht="15">
      <c r="A95" s="65" t="s">
        <v>312</v>
      </c>
      <c r="B95" s="65" t="s">
        <v>312</v>
      </c>
      <c r="C95" s="66" t="s">
        <v>4392</v>
      </c>
      <c r="D95" s="67">
        <v>1</v>
      </c>
      <c r="E95" s="68" t="s">
        <v>132</v>
      </c>
      <c r="F95" s="69">
        <v>32</v>
      </c>
      <c r="G95" s="66" t="s">
        <v>51</v>
      </c>
      <c r="H95" s="70"/>
      <c r="I95" s="71"/>
      <c r="J95" s="71"/>
      <c r="K95" s="35" t="s">
        <v>65</v>
      </c>
      <c r="L95" s="79">
        <v>95</v>
      </c>
      <c r="M95" s="79"/>
      <c r="N95" s="73"/>
      <c r="O95" s="81" t="s">
        <v>187</v>
      </c>
      <c r="P95" s="83">
        <v>44644.596666666665</v>
      </c>
      <c r="Q95" s="81" t="s">
        <v>530</v>
      </c>
      <c r="R95" s="84" t="str">
        <f>HYPERLINK("https://www.hs.fi/talous/art-2000008704863.html")</f>
        <v>https://www.hs.fi/talous/art-2000008704863.html</v>
      </c>
      <c r="S95" s="81" t="s">
        <v>582</v>
      </c>
      <c r="T95" s="81"/>
      <c r="U95" s="81"/>
      <c r="V95" s="84" t="str">
        <f>HYPERLINK("https://pbs.twimg.com/profile_images/1439313814881722371/vqQSrPec_normal.jpg")</f>
        <v>https://pbs.twimg.com/profile_images/1439313814881722371/vqQSrPec_normal.jpg</v>
      </c>
      <c r="W95" s="83">
        <v>44644.596666666665</v>
      </c>
      <c r="X95" s="88">
        <v>44644</v>
      </c>
      <c r="Y95" s="85" t="s">
        <v>692</v>
      </c>
      <c r="Z95" s="84" t="str">
        <f>HYPERLINK("https://twitter.com/yweuutiset/status/1506999074238742528")</f>
        <v>https://twitter.com/yweuutiset/status/1506999074238742528</v>
      </c>
      <c r="AA95" s="81"/>
      <c r="AB95" s="81"/>
      <c r="AC95" s="85" t="s">
        <v>961</v>
      </c>
      <c r="AD95" s="81"/>
      <c r="AE95" s="81" t="b">
        <v>0</v>
      </c>
      <c r="AF95" s="81">
        <v>0</v>
      </c>
      <c r="AG95" s="85" t="s">
        <v>1162</v>
      </c>
      <c r="AH95" s="81" t="b">
        <v>0</v>
      </c>
      <c r="AI95" s="81" t="s">
        <v>1179</v>
      </c>
      <c r="AJ95" s="81"/>
      <c r="AK95" s="85" t="s">
        <v>1162</v>
      </c>
      <c r="AL95" s="81" t="b">
        <v>0</v>
      </c>
      <c r="AM95" s="81">
        <v>0</v>
      </c>
      <c r="AN95" s="85" t="s">
        <v>1162</v>
      </c>
      <c r="AO95" s="85" t="s">
        <v>1194</v>
      </c>
      <c r="AP95" s="81" t="b">
        <v>0</v>
      </c>
      <c r="AQ95" s="85" t="s">
        <v>961</v>
      </c>
      <c r="AR95" s="81" t="s">
        <v>187</v>
      </c>
      <c r="AS95" s="81">
        <v>0</v>
      </c>
      <c r="AT95" s="81">
        <v>0</v>
      </c>
      <c r="AU95" s="81"/>
      <c r="AV95" s="81"/>
      <c r="AW95" s="81"/>
      <c r="AX95" s="81"/>
      <c r="AY95" s="81"/>
      <c r="AZ95" s="81"/>
      <c r="BA95" s="81"/>
      <c r="BB95" s="81"/>
      <c r="BC95">
        <v>1</v>
      </c>
      <c r="BD95" s="80" t="str">
        <f>REPLACE(INDEX(GroupVertices[Group],MATCH(Edges[[#This Row],[Vertex 1]],GroupVertices[Vertex],0)),1,1,"")</f>
        <v>3</v>
      </c>
      <c r="BE95" s="80" t="str">
        <f>REPLACE(INDEX(GroupVertices[Group],MATCH(Edges[[#This Row],[Vertex 2]],GroupVertices[Vertex],0)),1,1,"")</f>
        <v>3</v>
      </c>
      <c r="BF95" s="49">
        <v>0</v>
      </c>
      <c r="BG95" s="50">
        <v>0</v>
      </c>
      <c r="BH95" s="49">
        <v>0</v>
      </c>
      <c r="BI95" s="50">
        <v>0</v>
      </c>
      <c r="BJ95" s="49">
        <v>0</v>
      </c>
      <c r="BK95" s="50">
        <v>0</v>
      </c>
      <c r="BL95" s="49">
        <v>22</v>
      </c>
      <c r="BM95" s="50">
        <v>100</v>
      </c>
      <c r="BN95" s="49">
        <v>22</v>
      </c>
    </row>
    <row r="96" spans="1:66" ht="15">
      <c r="A96" s="65" t="s">
        <v>313</v>
      </c>
      <c r="B96" s="65" t="s">
        <v>494</v>
      </c>
      <c r="C96" s="66" t="s">
        <v>4392</v>
      </c>
      <c r="D96" s="67">
        <v>1</v>
      </c>
      <c r="E96" s="68" t="s">
        <v>132</v>
      </c>
      <c r="F96" s="69">
        <v>32</v>
      </c>
      <c r="G96" s="66" t="s">
        <v>51</v>
      </c>
      <c r="H96" s="70"/>
      <c r="I96" s="71"/>
      <c r="J96" s="71"/>
      <c r="K96" s="35" t="s">
        <v>65</v>
      </c>
      <c r="L96" s="79">
        <v>96</v>
      </c>
      <c r="M96" s="79"/>
      <c r="N96" s="73"/>
      <c r="O96" s="81" t="s">
        <v>502</v>
      </c>
      <c r="P96" s="83">
        <v>44644.61038194445</v>
      </c>
      <c r="Q96" s="81" t="s">
        <v>531</v>
      </c>
      <c r="R96" s="81"/>
      <c r="S96" s="81"/>
      <c r="T96" s="81"/>
      <c r="U96" s="81"/>
      <c r="V96" s="84" t="str">
        <f>HYPERLINK("https://pbs.twimg.com/profile_images/1421148655474679812/xWUTl7G__normal.jpg")</f>
        <v>https://pbs.twimg.com/profile_images/1421148655474679812/xWUTl7G__normal.jpg</v>
      </c>
      <c r="W96" s="83">
        <v>44644.61038194445</v>
      </c>
      <c r="X96" s="88">
        <v>44644</v>
      </c>
      <c r="Y96" s="85" t="s">
        <v>693</v>
      </c>
      <c r="Z96" s="84" t="str">
        <f>HYPERLINK("https://twitter.com/veikkakuusisto/status/1507004043431841803")</f>
        <v>https://twitter.com/veikkakuusisto/status/1507004043431841803</v>
      </c>
      <c r="AA96" s="81"/>
      <c r="AB96" s="81"/>
      <c r="AC96" s="85" t="s">
        <v>962</v>
      </c>
      <c r="AD96" s="85" t="s">
        <v>1149</v>
      </c>
      <c r="AE96" s="81" t="b">
        <v>0</v>
      </c>
      <c r="AF96" s="81">
        <v>2</v>
      </c>
      <c r="AG96" s="85" t="s">
        <v>1167</v>
      </c>
      <c r="AH96" s="81" t="b">
        <v>0</v>
      </c>
      <c r="AI96" s="81" t="s">
        <v>1179</v>
      </c>
      <c r="AJ96" s="81"/>
      <c r="AK96" s="85" t="s">
        <v>1162</v>
      </c>
      <c r="AL96" s="81" t="b">
        <v>0</v>
      </c>
      <c r="AM96" s="81">
        <v>0</v>
      </c>
      <c r="AN96" s="85" t="s">
        <v>1162</v>
      </c>
      <c r="AO96" s="85" t="s">
        <v>1189</v>
      </c>
      <c r="AP96" s="81" t="b">
        <v>0</v>
      </c>
      <c r="AQ96" s="85" t="s">
        <v>1149</v>
      </c>
      <c r="AR96" s="81" t="s">
        <v>187</v>
      </c>
      <c r="AS96" s="81">
        <v>0</v>
      </c>
      <c r="AT96" s="81">
        <v>0</v>
      </c>
      <c r="AU96" s="81"/>
      <c r="AV96" s="81"/>
      <c r="AW96" s="81"/>
      <c r="AX96" s="81"/>
      <c r="AY96" s="81"/>
      <c r="AZ96" s="81"/>
      <c r="BA96" s="81"/>
      <c r="BB96" s="81"/>
      <c r="BC96">
        <v>1</v>
      </c>
      <c r="BD96" s="80" t="str">
        <f>REPLACE(INDEX(GroupVertices[Group],MATCH(Edges[[#This Row],[Vertex 1]],GroupVertices[Vertex],0)),1,1,"")</f>
        <v>17</v>
      </c>
      <c r="BE96" s="80" t="str">
        <f>REPLACE(INDEX(GroupVertices[Group],MATCH(Edges[[#This Row],[Vertex 2]],GroupVertices[Vertex],0)),1,1,"")</f>
        <v>17</v>
      </c>
      <c r="BF96" s="49">
        <v>0</v>
      </c>
      <c r="BG96" s="50">
        <v>0</v>
      </c>
      <c r="BH96" s="49">
        <v>0</v>
      </c>
      <c r="BI96" s="50">
        <v>0</v>
      </c>
      <c r="BJ96" s="49">
        <v>0</v>
      </c>
      <c r="BK96" s="50">
        <v>0</v>
      </c>
      <c r="BL96" s="49">
        <v>33</v>
      </c>
      <c r="BM96" s="50">
        <v>100</v>
      </c>
      <c r="BN96" s="49">
        <v>33</v>
      </c>
    </row>
    <row r="97" spans="1:66" ht="15">
      <c r="A97" s="65" t="s">
        <v>314</v>
      </c>
      <c r="B97" s="65" t="s">
        <v>314</v>
      </c>
      <c r="C97" s="66" t="s">
        <v>4392</v>
      </c>
      <c r="D97" s="67">
        <v>1</v>
      </c>
      <c r="E97" s="68" t="s">
        <v>132</v>
      </c>
      <c r="F97" s="69">
        <v>32</v>
      </c>
      <c r="G97" s="66" t="s">
        <v>51</v>
      </c>
      <c r="H97" s="70"/>
      <c r="I97" s="71"/>
      <c r="J97" s="71"/>
      <c r="K97" s="35" t="s">
        <v>65</v>
      </c>
      <c r="L97" s="79">
        <v>97</v>
      </c>
      <c r="M97" s="79"/>
      <c r="N97" s="73"/>
      <c r="O97" s="81" t="s">
        <v>187</v>
      </c>
      <c r="P97" s="83">
        <v>44644.62273148148</v>
      </c>
      <c r="Q97" s="81" t="s">
        <v>532</v>
      </c>
      <c r="R97" s="81"/>
      <c r="S97" s="81"/>
      <c r="T97" s="81"/>
      <c r="U97" s="81"/>
      <c r="V97" s="84" t="str">
        <f>HYPERLINK("https://pbs.twimg.com/profile_images/1438558599568109574/YzdrE71X_normal.jpg")</f>
        <v>https://pbs.twimg.com/profile_images/1438558599568109574/YzdrE71X_normal.jpg</v>
      </c>
      <c r="W97" s="83">
        <v>44644.62273148148</v>
      </c>
      <c r="X97" s="88">
        <v>44644</v>
      </c>
      <c r="Y97" s="85" t="s">
        <v>694</v>
      </c>
      <c r="Z97" s="84" t="str">
        <f>HYPERLINK("https://twitter.com/jerej/status/1507008518754209793")</f>
        <v>https://twitter.com/jerej/status/1507008518754209793</v>
      </c>
      <c r="AA97" s="81"/>
      <c r="AB97" s="81"/>
      <c r="AC97" s="85" t="s">
        <v>963</v>
      </c>
      <c r="AD97" s="81"/>
      <c r="AE97" s="81" t="b">
        <v>0</v>
      </c>
      <c r="AF97" s="81">
        <v>1</v>
      </c>
      <c r="AG97" s="85" t="s">
        <v>1162</v>
      </c>
      <c r="AH97" s="81" t="b">
        <v>0</v>
      </c>
      <c r="AI97" s="81" t="s">
        <v>1179</v>
      </c>
      <c r="AJ97" s="81"/>
      <c r="AK97" s="85" t="s">
        <v>1162</v>
      </c>
      <c r="AL97" s="81" t="b">
        <v>0</v>
      </c>
      <c r="AM97" s="81">
        <v>0</v>
      </c>
      <c r="AN97" s="85" t="s">
        <v>1162</v>
      </c>
      <c r="AO97" s="85" t="s">
        <v>1190</v>
      </c>
      <c r="AP97" s="81" t="b">
        <v>0</v>
      </c>
      <c r="AQ97" s="85" t="s">
        <v>963</v>
      </c>
      <c r="AR97" s="81" t="s">
        <v>187</v>
      </c>
      <c r="AS97" s="81">
        <v>0</v>
      </c>
      <c r="AT97" s="81">
        <v>0</v>
      </c>
      <c r="AU97" s="81"/>
      <c r="AV97" s="81"/>
      <c r="AW97" s="81"/>
      <c r="AX97" s="81"/>
      <c r="AY97" s="81"/>
      <c r="AZ97" s="81"/>
      <c r="BA97" s="81"/>
      <c r="BB97" s="81"/>
      <c r="BC97">
        <v>1</v>
      </c>
      <c r="BD97" s="80" t="str">
        <f>REPLACE(INDEX(GroupVertices[Group],MATCH(Edges[[#This Row],[Vertex 1]],GroupVertices[Vertex],0)),1,1,"")</f>
        <v>3</v>
      </c>
      <c r="BE97" s="80" t="str">
        <f>REPLACE(INDEX(GroupVertices[Group],MATCH(Edges[[#This Row],[Vertex 2]],GroupVertices[Vertex],0)),1,1,"")</f>
        <v>3</v>
      </c>
      <c r="BF97" s="49">
        <v>0</v>
      </c>
      <c r="BG97" s="50">
        <v>0</v>
      </c>
      <c r="BH97" s="49">
        <v>0</v>
      </c>
      <c r="BI97" s="50">
        <v>0</v>
      </c>
      <c r="BJ97" s="49">
        <v>0</v>
      </c>
      <c r="BK97" s="50">
        <v>0</v>
      </c>
      <c r="BL97" s="49">
        <v>24</v>
      </c>
      <c r="BM97" s="50">
        <v>100</v>
      </c>
      <c r="BN97" s="49">
        <v>24</v>
      </c>
    </row>
    <row r="98" spans="1:66" ht="15">
      <c r="A98" s="65" t="s">
        <v>315</v>
      </c>
      <c r="B98" s="65" t="s">
        <v>315</v>
      </c>
      <c r="C98" s="66" t="s">
        <v>4392</v>
      </c>
      <c r="D98" s="67">
        <v>1</v>
      </c>
      <c r="E98" s="68" t="s">
        <v>132</v>
      </c>
      <c r="F98" s="69">
        <v>32</v>
      </c>
      <c r="G98" s="66" t="s">
        <v>51</v>
      </c>
      <c r="H98" s="70"/>
      <c r="I98" s="71"/>
      <c r="J98" s="71"/>
      <c r="K98" s="35" t="s">
        <v>65</v>
      </c>
      <c r="L98" s="79">
        <v>98</v>
      </c>
      <c r="M98" s="79"/>
      <c r="N98" s="73"/>
      <c r="O98" s="81" t="s">
        <v>187</v>
      </c>
      <c r="P98" s="83">
        <v>44644.62291666667</v>
      </c>
      <c r="Q98" s="81" t="s">
        <v>533</v>
      </c>
      <c r="R98" s="84" t="str">
        <f>HYPERLINK("https://twitter.com/joni_jaakkola/status/1506997454335627272")</f>
        <v>https://twitter.com/joni_jaakkola/status/1506997454335627272</v>
      </c>
      <c r="S98" s="81" t="s">
        <v>580</v>
      </c>
      <c r="T98" s="85" t="s">
        <v>593</v>
      </c>
      <c r="U98" s="81"/>
      <c r="V98" s="84" t="str">
        <f>HYPERLINK("https://pbs.twimg.com/profile_images/1423161504275259395/IjAqd_eQ_normal.jpg")</f>
        <v>https://pbs.twimg.com/profile_images/1423161504275259395/IjAqd_eQ_normal.jpg</v>
      </c>
      <c r="W98" s="83">
        <v>44644.62291666667</v>
      </c>
      <c r="X98" s="88">
        <v>44644</v>
      </c>
      <c r="Y98" s="85" t="s">
        <v>695</v>
      </c>
      <c r="Z98" s="84" t="str">
        <f>HYPERLINK("https://twitter.com/minnaruokonen1/status/1507008587029045257")</f>
        <v>https://twitter.com/minnaruokonen1/status/1507008587029045257</v>
      </c>
      <c r="AA98" s="81"/>
      <c r="AB98" s="81"/>
      <c r="AC98" s="85" t="s">
        <v>964</v>
      </c>
      <c r="AD98" s="81"/>
      <c r="AE98" s="81" t="b">
        <v>0</v>
      </c>
      <c r="AF98" s="81">
        <v>6</v>
      </c>
      <c r="AG98" s="85" t="s">
        <v>1162</v>
      </c>
      <c r="AH98" s="81" t="b">
        <v>1</v>
      </c>
      <c r="AI98" s="81" t="s">
        <v>1179</v>
      </c>
      <c r="AJ98" s="81"/>
      <c r="AK98" s="85" t="s">
        <v>1150</v>
      </c>
      <c r="AL98" s="81" t="b">
        <v>0</v>
      </c>
      <c r="AM98" s="81">
        <v>0</v>
      </c>
      <c r="AN98" s="85" t="s">
        <v>1162</v>
      </c>
      <c r="AO98" s="85" t="s">
        <v>1189</v>
      </c>
      <c r="AP98" s="81" t="b">
        <v>0</v>
      </c>
      <c r="AQ98" s="85" t="s">
        <v>964</v>
      </c>
      <c r="AR98" s="81" t="s">
        <v>187</v>
      </c>
      <c r="AS98" s="81">
        <v>0</v>
      </c>
      <c r="AT98" s="81">
        <v>0</v>
      </c>
      <c r="AU98" s="81"/>
      <c r="AV98" s="81"/>
      <c r="AW98" s="81"/>
      <c r="AX98" s="81"/>
      <c r="AY98" s="81"/>
      <c r="AZ98" s="81"/>
      <c r="BA98" s="81"/>
      <c r="BB98" s="81"/>
      <c r="BC98">
        <v>1</v>
      </c>
      <c r="BD98" s="80" t="str">
        <f>REPLACE(INDEX(GroupVertices[Group],MATCH(Edges[[#This Row],[Vertex 1]],GroupVertices[Vertex],0)),1,1,"")</f>
        <v>3</v>
      </c>
      <c r="BE98" s="80" t="str">
        <f>REPLACE(INDEX(GroupVertices[Group],MATCH(Edges[[#This Row],[Vertex 2]],GroupVertices[Vertex],0)),1,1,"")</f>
        <v>3</v>
      </c>
      <c r="BF98" s="49">
        <v>0</v>
      </c>
      <c r="BG98" s="50">
        <v>0</v>
      </c>
      <c r="BH98" s="49">
        <v>0</v>
      </c>
      <c r="BI98" s="50">
        <v>0</v>
      </c>
      <c r="BJ98" s="49">
        <v>0</v>
      </c>
      <c r="BK98" s="50">
        <v>0</v>
      </c>
      <c r="BL98" s="49">
        <v>10</v>
      </c>
      <c r="BM98" s="50">
        <v>100</v>
      </c>
      <c r="BN98" s="49">
        <v>10</v>
      </c>
    </row>
    <row r="99" spans="1:66" ht="15">
      <c r="A99" s="65" t="s">
        <v>316</v>
      </c>
      <c r="B99" s="65" t="s">
        <v>316</v>
      </c>
      <c r="C99" s="66" t="s">
        <v>4392</v>
      </c>
      <c r="D99" s="67">
        <v>1</v>
      </c>
      <c r="E99" s="68" t="s">
        <v>132</v>
      </c>
      <c r="F99" s="69">
        <v>32</v>
      </c>
      <c r="G99" s="66" t="s">
        <v>51</v>
      </c>
      <c r="H99" s="70"/>
      <c r="I99" s="71"/>
      <c r="J99" s="71"/>
      <c r="K99" s="35" t="s">
        <v>65</v>
      </c>
      <c r="L99" s="79">
        <v>99</v>
      </c>
      <c r="M99" s="79"/>
      <c r="N99" s="73"/>
      <c r="O99" s="81" t="s">
        <v>187</v>
      </c>
      <c r="P99" s="83">
        <v>44644.61853009259</v>
      </c>
      <c r="Q99" s="81" t="s">
        <v>534</v>
      </c>
      <c r="R99" s="84" t="str">
        <f>HYPERLINK("https://www.hs.fi/talous/art-2000008704863.html")</f>
        <v>https://www.hs.fi/talous/art-2000008704863.html</v>
      </c>
      <c r="S99" s="81" t="s">
        <v>582</v>
      </c>
      <c r="T99" s="81"/>
      <c r="U99" s="81"/>
      <c r="V99" s="84" t="str">
        <f>HYPERLINK("https://pbs.twimg.com/profile_images/1464337367402262528/i2-YNQ6G_normal.jpg")</f>
        <v>https://pbs.twimg.com/profile_images/1464337367402262528/i2-YNQ6G_normal.jpg</v>
      </c>
      <c r="W99" s="83">
        <v>44644.61853009259</v>
      </c>
      <c r="X99" s="88">
        <v>44644</v>
      </c>
      <c r="Y99" s="85" t="s">
        <v>696</v>
      </c>
      <c r="Z99" s="84" t="str">
        <f>HYPERLINK("https://twitter.com/hannuhynonen/status/1507006997320790022")</f>
        <v>https://twitter.com/hannuhynonen/status/1507006997320790022</v>
      </c>
      <c r="AA99" s="81"/>
      <c r="AB99" s="81"/>
      <c r="AC99" s="85" t="s">
        <v>965</v>
      </c>
      <c r="AD99" s="81"/>
      <c r="AE99" s="81" t="b">
        <v>0</v>
      </c>
      <c r="AF99" s="81">
        <v>15</v>
      </c>
      <c r="AG99" s="85" t="s">
        <v>1162</v>
      </c>
      <c r="AH99" s="81" t="b">
        <v>0</v>
      </c>
      <c r="AI99" s="81" t="s">
        <v>1182</v>
      </c>
      <c r="AJ99" s="81"/>
      <c r="AK99" s="85" t="s">
        <v>1162</v>
      </c>
      <c r="AL99" s="81" t="b">
        <v>0</v>
      </c>
      <c r="AM99" s="81">
        <v>1</v>
      </c>
      <c r="AN99" s="85" t="s">
        <v>1162</v>
      </c>
      <c r="AO99" s="85" t="s">
        <v>1188</v>
      </c>
      <c r="AP99" s="81" t="b">
        <v>0</v>
      </c>
      <c r="AQ99" s="85" t="s">
        <v>965</v>
      </c>
      <c r="AR99" s="81" t="s">
        <v>187</v>
      </c>
      <c r="AS99" s="81">
        <v>0</v>
      </c>
      <c r="AT99" s="81">
        <v>0</v>
      </c>
      <c r="AU99" s="81"/>
      <c r="AV99" s="81"/>
      <c r="AW99" s="81"/>
      <c r="AX99" s="81"/>
      <c r="AY99" s="81"/>
      <c r="AZ99" s="81"/>
      <c r="BA99" s="81"/>
      <c r="BB99" s="81"/>
      <c r="BC99">
        <v>1</v>
      </c>
      <c r="BD99" s="80" t="str">
        <f>REPLACE(INDEX(GroupVertices[Group],MATCH(Edges[[#This Row],[Vertex 1]],GroupVertices[Vertex],0)),1,1,"")</f>
        <v>16</v>
      </c>
      <c r="BE99" s="80" t="str">
        <f>REPLACE(INDEX(GroupVertices[Group],MATCH(Edges[[#This Row],[Vertex 2]],GroupVertices[Vertex],0)),1,1,"")</f>
        <v>16</v>
      </c>
      <c r="BF99" s="49">
        <v>0</v>
      </c>
      <c r="BG99" s="50">
        <v>0</v>
      </c>
      <c r="BH99" s="49">
        <v>0</v>
      </c>
      <c r="BI99" s="50">
        <v>0</v>
      </c>
      <c r="BJ99" s="49">
        <v>0</v>
      </c>
      <c r="BK99" s="50">
        <v>0</v>
      </c>
      <c r="BL99" s="49">
        <v>4</v>
      </c>
      <c r="BM99" s="50">
        <v>100</v>
      </c>
      <c r="BN99" s="49">
        <v>4</v>
      </c>
    </row>
    <row r="100" spans="1:66" ht="15">
      <c r="A100" s="65" t="s">
        <v>317</v>
      </c>
      <c r="B100" s="65" t="s">
        <v>316</v>
      </c>
      <c r="C100" s="66" t="s">
        <v>4392</v>
      </c>
      <c r="D100" s="67">
        <v>1</v>
      </c>
      <c r="E100" s="68" t="s">
        <v>132</v>
      </c>
      <c r="F100" s="69">
        <v>32</v>
      </c>
      <c r="G100" s="66" t="s">
        <v>51</v>
      </c>
      <c r="H100" s="70"/>
      <c r="I100" s="71"/>
      <c r="J100" s="71"/>
      <c r="K100" s="35" t="s">
        <v>65</v>
      </c>
      <c r="L100" s="79">
        <v>100</v>
      </c>
      <c r="M100" s="79"/>
      <c r="N100" s="73"/>
      <c r="O100" s="81" t="s">
        <v>504</v>
      </c>
      <c r="P100" s="83">
        <v>44644.62546296296</v>
      </c>
      <c r="Q100" s="81" t="s">
        <v>534</v>
      </c>
      <c r="R100" s="84" t="str">
        <f>HYPERLINK("https://www.hs.fi/talous/art-2000008704863.html")</f>
        <v>https://www.hs.fi/talous/art-2000008704863.html</v>
      </c>
      <c r="S100" s="81" t="s">
        <v>582</v>
      </c>
      <c r="T100" s="81"/>
      <c r="U100" s="81"/>
      <c r="V100" s="84" t="str">
        <f>HYPERLINK("https://pbs.twimg.com/profile_images/1117825917420806145/_6AXDI8-_normal.jpg")</f>
        <v>https://pbs.twimg.com/profile_images/1117825917420806145/_6AXDI8-_normal.jpg</v>
      </c>
      <c r="W100" s="83">
        <v>44644.62546296296</v>
      </c>
      <c r="X100" s="88">
        <v>44644</v>
      </c>
      <c r="Y100" s="85" t="s">
        <v>697</v>
      </c>
      <c r="Z100" s="84" t="str">
        <f>HYPERLINK("https://twitter.com/teemu_lahtinen/status/1507009508739932171")</f>
        <v>https://twitter.com/teemu_lahtinen/status/1507009508739932171</v>
      </c>
      <c r="AA100" s="81"/>
      <c r="AB100" s="81"/>
      <c r="AC100" s="85" t="s">
        <v>966</v>
      </c>
      <c r="AD100" s="81"/>
      <c r="AE100" s="81" t="b">
        <v>0</v>
      </c>
      <c r="AF100" s="81">
        <v>0</v>
      </c>
      <c r="AG100" s="85" t="s">
        <v>1162</v>
      </c>
      <c r="AH100" s="81" t="b">
        <v>0</v>
      </c>
      <c r="AI100" s="81" t="s">
        <v>1182</v>
      </c>
      <c r="AJ100" s="81"/>
      <c r="AK100" s="85" t="s">
        <v>1162</v>
      </c>
      <c r="AL100" s="81" t="b">
        <v>0</v>
      </c>
      <c r="AM100" s="81">
        <v>1</v>
      </c>
      <c r="AN100" s="85" t="s">
        <v>965</v>
      </c>
      <c r="AO100" s="85" t="s">
        <v>1188</v>
      </c>
      <c r="AP100" s="81" t="b">
        <v>0</v>
      </c>
      <c r="AQ100" s="85" t="s">
        <v>965</v>
      </c>
      <c r="AR100" s="81" t="s">
        <v>187</v>
      </c>
      <c r="AS100" s="81">
        <v>0</v>
      </c>
      <c r="AT100" s="81">
        <v>0</v>
      </c>
      <c r="AU100" s="81"/>
      <c r="AV100" s="81"/>
      <c r="AW100" s="81"/>
      <c r="AX100" s="81"/>
      <c r="AY100" s="81"/>
      <c r="AZ100" s="81"/>
      <c r="BA100" s="81"/>
      <c r="BB100" s="81"/>
      <c r="BC100">
        <v>1</v>
      </c>
      <c r="BD100" s="80" t="str">
        <f>REPLACE(INDEX(GroupVertices[Group],MATCH(Edges[[#This Row],[Vertex 1]],GroupVertices[Vertex],0)),1,1,"")</f>
        <v>16</v>
      </c>
      <c r="BE100" s="80" t="str">
        <f>REPLACE(INDEX(GroupVertices[Group],MATCH(Edges[[#This Row],[Vertex 2]],GroupVertices[Vertex],0)),1,1,"")</f>
        <v>16</v>
      </c>
      <c r="BF100" s="49">
        <v>0</v>
      </c>
      <c r="BG100" s="50">
        <v>0</v>
      </c>
      <c r="BH100" s="49">
        <v>0</v>
      </c>
      <c r="BI100" s="50">
        <v>0</v>
      </c>
      <c r="BJ100" s="49">
        <v>0</v>
      </c>
      <c r="BK100" s="50">
        <v>0</v>
      </c>
      <c r="BL100" s="49">
        <v>4</v>
      </c>
      <c r="BM100" s="50">
        <v>100</v>
      </c>
      <c r="BN100" s="49">
        <v>4</v>
      </c>
    </row>
    <row r="101" spans="1:66" ht="15">
      <c r="A101" s="65" t="s">
        <v>318</v>
      </c>
      <c r="B101" s="65" t="s">
        <v>318</v>
      </c>
      <c r="C101" s="66" t="s">
        <v>4392</v>
      </c>
      <c r="D101" s="67">
        <v>1</v>
      </c>
      <c r="E101" s="68" t="s">
        <v>132</v>
      </c>
      <c r="F101" s="69">
        <v>32</v>
      </c>
      <c r="G101" s="66" t="s">
        <v>51</v>
      </c>
      <c r="H101" s="70"/>
      <c r="I101" s="71"/>
      <c r="J101" s="71"/>
      <c r="K101" s="35" t="s">
        <v>65</v>
      </c>
      <c r="L101" s="79">
        <v>101</v>
      </c>
      <c r="M101" s="79"/>
      <c r="N101" s="73"/>
      <c r="O101" s="81" t="s">
        <v>187</v>
      </c>
      <c r="P101" s="83">
        <v>44644.62900462963</v>
      </c>
      <c r="Q101" s="81" t="s">
        <v>535</v>
      </c>
      <c r="R101" s="84" t="str">
        <f>HYPERLINK("https://twitter.com/almaonali/status/1506994320288759817")</f>
        <v>https://twitter.com/almaonali/status/1506994320288759817</v>
      </c>
      <c r="S101" s="81" t="s">
        <v>580</v>
      </c>
      <c r="T101" s="81"/>
      <c r="U101" s="81"/>
      <c r="V101" s="84" t="str">
        <f>HYPERLINK("https://pbs.twimg.com/profile_images/851553343822606340/79dip-pq_normal.jpg")</f>
        <v>https://pbs.twimg.com/profile_images/851553343822606340/79dip-pq_normal.jpg</v>
      </c>
      <c r="W101" s="83">
        <v>44644.62900462963</v>
      </c>
      <c r="X101" s="88">
        <v>44644</v>
      </c>
      <c r="Y101" s="85" t="s">
        <v>698</v>
      </c>
      <c r="Z101" s="84" t="str">
        <f>HYPERLINK("https://twitter.com/teijalarikka/status/1507010791521734665")</f>
        <v>https://twitter.com/teijalarikka/status/1507010791521734665</v>
      </c>
      <c r="AA101" s="81"/>
      <c r="AB101" s="81"/>
      <c r="AC101" s="85" t="s">
        <v>967</v>
      </c>
      <c r="AD101" s="81"/>
      <c r="AE101" s="81" t="b">
        <v>0</v>
      </c>
      <c r="AF101" s="81">
        <v>0</v>
      </c>
      <c r="AG101" s="85" t="s">
        <v>1162</v>
      </c>
      <c r="AH101" s="81" t="b">
        <v>1</v>
      </c>
      <c r="AI101" s="81" t="s">
        <v>1179</v>
      </c>
      <c r="AJ101" s="81"/>
      <c r="AK101" s="85" t="s">
        <v>1134</v>
      </c>
      <c r="AL101" s="81" t="b">
        <v>0</v>
      </c>
      <c r="AM101" s="81">
        <v>0</v>
      </c>
      <c r="AN101" s="85" t="s">
        <v>1162</v>
      </c>
      <c r="AO101" s="85" t="s">
        <v>1190</v>
      </c>
      <c r="AP101" s="81" t="b">
        <v>0</v>
      </c>
      <c r="AQ101" s="85" t="s">
        <v>967</v>
      </c>
      <c r="AR101" s="81" t="s">
        <v>187</v>
      </c>
      <c r="AS101" s="81">
        <v>0</v>
      </c>
      <c r="AT101" s="81">
        <v>0</v>
      </c>
      <c r="AU101" s="81" t="s">
        <v>1199</v>
      </c>
      <c r="AV101" s="81" t="s">
        <v>1201</v>
      </c>
      <c r="AW101" s="81" t="s">
        <v>1202</v>
      </c>
      <c r="AX101" s="81" t="s">
        <v>1204</v>
      </c>
      <c r="AY101" s="81" t="s">
        <v>1207</v>
      </c>
      <c r="AZ101" s="81" t="s">
        <v>1210</v>
      </c>
      <c r="BA101" s="81" t="s">
        <v>1212</v>
      </c>
      <c r="BB101" s="84" t="str">
        <f>HYPERLINK("https://api.twitter.com/1.1/geo/id/46fab8d7e49bc8db.json")</f>
        <v>https://api.twitter.com/1.1/geo/id/46fab8d7e49bc8db.json</v>
      </c>
      <c r="BC101">
        <v>1</v>
      </c>
      <c r="BD101" s="80" t="str">
        <f>REPLACE(INDEX(GroupVertices[Group],MATCH(Edges[[#This Row],[Vertex 1]],GroupVertices[Vertex],0)),1,1,"")</f>
        <v>3</v>
      </c>
      <c r="BE101" s="80" t="str">
        <f>REPLACE(INDEX(GroupVertices[Group],MATCH(Edges[[#This Row],[Vertex 2]],GroupVertices[Vertex],0)),1,1,"")</f>
        <v>3</v>
      </c>
      <c r="BF101" s="49">
        <v>0</v>
      </c>
      <c r="BG101" s="50">
        <v>0</v>
      </c>
      <c r="BH101" s="49">
        <v>0</v>
      </c>
      <c r="BI101" s="50">
        <v>0</v>
      </c>
      <c r="BJ101" s="49">
        <v>0</v>
      </c>
      <c r="BK101" s="50">
        <v>0</v>
      </c>
      <c r="BL101" s="49">
        <v>7</v>
      </c>
      <c r="BM101" s="50">
        <v>100</v>
      </c>
      <c r="BN101" s="49">
        <v>7</v>
      </c>
    </row>
    <row r="102" spans="1:66" ht="15">
      <c r="A102" s="65" t="s">
        <v>319</v>
      </c>
      <c r="B102" s="65" t="s">
        <v>479</v>
      </c>
      <c r="C102" s="66" t="s">
        <v>4392</v>
      </c>
      <c r="D102" s="67">
        <v>1</v>
      </c>
      <c r="E102" s="68" t="s">
        <v>132</v>
      </c>
      <c r="F102" s="69">
        <v>32</v>
      </c>
      <c r="G102" s="66" t="s">
        <v>51</v>
      </c>
      <c r="H102" s="70"/>
      <c r="I102" s="71"/>
      <c r="J102" s="71"/>
      <c r="K102" s="35" t="s">
        <v>65</v>
      </c>
      <c r="L102" s="79">
        <v>102</v>
      </c>
      <c r="M102" s="79"/>
      <c r="N102" s="73"/>
      <c r="O102" s="81" t="s">
        <v>502</v>
      </c>
      <c r="P102" s="83">
        <v>44644.62920138889</v>
      </c>
      <c r="Q102" s="81" t="s">
        <v>536</v>
      </c>
      <c r="R102" s="81"/>
      <c r="S102" s="81"/>
      <c r="T102" s="81"/>
      <c r="U102" s="81"/>
      <c r="V102" s="84" t="str">
        <f>HYPERLINK("https://pbs.twimg.com/profile_images/1020996685659623429/kYDCqMfd_normal.jpg")</f>
        <v>https://pbs.twimg.com/profile_images/1020996685659623429/kYDCqMfd_normal.jpg</v>
      </c>
      <c r="W102" s="83">
        <v>44644.62920138889</v>
      </c>
      <c r="X102" s="88">
        <v>44644</v>
      </c>
      <c r="Y102" s="85" t="s">
        <v>699</v>
      </c>
      <c r="Z102" s="84" t="str">
        <f>HYPERLINK("https://twitter.com/anttivan/status/1507010862296432659")</f>
        <v>https://twitter.com/anttivan/status/1507010862296432659</v>
      </c>
      <c r="AA102" s="81"/>
      <c r="AB102" s="81"/>
      <c r="AC102" s="85" t="s">
        <v>968</v>
      </c>
      <c r="AD102" s="85" t="s">
        <v>1134</v>
      </c>
      <c r="AE102" s="81" t="b">
        <v>0</v>
      </c>
      <c r="AF102" s="81">
        <v>103</v>
      </c>
      <c r="AG102" s="85" t="s">
        <v>1168</v>
      </c>
      <c r="AH102" s="81" t="b">
        <v>0</v>
      </c>
      <c r="AI102" s="81" t="s">
        <v>1179</v>
      </c>
      <c r="AJ102" s="81"/>
      <c r="AK102" s="85" t="s">
        <v>1162</v>
      </c>
      <c r="AL102" s="81" t="b">
        <v>0</v>
      </c>
      <c r="AM102" s="81">
        <v>0</v>
      </c>
      <c r="AN102" s="85" t="s">
        <v>1162</v>
      </c>
      <c r="AO102" s="85" t="s">
        <v>1189</v>
      </c>
      <c r="AP102" s="81" t="b">
        <v>0</v>
      </c>
      <c r="AQ102" s="85" t="s">
        <v>1134</v>
      </c>
      <c r="AR102" s="81" t="s">
        <v>187</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0</v>
      </c>
      <c r="BG102" s="50">
        <v>0</v>
      </c>
      <c r="BH102" s="49">
        <v>0</v>
      </c>
      <c r="BI102" s="50">
        <v>0</v>
      </c>
      <c r="BJ102" s="49">
        <v>0</v>
      </c>
      <c r="BK102" s="50">
        <v>0</v>
      </c>
      <c r="BL102" s="49">
        <v>5</v>
      </c>
      <c r="BM102" s="50">
        <v>100</v>
      </c>
      <c r="BN102" s="49">
        <v>5</v>
      </c>
    </row>
    <row r="103" spans="1:66" ht="15">
      <c r="A103" s="65" t="s">
        <v>320</v>
      </c>
      <c r="B103" s="65" t="s">
        <v>479</v>
      </c>
      <c r="C103" s="66" t="s">
        <v>4392</v>
      </c>
      <c r="D103" s="67">
        <v>1</v>
      </c>
      <c r="E103" s="68" t="s">
        <v>132</v>
      </c>
      <c r="F103" s="69">
        <v>32</v>
      </c>
      <c r="G103" s="66" t="s">
        <v>51</v>
      </c>
      <c r="H103" s="70"/>
      <c r="I103" s="71"/>
      <c r="J103" s="71"/>
      <c r="K103" s="35" t="s">
        <v>65</v>
      </c>
      <c r="L103" s="79">
        <v>103</v>
      </c>
      <c r="M103" s="79"/>
      <c r="N103" s="73"/>
      <c r="O103" s="81" t="s">
        <v>502</v>
      </c>
      <c r="P103" s="83">
        <v>44644.63582175926</v>
      </c>
      <c r="Q103" s="81" t="s">
        <v>537</v>
      </c>
      <c r="R103" s="81"/>
      <c r="S103" s="81"/>
      <c r="T103" s="81"/>
      <c r="U103" s="81"/>
      <c r="V103" s="84" t="str">
        <f>HYPERLINK("https://pbs.twimg.com/profile_images/2920717158/53cd3c9ba217a78536b7f2797bcc5d6f_normal.jpeg")</f>
        <v>https://pbs.twimg.com/profile_images/2920717158/53cd3c9ba217a78536b7f2797bcc5d6f_normal.jpeg</v>
      </c>
      <c r="W103" s="83">
        <v>44644.63582175926</v>
      </c>
      <c r="X103" s="88">
        <v>44644</v>
      </c>
      <c r="Y103" s="85" t="s">
        <v>700</v>
      </c>
      <c r="Z103" s="84" t="str">
        <f>HYPERLINK("https://twitter.com/mikkostenlund/status/1507013261585047553")</f>
        <v>https://twitter.com/mikkostenlund/status/1507013261585047553</v>
      </c>
      <c r="AA103" s="81"/>
      <c r="AB103" s="81"/>
      <c r="AC103" s="85" t="s">
        <v>969</v>
      </c>
      <c r="AD103" s="85" t="s">
        <v>1134</v>
      </c>
      <c r="AE103" s="81" t="b">
        <v>0</v>
      </c>
      <c r="AF103" s="81">
        <v>63</v>
      </c>
      <c r="AG103" s="85" t="s">
        <v>1168</v>
      </c>
      <c r="AH103" s="81" t="b">
        <v>0</v>
      </c>
      <c r="AI103" s="81" t="s">
        <v>1179</v>
      </c>
      <c r="AJ103" s="81"/>
      <c r="AK103" s="85" t="s">
        <v>1162</v>
      </c>
      <c r="AL103" s="81" t="b">
        <v>0</v>
      </c>
      <c r="AM103" s="81">
        <v>0</v>
      </c>
      <c r="AN103" s="85" t="s">
        <v>1162</v>
      </c>
      <c r="AO103" s="85" t="s">
        <v>1190</v>
      </c>
      <c r="AP103" s="81" t="b">
        <v>0</v>
      </c>
      <c r="AQ103" s="85" t="s">
        <v>1134</v>
      </c>
      <c r="AR103" s="81" t="s">
        <v>187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0</v>
      </c>
      <c r="BG103" s="50">
        <v>0</v>
      </c>
      <c r="BH103" s="49">
        <v>0</v>
      </c>
      <c r="BI103" s="50">
        <v>0</v>
      </c>
      <c r="BJ103" s="49">
        <v>0</v>
      </c>
      <c r="BK103" s="50">
        <v>0</v>
      </c>
      <c r="BL103" s="49">
        <v>13</v>
      </c>
      <c r="BM103" s="50">
        <v>100</v>
      </c>
      <c r="BN103" s="49">
        <v>13</v>
      </c>
    </row>
    <row r="104" spans="1:66" ht="15">
      <c r="A104" s="65" t="s">
        <v>321</v>
      </c>
      <c r="B104" s="65" t="s">
        <v>351</v>
      </c>
      <c r="C104" s="66" t="s">
        <v>4392</v>
      </c>
      <c r="D104" s="67">
        <v>1</v>
      </c>
      <c r="E104" s="68" t="s">
        <v>132</v>
      </c>
      <c r="F104" s="69">
        <v>32</v>
      </c>
      <c r="G104" s="66" t="s">
        <v>51</v>
      </c>
      <c r="H104" s="70"/>
      <c r="I104" s="71"/>
      <c r="J104" s="71"/>
      <c r="K104" s="35" t="s">
        <v>65</v>
      </c>
      <c r="L104" s="79">
        <v>104</v>
      </c>
      <c r="M104" s="79"/>
      <c r="N104" s="73"/>
      <c r="O104" s="81" t="s">
        <v>504</v>
      </c>
      <c r="P104" s="83">
        <v>44644.63884259259</v>
      </c>
      <c r="Q104" s="81" t="s">
        <v>527</v>
      </c>
      <c r="R104" s="84" t="str">
        <f>HYPERLINK("https://www.hs.fi/talous/art-2000008704863.html")</f>
        <v>https://www.hs.fi/talous/art-2000008704863.html</v>
      </c>
      <c r="S104" s="81" t="s">
        <v>582</v>
      </c>
      <c r="T104" s="81"/>
      <c r="U104" s="81"/>
      <c r="V104" s="84" t="str">
        <f>HYPERLINK("https://pbs.twimg.com/profile_images/1297247892374249472/GUejHBBh_normal.jpg")</f>
        <v>https://pbs.twimg.com/profile_images/1297247892374249472/GUejHBBh_normal.jpg</v>
      </c>
      <c r="W104" s="83">
        <v>44644.63884259259</v>
      </c>
      <c r="X104" s="88">
        <v>44644</v>
      </c>
      <c r="Y104" s="85" t="s">
        <v>701</v>
      </c>
      <c r="Z104" s="84" t="str">
        <f>HYPERLINK("https://twitter.com/elina_hjr/status/1507014356323614727")</f>
        <v>https://twitter.com/elina_hjr/status/1507014356323614727</v>
      </c>
      <c r="AA104" s="81"/>
      <c r="AB104" s="81"/>
      <c r="AC104" s="85" t="s">
        <v>970</v>
      </c>
      <c r="AD104" s="81"/>
      <c r="AE104" s="81" t="b">
        <v>0</v>
      </c>
      <c r="AF104" s="81">
        <v>0</v>
      </c>
      <c r="AG104" s="85" t="s">
        <v>1162</v>
      </c>
      <c r="AH104" s="81" t="b">
        <v>0</v>
      </c>
      <c r="AI104" s="81" t="s">
        <v>1179</v>
      </c>
      <c r="AJ104" s="81"/>
      <c r="AK104" s="85" t="s">
        <v>1162</v>
      </c>
      <c r="AL104" s="81" t="b">
        <v>0</v>
      </c>
      <c r="AM104" s="81">
        <v>6</v>
      </c>
      <c r="AN104" s="85" t="s">
        <v>1002</v>
      </c>
      <c r="AO104" s="85" t="s">
        <v>1188</v>
      </c>
      <c r="AP104" s="81" t="b">
        <v>0</v>
      </c>
      <c r="AQ104" s="85" t="s">
        <v>1002</v>
      </c>
      <c r="AR104" s="81" t="s">
        <v>187</v>
      </c>
      <c r="AS104" s="81">
        <v>0</v>
      </c>
      <c r="AT104" s="81">
        <v>0</v>
      </c>
      <c r="AU104" s="81"/>
      <c r="AV104" s="81"/>
      <c r="AW104" s="81"/>
      <c r="AX104" s="81"/>
      <c r="AY104" s="81"/>
      <c r="AZ104" s="81"/>
      <c r="BA104" s="81"/>
      <c r="BB104" s="81"/>
      <c r="BC104">
        <v>1</v>
      </c>
      <c r="BD104" s="80" t="str">
        <f>REPLACE(INDEX(GroupVertices[Group],MATCH(Edges[[#This Row],[Vertex 1]],GroupVertices[Vertex],0)),1,1,"")</f>
        <v>5</v>
      </c>
      <c r="BE104" s="80" t="str">
        <f>REPLACE(INDEX(GroupVertices[Group],MATCH(Edges[[#This Row],[Vertex 2]],GroupVertices[Vertex],0)),1,1,"")</f>
        <v>5</v>
      </c>
      <c r="BF104" s="49">
        <v>0</v>
      </c>
      <c r="BG104" s="50">
        <v>0</v>
      </c>
      <c r="BH104" s="49">
        <v>0</v>
      </c>
      <c r="BI104" s="50">
        <v>0</v>
      </c>
      <c r="BJ104" s="49">
        <v>0</v>
      </c>
      <c r="BK104" s="50">
        <v>0</v>
      </c>
      <c r="BL104" s="49">
        <v>16</v>
      </c>
      <c r="BM104" s="50">
        <v>100</v>
      </c>
      <c r="BN104" s="49">
        <v>16</v>
      </c>
    </row>
    <row r="105" spans="1:66" ht="15">
      <c r="A105" s="65" t="s">
        <v>322</v>
      </c>
      <c r="B105" s="65" t="s">
        <v>322</v>
      </c>
      <c r="C105" s="66" t="s">
        <v>4392</v>
      </c>
      <c r="D105" s="67">
        <v>1</v>
      </c>
      <c r="E105" s="68" t="s">
        <v>132</v>
      </c>
      <c r="F105" s="69">
        <v>32</v>
      </c>
      <c r="G105" s="66" t="s">
        <v>51</v>
      </c>
      <c r="H105" s="70"/>
      <c r="I105" s="71"/>
      <c r="J105" s="71"/>
      <c r="K105" s="35" t="s">
        <v>65</v>
      </c>
      <c r="L105" s="79">
        <v>105</v>
      </c>
      <c r="M105" s="79"/>
      <c r="N105" s="73"/>
      <c r="O105" s="81" t="s">
        <v>187</v>
      </c>
      <c r="P105" s="83">
        <v>44644.652708333335</v>
      </c>
      <c r="Q105" s="81" t="s">
        <v>538</v>
      </c>
      <c r="R105" s="81"/>
      <c r="S105" s="81"/>
      <c r="T105" s="81"/>
      <c r="U105" s="81"/>
      <c r="V105" s="84" t="str">
        <f>HYPERLINK("https://pbs.twimg.com/profile_images/1494409752721432583/pEaCO6qJ_normal.jpg")</f>
        <v>https://pbs.twimg.com/profile_images/1494409752721432583/pEaCO6qJ_normal.jpg</v>
      </c>
      <c r="W105" s="83">
        <v>44644.652708333335</v>
      </c>
      <c r="X105" s="88">
        <v>44644</v>
      </c>
      <c r="Y105" s="85" t="s">
        <v>702</v>
      </c>
      <c r="Z105" s="84" t="str">
        <f>HYPERLINK("https://twitter.com/timopennanen/status/1507019384367157251")</f>
        <v>https://twitter.com/timopennanen/status/1507019384367157251</v>
      </c>
      <c r="AA105" s="81"/>
      <c r="AB105" s="81"/>
      <c r="AC105" s="85" t="s">
        <v>971</v>
      </c>
      <c r="AD105" s="81"/>
      <c r="AE105" s="81" t="b">
        <v>0</v>
      </c>
      <c r="AF105" s="81">
        <v>0</v>
      </c>
      <c r="AG105" s="85" t="s">
        <v>1162</v>
      </c>
      <c r="AH105" s="81" t="b">
        <v>0</v>
      </c>
      <c r="AI105" s="81" t="s">
        <v>1179</v>
      </c>
      <c r="AJ105" s="81"/>
      <c r="AK105" s="85" t="s">
        <v>1162</v>
      </c>
      <c r="AL105" s="81" t="b">
        <v>0</v>
      </c>
      <c r="AM105" s="81">
        <v>0</v>
      </c>
      <c r="AN105" s="85" t="s">
        <v>1162</v>
      </c>
      <c r="AO105" s="85" t="s">
        <v>1189</v>
      </c>
      <c r="AP105" s="81" t="b">
        <v>0</v>
      </c>
      <c r="AQ105" s="85" t="s">
        <v>971</v>
      </c>
      <c r="AR105" s="81" t="s">
        <v>187</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3</v>
      </c>
      <c r="BF105" s="49">
        <v>0</v>
      </c>
      <c r="BG105" s="50">
        <v>0</v>
      </c>
      <c r="BH105" s="49">
        <v>0</v>
      </c>
      <c r="BI105" s="50">
        <v>0</v>
      </c>
      <c r="BJ105" s="49">
        <v>0</v>
      </c>
      <c r="BK105" s="50">
        <v>0</v>
      </c>
      <c r="BL105" s="49">
        <v>16</v>
      </c>
      <c r="BM105" s="50">
        <v>100</v>
      </c>
      <c r="BN105" s="49">
        <v>16</v>
      </c>
    </row>
    <row r="106" spans="1:66" ht="15">
      <c r="A106" s="65" t="s">
        <v>323</v>
      </c>
      <c r="B106" s="65" t="s">
        <v>430</v>
      </c>
      <c r="C106" s="66" t="s">
        <v>4392</v>
      </c>
      <c r="D106" s="67">
        <v>1</v>
      </c>
      <c r="E106" s="68" t="s">
        <v>132</v>
      </c>
      <c r="F106" s="69">
        <v>32</v>
      </c>
      <c r="G106" s="66" t="s">
        <v>51</v>
      </c>
      <c r="H106" s="70"/>
      <c r="I106" s="71"/>
      <c r="J106" s="71"/>
      <c r="K106" s="35" t="s">
        <v>65</v>
      </c>
      <c r="L106" s="79">
        <v>106</v>
      </c>
      <c r="M106" s="79"/>
      <c r="N106" s="73"/>
      <c r="O106" s="81" t="s">
        <v>504</v>
      </c>
      <c r="P106" s="83">
        <v>44643.56428240741</v>
      </c>
      <c r="Q106" s="81" t="s">
        <v>512</v>
      </c>
      <c r="R106" s="81"/>
      <c r="S106" s="81"/>
      <c r="T106" s="81"/>
      <c r="U106" s="84" t="str">
        <f>HYPERLINK("https://pbs.twimg.com/media/FOiWtSbWYAkulkw.jpg")</f>
        <v>https://pbs.twimg.com/media/FOiWtSbWYAkulkw.jpg</v>
      </c>
      <c r="V106" s="84" t="str">
        <f>HYPERLINK("https://pbs.twimg.com/media/FOiWtSbWYAkulkw.jpg")</f>
        <v>https://pbs.twimg.com/media/FOiWtSbWYAkulkw.jpg</v>
      </c>
      <c r="W106" s="83">
        <v>44643.56428240741</v>
      </c>
      <c r="X106" s="88">
        <v>44643</v>
      </c>
      <c r="Y106" s="85" t="s">
        <v>703</v>
      </c>
      <c r="Z106" s="84" t="str">
        <f>HYPERLINK("https://twitter.com/koomikkokivi/status/1506624951952056325")</f>
        <v>https://twitter.com/koomikkokivi/status/1506624951952056325</v>
      </c>
      <c r="AA106" s="81"/>
      <c r="AB106" s="81"/>
      <c r="AC106" s="85" t="s">
        <v>972</v>
      </c>
      <c r="AD106" s="81"/>
      <c r="AE106" s="81" t="b">
        <v>0</v>
      </c>
      <c r="AF106" s="81">
        <v>0</v>
      </c>
      <c r="AG106" s="85" t="s">
        <v>1162</v>
      </c>
      <c r="AH106" s="81" t="b">
        <v>0</v>
      </c>
      <c r="AI106" s="81" t="s">
        <v>1179</v>
      </c>
      <c r="AJ106" s="81"/>
      <c r="AK106" s="85" t="s">
        <v>1162</v>
      </c>
      <c r="AL106" s="81" t="b">
        <v>0</v>
      </c>
      <c r="AM106" s="81">
        <v>68</v>
      </c>
      <c r="AN106" s="85" t="s">
        <v>1081</v>
      </c>
      <c r="AO106" s="85" t="s">
        <v>1188</v>
      </c>
      <c r="AP106" s="81" t="b">
        <v>0</v>
      </c>
      <c r="AQ106" s="85" t="s">
        <v>1081</v>
      </c>
      <c r="AR106" s="81" t="s">
        <v>187</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v>0</v>
      </c>
      <c r="BG106" s="50">
        <v>0</v>
      </c>
      <c r="BH106" s="49">
        <v>0</v>
      </c>
      <c r="BI106" s="50">
        <v>0</v>
      </c>
      <c r="BJ106" s="49">
        <v>0</v>
      </c>
      <c r="BK106" s="50">
        <v>0</v>
      </c>
      <c r="BL106" s="49">
        <v>6</v>
      </c>
      <c r="BM106" s="50">
        <v>100</v>
      </c>
      <c r="BN106" s="49">
        <v>6</v>
      </c>
    </row>
    <row r="107" spans="1:66" ht="15">
      <c r="A107" s="65" t="s">
        <v>323</v>
      </c>
      <c r="B107" s="65" t="s">
        <v>479</v>
      </c>
      <c r="C107" s="66" t="s">
        <v>4392</v>
      </c>
      <c r="D107" s="67">
        <v>1</v>
      </c>
      <c r="E107" s="68" t="s">
        <v>132</v>
      </c>
      <c r="F107" s="69">
        <v>32</v>
      </c>
      <c r="G107" s="66" t="s">
        <v>51</v>
      </c>
      <c r="H107" s="70"/>
      <c r="I107" s="71"/>
      <c r="J107" s="71"/>
      <c r="K107" s="35" t="s">
        <v>65</v>
      </c>
      <c r="L107" s="79">
        <v>107</v>
      </c>
      <c r="M107" s="79"/>
      <c r="N107" s="73"/>
      <c r="O107" s="81" t="s">
        <v>504</v>
      </c>
      <c r="P107" s="83">
        <v>44644.653912037036</v>
      </c>
      <c r="Q107" s="81" t="s">
        <v>539</v>
      </c>
      <c r="R107" s="84" t="str">
        <f>HYPERLINK("https://www.hs.fi/talous/art-2000008704863.html")</f>
        <v>https://www.hs.fi/talous/art-2000008704863.html</v>
      </c>
      <c r="S107" s="81" t="s">
        <v>582</v>
      </c>
      <c r="T107" s="81"/>
      <c r="U107" s="81"/>
      <c r="V107" s="84" t="str">
        <f>HYPERLINK("https://pbs.twimg.com/profile_images/1355447288580206594/Xq21nWwY_normal.jpg")</f>
        <v>https://pbs.twimg.com/profile_images/1355447288580206594/Xq21nWwY_normal.jpg</v>
      </c>
      <c r="W107" s="83">
        <v>44644.653912037036</v>
      </c>
      <c r="X107" s="88">
        <v>44644</v>
      </c>
      <c r="Y107" s="85" t="s">
        <v>704</v>
      </c>
      <c r="Z107" s="84" t="str">
        <f>HYPERLINK("https://twitter.com/koomikkokivi/status/1507019818460860424")</f>
        <v>https://twitter.com/koomikkokivi/status/1507019818460860424</v>
      </c>
      <c r="AA107" s="81"/>
      <c r="AB107" s="81"/>
      <c r="AC107" s="85" t="s">
        <v>973</v>
      </c>
      <c r="AD107" s="81"/>
      <c r="AE107" s="81" t="b">
        <v>0</v>
      </c>
      <c r="AF107" s="81">
        <v>0</v>
      </c>
      <c r="AG107" s="85" t="s">
        <v>1162</v>
      </c>
      <c r="AH107" s="81" t="b">
        <v>0</v>
      </c>
      <c r="AI107" s="81" t="s">
        <v>1179</v>
      </c>
      <c r="AJ107" s="81"/>
      <c r="AK107" s="85" t="s">
        <v>1162</v>
      </c>
      <c r="AL107" s="81" t="b">
        <v>0</v>
      </c>
      <c r="AM107" s="81">
        <v>103</v>
      </c>
      <c r="AN107" s="85" t="s">
        <v>1134</v>
      </c>
      <c r="AO107" s="85" t="s">
        <v>1188</v>
      </c>
      <c r="AP107" s="81" t="b">
        <v>0</v>
      </c>
      <c r="AQ107" s="85" t="s">
        <v>1134</v>
      </c>
      <c r="AR107" s="81" t="s">
        <v>187</v>
      </c>
      <c r="AS107" s="81">
        <v>0</v>
      </c>
      <c r="AT107" s="81">
        <v>0</v>
      </c>
      <c r="AU107" s="81"/>
      <c r="AV107" s="81"/>
      <c r="AW107" s="81"/>
      <c r="AX107" s="81"/>
      <c r="AY107" s="81"/>
      <c r="AZ107" s="81"/>
      <c r="BA107" s="81"/>
      <c r="BB107" s="81"/>
      <c r="BC107">
        <v>1</v>
      </c>
      <c r="BD107" s="80" t="str">
        <f>REPLACE(INDEX(GroupVertices[Group],MATCH(Edges[[#This Row],[Vertex 1]],GroupVertices[Vertex],0)),1,1,"")</f>
        <v>2</v>
      </c>
      <c r="BE107" s="80" t="str">
        <f>REPLACE(INDEX(GroupVertices[Group],MATCH(Edges[[#This Row],[Vertex 2]],GroupVertices[Vertex],0)),1,1,"")</f>
        <v>1</v>
      </c>
      <c r="BF107" s="49">
        <v>0</v>
      </c>
      <c r="BG107" s="50">
        <v>0</v>
      </c>
      <c r="BH107" s="49">
        <v>0</v>
      </c>
      <c r="BI107" s="50">
        <v>0</v>
      </c>
      <c r="BJ107" s="49">
        <v>0</v>
      </c>
      <c r="BK107" s="50">
        <v>0</v>
      </c>
      <c r="BL107" s="49">
        <v>33</v>
      </c>
      <c r="BM107" s="50">
        <v>100</v>
      </c>
      <c r="BN107" s="49">
        <v>33</v>
      </c>
    </row>
    <row r="108" spans="1:66" ht="15">
      <c r="A108" s="65" t="s">
        <v>324</v>
      </c>
      <c r="B108" s="65" t="s">
        <v>479</v>
      </c>
      <c r="C108" s="66" t="s">
        <v>4392</v>
      </c>
      <c r="D108" s="67">
        <v>1</v>
      </c>
      <c r="E108" s="68" t="s">
        <v>132</v>
      </c>
      <c r="F108" s="69">
        <v>32</v>
      </c>
      <c r="G108" s="66" t="s">
        <v>51</v>
      </c>
      <c r="H108" s="70"/>
      <c r="I108" s="71"/>
      <c r="J108" s="71"/>
      <c r="K108" s="35" t="s">
        <v>65</v>
      </c>
      <c r="L108" s="79">
        <v>108</v>
      </c>
      <c r="M108" s="79"/>
      <c r="N108" s="73"/>
      <c r="O108" s="81" t="s">
        <v>504</v>
      </c>
      <c r="P108" s="83">
        <v>44644.654814814814</v>
      </c>
      <c r="Q108" s="81" t="s">
        <v>539</v>
      </c>
      <c r="R108" s="84" t="str">
        <f>HYPERLINK("https://www.hs.fi/talous/art-2000008704863.html")</f>
        <v>https://www.hs.fi/talous/art-2000008704863.html</v>
      </c>
      <c r="S108" s="81" t="s">
        <v>582</v>
      </c>
      <c r="T108" s="81"/>
      <c r="U108" s="81"/>
      <c r="V108" s="84" t="str">
        <f>HYPERLINK("https://pbs.twimg.com/profile_images/1421916259051053062/_KIUh0wL_normal.jpg")</f>
        <v>https://pbs.twimg.com/profile_images/1421916259051053062/_KIUh0wL_normal.jpg</v>
      </c>
      <c r="W108" s="83">
        <v>44644.654814814814</v>
      </c>
      <c r="X108" s="88">
        <v>44644</v>
      </c>
      <c r="Y108" s="85" t="s">
        <v>705</v>
      </c>
      <c r="Z108" s="84" t="str">
        <f>HYPERLINK("https://twitter.com/symbaaliapina/status/1507020146858029069")</f>
        <v>https://twitter.com/symbaaliapina/status/1507020146858029069</v>
      </c>
      <c r="AA108" s="81"/>
      <c r="AB108" s="81"/>
      <c r="AC108" s="85" t="s">
        <v>974</v>
      </c>
      <c r="AD108" s="81"/>
      <c r="AE108" s="81" t="b">
        <v>0</v>
      </c>
      <c r="AF108" s="81">
        <v>0</v>
      </c>
      <c r="AG108" s="85" t="s">
        <v>1162</v>
      </c>
      <c r="AH108" s="81" t="b">
        <v>0</v>
      </c>
      <c r="AI108" s="81" t="s">
        <v>1179</v>
      </c>
      <c r="AJ108" s="81"/>
      <c r="AK108" s="85" t="s">
        <v>1162</v>
      </c>
      <c r="AL108" s="81" t="b">
        <v>0</v>
      </c>
      <c r="AM108" s="81">
        <v>103</v>
      </c>
      <c r="AN108" s="85" t="s">
        <v>1134</v>
      </c>
      <c r="AO108" s="85" t="s">
        <v>1189</v>
      </c>
      <c r="AP108" s="81" t="b">
        <v>0</v>
      </c>
      <c r="AQ108" s="85" t="s">
        <v>1134</v>
      </c>
      <c r="AR108" s="81" t="s">
        <v>187</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v>0</v>
      </c>
      <c r="BG108" s="50">
        <v>0</v>
      </c>
      <c r="BH108" s="49">
        <v>0</v>
      </c>
      <c r="BI108" s="50">
        <v>0</v>
      </c>
      <c r="BJ108" s="49">
        <v>0</v>
      </c>
      <c r="BK108" s="50">
        <v>0</v>
      </c>
      <c r="BL108" s="49">
        <v>33</v>
      </c>
      <c r="BM108" s="50">
        <v>100</v>
      </c>
      <c r="BN108" s="49">
        <v>33</v>
      </c>
    </row>
    <row r="109" spans="1:66" ht="15">
      <c r="A109" s="65" t="s">
        <v>325</v>
      </c>
      <c r="B109" s="65" t="s">
        <v>351</v>
      </c>
      <c r="C109" s="66" t="s">
        <v>4392</v>
      </c>
      <c r="D109" s="67">
        <v>1</v>
      </c>
      <c r="E109" s="68" t="s">
        <v>132</v>
      </c>
      <c r="F109" s="69">
        <v>32</v>
      </c>
      <c r="G109" s="66" t="s">
        <v>51</v>
      </c>
      <c r="H109" s="70"/>
      <c r="I109" s="71"/>
      <c r="J109" s="71"/>
      <c r="K109" s="35" t="s">
        <v>65</v>
      </c>
      <c r="L109" s="79">
        <v>109</v>
      </c>
      <c r="M109" s="79"/>
      <c r="N109" s="73"/>
      <c r="O109" s="81" t="s">
        <v>504</v>
      </c>
      <c r="P109" s="83">
        <v>44644.65594907408</v>
      </c>
      <c r="Q109" s="81" t="s">
        <v>527</v>
      </c>
      <c r="R109" s="84" t="str">
        <f>HYPERLINK("https://www.hs.fi/talous/art-2000008704863.html")</f>
        <v>https://www.hs.fi/talous/art-2000008704863.html</v>
      </c>
      <c r="S109" s="81" t="s">
        <v>582</v>
      </c>
      <c r="T109" s="81"/>
      <c r="U109" s="81"/>
      <c r="V109" s="84" t="str">
        <f>HYPERLINK("https://pbs.twimg.com/profile_images/2261017610/twitter_vee_normal.jpg")</f>
        <v>https://pbs.twimg.com/profile_images/2261017610/twitter_vee_normal.jpg</v>
      </c>
      <c r="W109" s="83">
        <v>44644.65594907408</v>
      </c>
      <c r="X109" s="88">
        <v>44644</v>
      </c>
      <c r="Y109" s="85" t="s">
        <v>706</v>
      </c>
      <c r="Z109" s="84" t="str">
        <f>HYPERLINK("https://twitter.com/vesavee/status/1507020555739873284")</f>
        <v>https://twitter.com/vesavee/status/1507020555739873284</v>
      </c>
      <c r="AA109" s="81"/>
      <c r="AB109" s="81"/>
      <c r="AC109" s="85" t="s">
        <v>975</v>
      </c>
      <c r="AD109" s="81"/>
      <c r="AE109" s="81" t="b">
        <v>0</v>
      </c>
      <c r="AF109" s="81">
        <v>0</v>
      </c>
      <c r="AG109" s="85" t="s">
        <v>1162</v>
      </c>
      <c r="AH109" s="81" t="b">
        <v>0</v>
      </c>
      <c r="AI109" s="81" t="s">
        <v>1179</v>
      </c>
      <c r="AJ109" s="81"/>
      <c r="AK109" s="85" t="s">
        <v>1162</v>
      </c>
      <c r="AL109" s="81" t="b">
        <v>0</v>
      </c>
      <c r="AM109" s="81">
        <v>6</v>
      </c>
      <c r="AN109" s="85" t="s">
        <v>1002</v>
      </c>
      <c r="AO109" s="85" t="s">
        <v>1190</v>
      </c>
      <c r="AP109" s="81" t="b">
        <v>0</v>
      </c>
      <c r="AQ109" s="85" t="s">
        <v>1002</v>
      </c>
      <c r="AR109" s="81" t="s">
        <v>187</v>
      </c>
      <c r="AS109" s="81">
        <v>0</v>
      </c>
      <c r="AT109" s="81">
        <v>0</v>
      </c>
      <c r="AU109" s="81"/>
      <c r="AV109" s="81"/>
      <c r="AW109" s="81"/>
      <c r="AX109" s="81"/>
      <c r="AY109" s="81"/>
      <c r="AZ109" s="81"/>
      <c r="BA109" s="81"/>
      <c r="BB109" s="81"/>
      <c r="BC109">
        <v>1</v>
      </c>
      <c r="BD109" s="80" t="str">
        <f>REPLACE(INDEX(GroupVertices[Group],MATCH(Edges[[#This Row],[Vertex 1]],GroupVertices[Vertex],0)),1,1,"")</f>
        <v>5</v>
      </c>
      <c r="BE109" s="80" t="str">
        <f>REPLACE(INDEX(GroupVertices[Group],MATCH(Edges[[#This Row],[Vertex 2]],GroupVertices[Vertex],0)),1,1,"")</f>
        <v>5</v>
      </c>
      <c r="BF109" s="49">
        <v>0</v>
      </c>
      <c r="BG109" s="50">
        <v>0</v>
      </c>
      <c r="BH109" s="49">
        <v>0</v>
      </c>
      <c r="BI109" s="50">
        <v>0</v>
      </c>
      <c r="BJ109" s="49">
        <v>0</v>
      </c>
      <c r="BK109" s="50">
        <v>0</v>
      </c>
      <c r="BL109" s="49">
        <v>16</v>
      </c>
      <c r="BM109" s="50">
        <v>100</v>
      </c>
      <c r="BN109" s="49">
        <v>16</v>
      </c>
    </row>
    <row r="110" spans="1:66" ht="15">
      <c r="A110" s="65" t="s">
        <v>326</v>
      </c>
      <c r="B110" s="65" t="s">
        <v>479</v>
      </c>
      <c r="C110" s="66" t="s">
        <v>4392</v>
      </c>
      <c r="D110" s="67">
        <v>1</v>
      </c>
      <c r="E110" s="68" t="s">
        <v>132</v>
      </c>
      <c r="F110" s="69">
        <v>32</v>
      </c>
      <c r="G110" s="66" t="s">
        <v>51</v>
      </c>
      <c r="H110" s="70"/>
      <c r="I110" s="71"/>
      <c r="J110" s="71"/>
      <c r="K110" s="35" t="s">
        <v>65</v>
      </c>
      <c r="L110" s="79">
        <v>110</v>
      </c>
      <c r="M110" s="79"/>
      <c r="N110" s="73"/>
      <c r="O110" s="81" t="s">
        <v>504</v>
      </c>
      <c r="P110" s="83">
        <v>44644.65666666667</v>
      </c>
      <c r="Q110" s="81" t="s">
        <v>539</v>
      </c>
      <c r="R110" s="84" t="str">
        <f>HYPERLINK("https://www.hs.fi/talous/art-2000008704863.html")</f>
        <v>https://www.hs.fi/talous/art-2000008704863.html</v>
      </c>
      <c r="S110" s="81" t="s">
        <v>582</v>
      </c>
      <c r="T110" s="81"/>
      <c r="U110" s="81"/>
      <c r="V110" s="84" t="str">
        <f>HYPERLINK("https://pbs.twimg.com/profile_images/795659865821761537/SANFbz2j_normal.jpg")</f>
        <v>https://pbs.twimg.com/profile_images/795659865821761537/SANFbz2j_normal.jpg</v>
      </c>
      <c r="W110" s="83">
        <v>44644.65666666667</v>
      </c>
      <c r="X110" s="88">
        <v>44644</v>
      </c>
      <c r="Y110" s="85" t="s">
        <v>707</v>
      </c>
      <c r="Z110" s="84" t="str">
        <f>HYPERLINK("https://twitter.com/walmerigaming/status/1507020815929208846")</f>
        <v>https://twitter.com/walmerigaming/status/1507020815929208846</v>
      </c>
      <c r="AA110" s="81"/>
      <c r="AB110" s="81"/>
      <c r="AC110" s="85" t="s">
        <v>976</v>
      </c>
      <c r="AD110" s="81"/>
      <c r="AE110" s="81" t="b">
        <v>0</v>
      </c>
      <c r="AF110" s="81">
        <v>0</v>
      </c>
      <c r="AG110" s="85" t="s">
        <v>1162</v>
      </c>
      <c r="AH110" s="81" t="b">
        <v>0</v>
      </c>
      <c r="AI110" s="81" t="s">
        <v>1179</v>
      </c>
      <c r="AJ110" s="81"/>
      <c r="AK110" s="85" t="s">
        <v>1162</v>
      </c>
      <c r="AL110" s="81" t="b">
        <v>0</v>
      </c>
      <c r="AM110" s="81">
        <v>103</v>
      </c>
      <c r="AN110" s="85" t="s">
        <v>1134</v>
      </c>
      <c r="AO110" s="85" t="s">
        <v>1189</v>
      </c>
      <c r="AP110" s="81" t="b">
        <v>0</v>
      </c>
      <c r="AQ110" s="85" t="s">
        <v>1134</v>
      </c>
      <c r="AR110" s="81" t="s">
        <v>187</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33</v>
      </c>
      <c r="BM110" s="50">
        <v>100</v>
      </c>
      <c r="BN110" s="49">
        <v>33</v>
      </c>
    </row>
    <row r="111" spans="1:66" ht="15">
      <c r="A111" s="65" t="s">
        <v>327</v>
      </c>
      <c r="B111" s="65" t="s">
        <v>479</v>
      </c>
      <c r="C111" s="66" t="s">
        <v>4392</v>
      </c>
      <c r="D111" s="67">
        <v>1</v>
      </c>
      <c r="E111" s="68" t="s">
        <v>132</v>
      </c>
      <c r="F111" s="69">
        <v>32</v>
      </c>
      <c r="G111" s="66" t="s">
        <v>51</v>
      </c>
      <c r="H111" s="70"/>
      <c r="I111" s="71"/>
      <c r="J111" s="71"/>
      <c r="K111" s="35" t="s">
        <v>65</v>
      </c>
      <c r="L111" s="79">
        <v>111</v>
      </c>
      <c r="M111" s="79"/>
      <c r="N111" s="73"/>
      <c r="O111" s="81" t="s">
        <v>504</v>
      </c>
      <c r="P111" s="83">
        <v>44644.65684027778</v>
      </c>
      <c r="Q111" s="81" t="s">
        <v>539</v>
      </c>
      <c r="R111" s="84" t="str">
        <f>HYPERLINK("https://www.hs.fi/talous/art-2000008704863.html")</f>
        <v>https://www.hs.fi/talous/art-2000008704863.html</v>
      </c>
      <c r="S111" s="81" t="s">
        <v>582</v>
      </c>
      <c r="T111" s="81"/>
      <c r="U111" s="81"/>
      <c r="V111" s="84" t="str">
        <f>HYPERLINK("https://pbs.twimg.com/profile_images/1449816560592424961/pT47s1J7_normal.jpg")</f>
        <v>https://pbs.twimg.com/profile_images/1449816560592424961/pT47s1J7_normal.jpg</v>
      </c>
      <c r="W111" s="83">
        <v>44644.65684027778</v>
      </c>
      <c r="X111" s="88">
        <v>44644</v>
      </c>
      <c r="Y111" s="85" t="s">
        <v>708</v>
      </c>
      <c r="Z111" s="84" t="str">
        <f>HYPERLINK("https://twitter.com/salmusami/status/1507020881637216264")</f>
        <v>https://twitter.com/salmusami/status/1507020881637216264</v>
      </c>
      <c r="AA111" s="81"/>
      <c r="AB111" s="81"/>
      <c r="AC111" s="85" t="s">
        <v>977</v>
      </c>
      <c r="AD111" s="81"/>
      <c r="AE111" s="81" t="b">
        <v>0</v>
      </c>
      <c r="AF111" s="81">
        <v>0</v>
      </c>
      <c r="AG111" s="85" t="s">
        <v>1162</v>
      </c>
      <c r="AH111" s="81" t="b">
        <v>0</v>
      </c>
      <c r="AI111" s="81" t="s">
        <v>1179</v>
      </c>
      <c r="AJ111" s="81"/>
      <c r="AK111" s="85" t="s">
        <v>1162</v>
      </c>
      <c r="AL111" s="81" t="b">
        <v>0</v>
      </c>
      <c r="AM111" s="81">
        <v>103</v>
      </c>
      <c r="AN111" s="85" t="s">
        <v>1134</v>
      </c>
      <c r="AO111" s="85" t="s">
        <v>1189</v>
      </c>
      <c r="AP111" s="81" t="b">
        <v>0</v>
      </c>
      <c r="AQ111" s="85" t="s">
        <v>1134</v>
      </c>
      <c r="AR111" s="81" t="s">
        <v>187</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33</v>
      </c>
      <c r="BM111" s="50">
        <v>100</v>
      </c>
      <c r="BN111" s="49">
        <v>33</v>
      </c>
    </row>
    <row r="112" spans="1:66" ht="15">
      <c r="A112" s="65" t="s">
        <v>328</v>
      </c>
      <c r="B112" s="65" t="s">
        <v>479</v>
      </c>
      <c r="C112" s="66" t="s">
        <v>4392</v>
      </c>
      <c r="D112" s="67">
        <v>1</v>
      </c>
      <c r="E112" s="68" t="s">
        <v>132</v>
      </c>
      <c r="F112" s="69">
        <v>32</v>
      </c>
      <c r="G112" s="66" t="s">
        <v>51</v>
      </c>
      <c r="H112" s="70"/>
      <c r="I112" s="71"/>
      <c r="J112" s="71"/>
      <c r="K112" s="35" t="s">
        <v>65</v>
      </c>
      <c r="L112" s="79">
        <v>112</v>
      </c>
      <c r="M112" s="79"/>
      <c r="N112" s="73"/>
      <c r="O112" s="81" t="s">
        <v>504</v>
      </c>
      <c r="P112" s="83">
        <v>44644.6571875</v>
      </c>
      <c r="Q112" s="81" t="s">
        <v>539</v>
      </c>
      <c r="R112" s="84" t="str">
        <f>HYPERLINK("https://www.hs.fi/talous/art-2000008704863.html")</f>
        <v>https://www.hs.fi/talous/art-2000008704863.html</v>
      </c>
      <c r="S112" s="81" t="s">
        <v>582</v>
      </c>
      <c r="T112" s="81"/>
      <c r="U112" s="81"/>
      <c r="V112" s="84" t="str">
        <f>HYPERLINK("https://pbs.twimg.com/profile_images/1288772943045173249/IVB1O7-x_normal.jpg")</f>
        <v>https://pbs.twimg.com/profile_images/1288772943045173249/IVB1O7-x_normal.jpg</v>
      </c>
      <c r="W112" s="83">
        <v>44644.6571875</v>
      </c>
      <c r="X112" s="88">
        <v>44644</v>
      </c>
      <c r="Y112" s="85" t="s">
        <v>709</v>
      </c>
      <c r="Z112" s="84" t="str">
        <f>HYPERLINK("https://twitter.com/markosuomi/status/1507021007462281218")</f>
        <v>https://twitter.com/markosuomi/status/1507021007462281218</v>
      </c>
      <c r="AA112" s="81"/>
      <c r="AB112" s="81"/>
      <c r="AC112" s="85" t="s">
        <v>978</v>
      </c>
      <c r="AD112" s="81"/>
      <c r="AE112" s="81" t="b">
        <v>0</v>
      </c>
      <c r="AF112" s="81">
        <v>0</v>
      </c>
      <c r="AG112" s="85" t="s">
        <v>1162</v>
      </c>
      <c r="AH112" s="81" t="b">
        <v>0</v>
      </c>
      <c r="AI112" s="81" t="s">
        <v>1179</v>
      </c>
      <c r="AJ112" s="81"/>
      <c r="AK112" s="85" t="s">
        <v>1162</v>
      </c>
      <c r="AL112" s="81" t="b">
        <v>0</v>
      </c>
      <c r="AM112" s="81">
        <v>103</v>
      </c>
      <c r="AN112" s="85" t="s">
        <v>1134</v>
      </c>
      <c r="AO112" s="85" t="s">
        <v>1188</v>
      </c>
      <c r="AP112" s="81" t="b">
        <v>0</v>
      </c>
      <c r="AQ112" s="85" t="s">
        <v>1134</v>
      </c>
      <c r="AR112" s="81" t="s">
        <v>187</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33</v>
      </c>
      <c r="BM112" s="50">
        <v>100</v>
      </c>
      <c r="BN112" s="49">
        <v>33</v>
      </c>
    </row>
    <row r="113" spans="1:66" ht="15">
      <c r="A113" s="65" t="s">
        <v>329</v>
      </c>
      <c r="B113" s="65" t="s">
        <v>479</v>
      </c>
      <c r="C113" s="66" t="s">
        <v>4392</v>
      </c>
      <c r="D113" s="67">
        <v>1</v>
      </c>
      <c r="E113" s="68" t="s">
        <v>132</v>
      </c>
      <c r="F113" s="69">
        <v>32</v>
      </c>
      <c r="G113" s="66" t="s">
        <v>51</v>
      </c>
      <c r="H113" s="70"/>
      <c r="I113" s="71"/>
      <c r="J113" s="71"/>
      <c r="K113" s="35" t="s">
        <v>65</v>
      </c>
      <c r="L113" s="79">
        <v>113</v>
      </c>
      <c r="M113" s="79"/>
      <c r="N113" s="73"/>
      <c r="O113" s="81" t="s">
        <v>504</v>
      </c>
      <c r="P113" s="83">
        <v>44644.659467592595</v>
      </c>
      <c r="Q113" s="81" t="s">
        <v>539</v>
      </c>
      <c r="R113" s="84" t="str">
        <f>HYPERLINK("https://www.hs.fi/talous/art-2000008704863.html")</f>
        <v>https://www.hs.fi/talous/art-2000008704863.html</v>
      </c>
      <c r="S113" s="81" t="s">
        <v>582</v>
      </c>
      <c r="T113" s="81"/>
      <c r="U113" s="81"/>
      <c r="V113" s="84" t="str">
        <f>HYPERLINK("https://pbs.twimg.com/profile_images/1408147253940916225/MciR2uR7_normal.jpg")</f>
        <v>https://pbs.twimg.com/profile_images/1408147253940916225/MciR2uR7_normal.jpg</v>
      </c>
      <c r="W113" s="83">
        <v>44644.659467592595</v>
      </c>
      <c r="X113" s="88">
        <v>44644</v>
      </c>
      <c r="Y113" s="85" t="s">
        <v>710</v>
      </c>
      <c r="Z113" s="84" t="str">
        <f>HYPERLINK("https://twitter.com/makaliok/status/1507021833811357705")</f>
        <v>https://twitter.com/makaliok/status/1507021833811357705</v>
      </c>
      <c r="AA113" s="81"/>
      <c r="AB113" s="81"/>
      <c r="AC113" s="85" t="s">
        <v>979</v>
      </c>
      <c r="AD113" s="81"/>
      <c r="AE113" s="81" t="b">
        <v>0</v>
      </c>
      <c r="AF113" s="81">
        <v>0</v>
      </c>
      <c r="AG113" s="85" t="s">
        <v>1162</v>
      </c>
      <c r="AH113" s="81" t="b">
        <v>0</v>
      </c>
      <c r="AI113" s="81" t="s">
        <v>1179</v>
      </c>
      <c r="AJ113" s="81"/>
      <c r="AK113" s="85" t="s">
        <v>1162</v>
      </c>
      <c r="AL113" s="81" t="b">
        <v>0</v>
      </c>
      <c r="AM113" s="81">
        <v>103</v>
      </c>
      <c r="AN113" s="85" t="s">
        <v>1134</v>
      </c>
      <c r="AO113" s="85" t="s">
        <v>1188</v>
      </c>
      <c r="AP113" s="81" t="b">
        <v>0</v>
      </c>
      <c r="AQ113" s="85" t="s">
        <v>1134</v>
      </c>
      <c r="AR113" s="81" t="s">
        <v>187</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33</v>
      </c>
      <c r="BM113" s="50">
        <v>100</v>
      </c>
      <c r="BN113" s="49">
        <v>33</v>
      </c>
    </row>
    <row r="114" spans="1:66" ht="15">
      <c r="A114" s="65" t="s">
        <v>330</v>
      </c>
      <c r="B114" s="65" t="s">
        <v>479</v>
      </c>
      <c r="C114" s="66" t="s">
        <v>4392</v>
      </c>
      <c r="D114" s="67">
        <v>1</v>
      </c>
      <c r="E114" s="68" t="s">
        <v>132</v>
      </c>
      <c r="F114" s="69">
        <v>32</v>
      </c>
      <c r="G114" s="66" t="s">
        <v>51</v>
      </c>
      <c r="H114" s="70"/>
      <c r="I114" s="71"/>
      <c r="J114" s="71"/>
      <c r="K114" s="35" t="s">
        <v>65</v>
      </c>
      <c r="L114" s="79">
        <v>114</v>
      </c>
      <c r="M114" s="79"/>
      <c r="N114" s="73"/>
      <c r="O114" s="81" t="s">
        <v>504</v>
      </c>
      <c r="P114" s="83">
        <v>44644.65966435185</v>
      </c>
      <c r="Q114" s="81" t="s">
        <v>539</v>
      </c>
      <c r="R114" s="84" t="str">
        <f>HYPERLINK("https://www.hs.fi/talous/art-2000008704863.html")</f>
        <v>https://www.hs.fi/talous/art-2000008704863.html</v>
      </c>
      <c r="S114" s="81" t="s">
        <v>582</v>
      </c>
      <c r="T114" s="81"/>
      <c r="U114" s="81"/>
      <c r="V114" s="84" t="str">
        <f>HYPERLINK("https://pbs.twimg.com/profile_images/1505157450332266497/dwvNgS4M_normal.jpg")</f>
        <v>https://pbs.twimg.com/profile_images/1505157450332266497/dwvNgS4M_normal.jpg</v>
      </c>
      <c r="W114" s="83">
        <v>44644.65966435185</v>
      </c>
      <c r="X114" s="88">
        <v>44644</v>
      </c>
      <c r="Y114" s="85" t="s">
        <v>711</v>
      </c>
      <c r="Z114" s="84" t="str">
        <f>HYPERLINK("https://twitter.com/jarnaerika/status/1507021903147458561")</f>
        <v>https://twitter.com/jarnaerika/status/1507021903147458561</v>
      </c>
      <c r="AA114" s="81"/>
      <c r="AB114" s="81"/>
      <c r="AC114" s="85" t="s">
        <v>980</v>
      </c>
      <c r="AD114" s="81"/>
      <c r="AE114" s="81" t="b">
        <v>0</v>
      </c>
      <c r="AF114" s="81">
        <v>0</v>
      </c>
      <c r="AG114" s="85" t="s">
        <v>1162</v>
      </c>
      <c r="AH114" s="81" t="b">
        <v>0</v>
      </c>
      <c r="AI114" s="81" t="s">
        <v>1179</v>
      </c>
      <c r="AJ114" s="81"/>
      <c r="AK114" s="85" t="s">
        <v>1162</v>
      </c>
      <c r="AL114" s="81" t="b">
        <v>0</v>
      </c>
      <c r="AM114" s="81">
        <v>103</v>
      </c>
      <c r="AN114" s="85" t="s">
        <v>1134</v>
      </c>
      <c r="AO114" s="85" t="s">
        <v>1188</v>
      </c>
      <c r="AP114" s="81" t="b">
        <v>0</v>
      </c>
      <c r="AQ114" s="85" t="s">
        <v>1134</v>
      </c>
      <c r="AR114" s="81" t="s">
        <v>187</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33</v>
      </c>
      <c r="BM114" s="50">
        <v>100</v>
      </c>
      <c r="BN114" s="49">
        <v>33</v>
      </c>
    </row>
    <row r="115" spans="1:66" ht="15">
      <c r="A115" s="65" t="s">
        <v>331</v>
      </c>
      <c r="B115" s="65" t="s">
        <v>331</v>
      </c>
      <c r="C115" s="66" t="s">
        <v>4392</v>
      </c>
      <c r="D115" s="67">
        <v>1</v>
      </c>
      <c r="E115" s="68" t="s">
        <v>132</v>
      </c>
      <c r="F115" s="69">
        <v>32</v>
      </c>
      <c r="G115" s="66" t="s">
        <v>51</v>
      </c>
      <c r="H115" s="70"/>
      <c r="I115" s="71"/>
      <c r="J115" s="71"/>
      <c r="K115" s="35" t="s">
        <v>65</v>
      </c>
      <c r="L115" s="79">
        <v>115</v>
      </c>
      <c r="M115" s="79"/>
      <c r="N115" s="73"/>
      <c r="O115" s="81" t="s">
        <v>187</v>
      </c>
      <c r="P115" s="83">
        <v>44644.660104166665</v>
      </c>
      <c r="Q115" s="81" t="s">
        <v>540</v>
      </c>
      <c r="R115" s="84" t="str">
        <f>HYPERLINK("https://twitter.com/AlmaOnali/status/1506994320288759817")</f>
        <v>https://twitter.com/AlmaOnali/status/1506994320288759817</v>
      </c>
      <c r="S115" s="81" t="s">
        <v>580</v>
      </c>
      <c r="T115" s="85" t="s">
        <v>594</v>
      </c>
      <c r="U115" s="81"/>
      <c r="V115" s="84" t="str">
        <f>HYPERLINK("https://pbs.twimg.com/profile_images/1504717554413101077/QanGRUQ-_normal.jpg")</f>
        <v>https://pbs.twimg.com/profile_images/1504717554413101077/QanGRUQ-_normal.jpg</v>
      </c>
      <c r="W115" s="83">
        <v>44644.660104166665</v>
      </c>
      <c r="X115" s="88">
        <v>44644</v>
      </c>
      <c r="Y115" s="85" t="s">
        <v>712</v>
      </c>
      <c r="Z115" s="84" t="str">
        <f>HYPERLINK("https://twitter.com/johannahellste2/status/1507022062480773126")</f>
        <v>https://twitter.com/johannahellste2/status/1507022062480773126</v>
      </c>
      <c r="AA115" s="81"/>
      <c r="AB115" s="81"/>
      <c r="AC115" s="85" t="s">
        <v>981</v>
      </c>
      <c r="AD115" s="81"/>
      <c r="AE115" s="81" t="b">
        <v>0</v>
      </c>
      <c r="AF115" s="81">
        <v>3</v>
      </c>
      <c r="AG115" s="85" t="s">
        <v>1162</v>
      </c>
      <c r="AH115" s="81" t="b">
        <v>1</v>
      </c>
      <c r="AI115" s="81" t="s">
        <v>1179</v>
      </c>
      <c r="AJ115" s="81"/>
      <c r="AK115" s="85" t="s">
        <v>1134</v>
      </c>
      <c r="AL115" s="81" t="b">
        <v>0</v>
      </c>
      <c r="AM115" s="81">
        <v>0</v>
      </c>
      <c r="AN115" s="85" t="s">
        <v>1162</v>
      </c>
      <c r="AO115" s="85" t="s">
        <v>1188</v>
      </c>
      <c r="AP115" s="81" t="b">
        <v>0</v>
      </c>
      <c r="AQ115" s="85" t="s">
        <v>981</v>
      </c>
      <c r="AR115" s="81" t="s">
        <v>187</v>
      </c>
      <c r="AS115" s="81">
        <v>0</v>
      </c>
      <c r="AT115" s="81">
        <v>0</v>
      </c>
      <c r="AU115" s="81" t="s">
        <v>1200</v>
      </c>
      <c r="AV115" s="81" t="s">
        <v>1201</v>
      </c>
      <c r="AW115" s="81" t="s">
        <v>1202</v>
      </c>
      <c r="AX115" s="81" t="s">
        <v>1205</v>
      </c>
      <c r="AY115" s="81" t="s">
        <v>1208</v>
      </c>
      <c r="AZ115" s="81" t="s">
        <v>1211</v>
      </c>
      <c r="BA115" s="81" t="s">
        <v>1212</v>
      </c>
      <c r="BB115" s="84" t="str">
        <f>HYPERLINK("https://api.twitter.com/1.1/geo/id/253497d02bb72629.json")</f>
        <v>https://api.twitter.com/1.1/geo/id/253497d02bb72629.json</v>
      </c>
      <c r="BC115">
        <v>1</v>
      </c>
      <c r="BD115" s="80" t="str">
        <f>REPLACE(INDEX(GroupVertices[Group],MATCH(Edges[[#This Row],[Vertex 1]],GroupVertices[Vertex],0)),1,1,"")</f>
        <v>3</v>
      </c>
      <c r="BE115" s="80" t="str">
        <f>REPLACE(INDEX(GroupVertices[Group],MATCH(Edges[[#This Row],[Vertex 2]],GroupVertices[Vertex],0)),1,1,"")</f>
        <v>3</v>
      </c>
      <c r="BF115" s="49">
        <v>0</v>
      </c>
      <c r="BG115" s="50">
        <v>0</v>
      </c>
      <c r="BH115" s="49">
        <v>0</v>
      </c>
      <c r="BI115" s="50">
        <v>0</v>
      </c>
      <c r="BJ115" s="49">
        <v>0</v>
      </c>
      <c r="BK115" s="50">
        <v>0</v>
      </c>
      <c r="BL115" s="49">
        <v>14</v>
      </c>
      <c r="BM115" s="50">
        <v>100</v>
      </c>
      <c r="BN115" s="49">
        <v>14</v>
      </c>
    </row>
    <row r="116" spans="1:66" ht="15">
      <c r="A116" s="65" t="s">
        <v>332</v>
      </c>
      <c r="B116" s="65" t="s">
        <v>430</v>
      </c>
      <c r="C116" s="66" t="s">
        <v>4392</v>
      </c>
      <c r="D116" s="67">
        <v>1</v>
      </c>
      <c r="E116" s="68" t="s">
        <v>132</v>
      </c>
      <c r="F116" s="69">
        <v>32</v>
      </c>
      <c r="G116" s="66" t="s">
        <v>51</v>
      </c>
      <c r="H116" s="70"/>
      <c r="I116" s="71"/>
      <c r="J116" s="71"/>
      <c r="K116" s="35" t="s">
        <v>65</v>
      </c>
      <c r="L116" s="79">
        <v>116</v>
      </c>
      <c r="M116" s="79"/>
      <c r="N116" s="73"/>
      <c r="O116" s="81" t="s">
        <v>504</v>
      </c>
      <c r="P116" s="83">
        <v>44644.66287037037</v>
      </c>
      <c r="Q116" s="81" t="s">
        <v>512</v>
      </c>
      <c r="R116" s="81"/>
      <c r="S116" s="81"/>
      <c r="T116" s="81"/>
      <c r="U116" s="84" t="str">
        <f>HYPERLINK("https://pbs.twimg.com/media/FOiWtSbWYAkulkw.jpg")</f>
        <v>https://pbs.twimg.com/media/FOiWtSbWYAkulkw.jpg</v>
      </c>
      <c r="V116" s="84" t="str">
        <f>HYPERLINK("https://pbs.twimg.com/media/FOiWtSbWYAkulkw.jpg")</f>
        <v>https://pbs.twimg.com/media/FOiWtSbWYAkulkw.jpg</v>
      </c>
      <c r="W116" s="83">
        <v>44644.66287037037</v>
      </c>
      <c r="X116" s="88">
        <v>44644</v>
      </c>
      <c r="Y116" s="85" t="s">
        <v>713</v>
      </c>
      <c r="Z116" s="84" t="str">
        <f>HYPERLINK("https://twitter.com/tiinanev/status/1507023064558673924")</f>
        <v>https://twitter.com/tiinanev/status/1507023064558673924</v>
      </c>
      <c r="AA116" s="81"/>
      <c r="AB116" s="81"/>
      <c r="AC116" s="85" t="s">
        <v>982</v>
      </c>
      <c r="AD116" s="81"/>
      <c r="AE116" s="81" t="b">
        <v>0</v>
      </c>
      <c r="AF116" s="81">
        <v>0</v>
      </c>
      <c r="AG116" s="85" t="s">
        <v>1162</v>
      </c>
      <c r="AH116" s="81" t="b">
        <v>0</v>
      </c>
      <c r="AI116" s="81" t="s">
        <v>1179</v>
      </c>
      <c r="AJ116" s="81"/>
      <c r="AK116" s="85" t="s">
        <v>1162</v>
      </c>
      <c r="AL116" s="81" t="b">
        <v>0</v>
      </c>
      <c r="AM116" s="81">
        <v>68</v>
      </c>
      <c r="AN116" s="85" t="s">
        <v>1081</v>
      </c>
      <c r="AO116" s="85" t="s">
        <v>1190</v>
      </c>
      <c r="AP116" s="81" t="b">
        <v>0</v>
      </c>
      <c r="AQ116" s="85" t="s">
        <v>1081</v>
      </c>
      <c r="AR116" s="81" t="s">
        <v>187</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v>0</v>
      </c>
      <c r="BG116" s="50">
        <v>0</v>
      </c>
      <c r="BH116" s="49">
        <v>0</v>
      </c>
      <c r="BI116" s="50">
        <v>0</v>
      </c>
      <c r="BJ116" s="49">
        <v>0</v>
      </c>
      <c r="BK116" s="50">
        <v>0</v>
      </c>
      <c r="BL116" s="49">
        <v>6</v>
      </c>
      <c r="BM116" s="50">
        <v>100</v>
      </c>
      <c r="BN116" s="49">
        <v>6</v>
      </c>
    </row>
    <row r="117" spans="1:66" ht="15">
      <c r="A117" s="65" t="s">
        <v>333</v>
      </c>
      <c r="B117" s="65" t="s">
        <v>479</v>
      </c>
      <c r="C117" s="66" t="s">
        <v>4392</v>
      </c>
      <c r="D117" s="67">
        <v>1</v>
      </c>
      <c r="E117" s="68" t="s">
        <v>132</v>
      </c>
      <c r="F117" s="69">
        <v>32</v>
      </c>
      <c r="G117" s="66" t="s">
        <v>51</v>
      </c>
      <c r="H117" s="70"/>
      <c r="I117" s="71"/>
      <c r="J117" s="71"/>
      <c r="K117" s="35" t="s">
        <v>65</v>
      </c>
      <c r="L117" s="79">
        <v>117</v>
      </c>
      <c r="M117" s="79"/>
      <c r="N117" s="73"/>
      <c r="O117" s="81" t="s">
        <v>504</v>
      </c>
      <c r="P117" s="83">
        <v>44644.66872685185</v>
      </c>
      <c r="Q117" s="81" t="s">
        <v>539</v>
      </c>
      <c r="R117" s="84" t="str">
        <f>HYPERLINK("https://www.hs.fi/talous/art-2000008704863.html")</f>
        <v>https://www.hs.fi/talous/art-2000008704863.html</v>
      </c>
      <c r="S117" s="81" t="s">
        <v>582</v>
      </c>
      <c r="T117" s="81"/>
      <c r="U117" s="81"/>
      <c r="V117" s="84" t="str">
        <f>HYPERLINK("https://pbs.twimg.com/profile_images/1474689887894966273/yB2wWP7U_normal.jpg")</f>
        <v>https://pbs.twimg.com/profile_images/1474689887894966273/yB2wWP7U_normal.jpg</v>
      </c>
      <c r="W117" s="83">
        <v>44644.66872685185</v>
      </c>
      <c r="X117" s="88">
        <v>44644</v>
      </c>
      <c r="Y117" s="85" t="s">
        <v>714</v>
      </c>
      <c r="Z117" s="84" t="str">
        <f>HYPERLINK("https://twitter.com/mitanaitanyon/status/1507025186369028101")</f>
        <v>https://twitter.com/mitanaitanyon/status/1507025186369028101</v>
      </c>
      <c r="AA117" s="81"/>
      <c r="AB117" s="81"/>
      <c r="AC117" s="85" t="s">
        <v>983</v>
      </c>
      <c r="AD117" s="81"/>
      <c r="AE117" s="81" t="b">
        <v>0</v>
      </c>
      <c r="AF117" s="81">
        <v>0</v>
      </c>
      <c r="AG117" s="85" t="s">
        <v>1162</v>
      </c>
      <c r="AH117" s="81" t="b">
        <v>0</v>
      </c>
      <c r="AI117" s="81" t="s">
        <v>1179</v>
      </c>
      <c r="AJ117" s="81"/>
      <c r="AK117" s="85" t="s">
        <v>1162</v>
      </c>
      <c r="AL117" s="81" t="b">
        <v>0</v>
      </c>
      <c r="AM117" s="81">
        <v>103</v>
      </c>
      <c r="AN117" s="85" t="s">
        <v>1134</v>
      </c>
      <c r="AO117" s="85" t="s">
        <v>1188</v>
      </c>
      <c r="AP117" s="81" t="b">
        <v>0</v>
      </c>
      <c r="AQ117" s="85" t="s">
        <v>1134</v>
      </c>
      <c r="AR117" s="81" t="s">
        <v>187</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0</v>
      </c>
      <c r="BG117" s="50">
        <v>0</v>
      </c>
      <c r="BH117" s="49">
        <v>0</v>
      </c>
      <c r="BI117" s="50">
        <v>0</v>
      </c>
      <c r="BJ117" s="49">
        <v>0</v>
      </c>
      <c r="BK117" s="50">
        <v>0</v>
      </c>
      <c r="BL117" s="49">
        <v>33</v>
      </c>
      <c r="BM117" s="50">
        <v>100</v>
      </c>
      <c r="BN117" s="49">
        <v>33</v>
      </c>
    </row>
    <row r="118" spans="1:66" ht="15">
      <c r="A118" s="65" t="s">
        <v>334</v>
      </c>
      <c r="B118" s="65" t="s">
        <v>430</v>
      </c>
      <c r="C118" s="66" t="s">
        <v>4392</v>
      </c>
      <c r="D118" s="67">
        <v>1</v>
      </c>
      <c r="E118" s="68" t="s">
        <v>132</v>
      </c>
      <c r="F118" s="69">
        <v>32</v>
      </c>
      <c r="G118" s="66" t="s">
        <v>51</v>
      </c>
      <c r="H118" s="70"/>
      <c r="I118" s="71"/>
      <c r="J118" s="71"/>
      <c r="K118" s="35" t="s">
        <v>65</v>
      </c>
      <c r="L118" s="79">
        <v>118</v>
      </c>
      <c r="M118" s="79"/>
      <c r="N118" s="73"/>
      <c r="O118" s="81" t="s">
        <v>504</v>
      </c>
      <c r="P118" s="83">
        <v>44643.575949074075</v>
      </c>
      <c r="Q118" s="81" t="s">
        <v>512</v>
      </c>
      <c r="R118" s="81"/>
      <c r="S118" s="81"/>
      <c r="T118" s="81"/>
      <c r="U118" s="84" t="str">
        <f>HYPERLINK("https://pbs.twimg.com/media/FOiWtSbWYAkulkw.jpg")</f>
        <v>https://pbs.twimg.com/media/FOiWtSbWYAkulkw.jpg</v>
      </c>
      <c r="V118" s="84" t="str">
        <f>HYPERLINK("https://pbs.twimg.com/media/FOiWtSbWYAkulkw.jpg")</f>
        <v>https://pbs.twimg.com/media/FOiWtSbWYAkulkw.jpg</v>
      </c>
      <c r="W118" s="83">
        <v>44643.575949074075</v>
      </c>
      <c r="X118" s="88">
        <v>44643</v>
      </c>
      <c r="Y118" s="85" t="s">
        <v>715</v>
      </c>
      <c r="Z118" s="84" t="str">
        <f>HYPERLINK("https://twitter.com/halereeni/status/1506629176329125895")</f>
        <v>https://twitter.com/halereeni/status/1506629176329125895</v>
      </c>
      <c r="AA118" s="81"/>
      <c r="AB118" s="81"/>
      <c r="AC118" s="85" t="s">
        <v>984</v>
      </c>
      <c r="AD118" s="81"/>
      <c r="AE118" s="81" t="b">
        <v>0</v>
      </c>
      <c r="AF118" s="81">
        <v>0</v>
      </c>
      <c r="AG118" s="85" t="s">
        <v>1162</v>
      </c>
      <c r="AH118" s="81" t="b">
        <v>0</v>
      </c>
      <c r="AI118" s="81" t="s">
        <v>1179</v>
      </c>
      <c r="AJ118" s="81"/>
      <c r="AK118" s="85" t="s">
        <v>1162</v>
      </c>
      <c r="AL118" s="81" t="b">
        <v>0</v>
      </c>
      <c r="AM118" s="81">
        <v>68</v>
      </c>
      <c r="AN118" s="85" t="s">
        <v>1081</v>
      </c>
      <c r="AO118" s="85" t="s">
        <v>1188</v>
      </c>
      <c r="AP118" s="81" t="b">
        <v>0</v>
      </c>
      <c r="AQ118" s="85" t="s">
        <v>1081</v>
      </c>
      <c r="AR118" s="81" t="s">
        <v>187</v>
      </c>
      <c r="AS118" s="81">
        <v>0</v>
      </c>
      <c r="AT118" s="81">
        <v>0</v>
      </c>
      <c r="AU118" s="81"/>
      <c r="AV118" s="81"/>
      <c r="AW118" s="81"/>
      <c r="AX118" s="81"/>
      <c r="AY118" s="81"/>
      <c r="AZ118" s="81"/>
      <c r="BA118" s="81"/>
      <c r="BB118" s="81"/>
      <c r="BC118">
        <v>1</v>
      </c>
      <c r="BD118" s="80" t="str">
        <f>REPLACE(INDEX(GroupVertices[Group],MATCH(Edges[[#This Row],[Vertex 1]],GroupVertices[Vertex],0)),1,1,"")</f>
        <v>2</v>
      </c>
      <c r="BE118" s="80" t="str">
        <f>REPLACE(INDEX(GroupVertices[Group],MATCH(Edges[[#This Row],[Vertex 2]],GroupVertices[Vertex],0)),1,1,"")</f>
        <v>2</v>
      </c>
      <c r="BF118" s="49">
        <v>0</v>
      </c>
      <c r="BG118" s="50">
        <v>0</v>
      </c>
      <c r="BH118" s="49">
        <v>0</v>
      </c>
      <c r="BI118" s="50">
        <v>0</v>
      </c>
      <c r="BJ118" s="49">
        <v>0</v>
      </c>
      <c r="BK118" s="50">
        <v>0</v>
      </c>
      <c r="BL118" s="49">
        <v>6</v>
      </c>
      <c r="BM118" s="50">
        <v>100</v>
      </c>
      <c r="BN118" s="49">
        <v>6</v>
      </c>
    </row>
    <row r="119" spans="1:66" ht="15">
      <c r="A119" s="65" t="s">
        <v>334</v>
      </c>
      <c r="B119" s="65" t="s">
        <v>479</v>
      </c>
      <c r="C119" s="66" t="s">
        <v>4392</v>
      </c>
      <c r="D119" s="67">
        <v>1</v>
      </c>
      <c r="E119" s="68" t="s">
        <v>132</v>
      </c>
      <c r="F119" s="69">
        <v>32</v>
      </c>
      <c r="G119" s="66" t="s">
        <v>51</v>
      </c>
      <c r="H119" s="70"/>
      <c r="I119" s="71"/>
      <c r="J119" s="71"/>
      <c r="K119" s="35" t="s">
        <v>65</v>
      </c>
      <c r="L119" s="79">
        <v>119</v>
      </c>
      <c r="M119" s="79"/>
      <c r="N119" s="73"/>
      <c r="O119" s="81" t="s">
        <v>504</v>
      </c>
      <c r="P119" s="83">
        <v>44644.66887731481</v>
      </c>
      <c r="Q119" s="81" t="s">
        <v>539</v>
      </c>
      <c r="R119" s="84" t="str">
        <f>HYPERLINK("https://www.hs.fi/talous/art-2000008704863.html")</f>
        <v>https://www.hs.fi/talous/art-2000008704863.html</v>
      </c>
      <c r="S119" s="81" t="s">
        <v>582</v>
      </c>
      <c r="T119" s="81"/>
      <c r="U119" s="81"/>
      <c r="V119" s="84" t="str">
        <f>HYPERLINK("https://pbs.twimg.com/profile_images/1329710196650876930/-EQiaNUL_normal.jpg")</f>
        <v>https://pbs.twimg.com/profile_images/1329710196650876930/-EQiaNUL_normal.jpg</v>
      </c>
      <c r="W119" s="83">
        <v>44644.66887731481</v>
      </c>
      <c r="X119" s="88">
        <v>44644</v>
      </c>
      <c r="Y119" s="85" t="s">
        <v>716</v>
      </c>
      <c r="Z119" s="84" t="str">
        <f>HYPERLINK("https://twitter.com/halereeni/status/1507025243411521542")</f>
        <v>https://twitter.com/halereeni/status/1507025243411521542</v>
      </c>
      <c r="AA119" s="81"/>
      <c r="AB119" s="81"/>
      <c r="AC119" s="85" t="s">
        <v>985</v>
      </c>
      <c r="AD119" s="81"/>
      <c r="AE119" s="81" t="b">
        <v>0</v>
      </c>
      <c r="AF119" s="81">
        <v>0</v>
      </c>
      <c r="AG119" s="85" t="s">
        <v>1162</v>
      </c>
      <c r="AH119" s="81" t="b">
        <v>0</v>
      </c>
      <c r="AI119" s="81" t="s">
        <v>1179</v>
      </c>
      <c r="AJ119" s="81"/>
      <c r="AK119" s="85" t="s">
        <v>1162</v>
      </c>
      <c r="AL119" s="81" t="b">
        <v>0</v>
      </c>
      <c r="AM119" s="81">
        <v>103</v>
      </c>
      <c r="AN119" s="85" t="s">
        <v>1134</v>
      </c>
      <c r="AO119" s="85" t="s">
        <v>1188</v>
      </c>
      <c r="AP119" s="81" t="b">
        <v>0</v>
      </c>
      <c r="AQ119" s="85" t="s">
        <v>1134</v>
      </c>
      <c r="AR119" s="81" t="s">
        <v>187</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1</v>
      </c>
      <c r="BF119" s="49">
        <v>0</v>
      </c>
      <c r="BG119" s="50">
        <v>0</v>
      </c>
      <c r="BH119" s="49">
        <v>0</v>
      </c>
      <c r="BI119" s="50">
        <v>0</v>
      </c>
      <c r="BJ119" s="49">
        <v>0</v>
      </c>
      <c r="BK119" s="50">
        <v>0</v>
      </c>
      <c r="BL119" s="49">
        <v>33</v>
      </c>
      <c r="BM119" s="50">
        <v>100</v>
      </c>
      <c r="BN119" s="49">
        <v>33</v>
      </c>
    </row>
    <row r="120" spans="1:66" ht="15">
      <c r="A120" s="65" t="s">
        <v>335</v>
      </c>
      <c r="B120" s="65" t="s">
        <v>335</v>
      </c>
      <c r="C120" s="66" t="s">
        <v>4392</v>
      </c>
      <c r="D120" s="67">
        <v>1</v>
      </c>
      <c r="E120" s="68" t="s">
        <v>132</v>
      </c>
      <c r="F120" s="69">
        <v>32</v>
      </c>
      <c r="G120" s="66" t="s">
        <v>51</v>
      </c>
      <c r="H120" s="70"/>
      <c r="I120" s="71"/>
      <c r="J120" s="71"/>
      <c r="K120" s="35" t="s">
        <v>65</v>
      </c>
      <c r="L120" s="79">
        <v>120</v>
      </c>
      <c r="M120" s="79"/>
      <c r="N120" s="73"/>
      <c r="O120" s="81" t="s">
        <v>187</v>
      </c>
      <c r="P120" s="83">
        <v>44644.66747685185</v>
      </c>
      <c r="Q120" s="81" t="s">
        <v>541</v>
      </c>
      <c r="R120" s="81"/>
      <c r="S120" s="81"/>
      <c r="T120" s="81"/>
      <c r="U120" s="81"/>
      <c r="V120" s="84" t="str">
        <f>HYPERLINK("https://pbs.twimg.com/profile_images/710551846138548226/ZgGmG3Sy_normal.jpg")</f>
        <v>https://pbs.twimg.com/profile_images/710551846138548226/ZgGmG3Sy_normal.jpg</v>
      </c>
      <c r="W120" s="83">
        <v>44644.66747685185</v>
      </c>
      <c r="X120" s="88">
        <v>44644</v>
      </c>
      <c r="Y120" s="85" t="s">
        <v>717</v>
      </c>
      <c r="Z120" s="84" t="str">
        <f>HYPERLINK("https://twitter.com/timokoivisto_/status/1507024733224816641")</f>
        <v>https://twitter.com/timokoivisto_/status/1507024733224816641</v>
      </c>
      <c r="AA120" s="81"/>
      <c r="AB120" s="81"/>
      <c r="AC120" s="85" t="s">
        <v>986</v>
      </c>
      <c r="AD120" s="81"/>
      <c r="AE120" s="81" t="b">
        <v>0</v>
      </c>
      <c r="AF120" s="81">
        <v>6</v>
      </c>
      <c r="AG120" s="85" t="s">
        <v>1162</v>
      </c>
      <c r="AH120" s="81" t="b">
        <v>0</v>
      </c>
      <c r="AI120" s="81" t="s">
        <v>1179</v>
      </c>
      <c r="AJ120" s="81"/>
      <c r="AK120" s="85" t="s">
        <v>1162</v>
      </c>
      <c r="AL120" s="81" t="b">
        <v>0</v>
      </c>
      <c r="AM120" s="81">
        <v>1</v>
      </c>
      <c r="AN120" s="85" t="s">
        <v>1162</v>
      </c>
      <c r="AO120" s="85" t="s">
        <v>1188</v>
      </c>
      <c r="AP120" s="81" t="b">
        <v>0</v>
      </c>
      <c r="AQ120" s="85" t="s">
        <v>986</v>
      </c>
      <c r="AR120" s="81" t="s">
        <v>187</v>
      </c>
      <c r="AS120" s="81">
        <v>0</v>
      </c>
      <c r="AT120" s="81">
        <v>0</v>
      </c>
      <c r="AU120" s="81"/>
      <c r="AV120" s="81"/>
      <c r="AW120" s="81"/>
      <c r="AX120" s="81"/>
      <c r="AY120" s="81"/>
      <c r="AZ120" s="81"/>
      <c r="BA120" s="81"/>
      <c r="BB120" s="81"/>
      <c r="BC120">
        <v>1</v>
      </c>
      <c r="BD120" s="80" t="str">
        <f>REPLACE(INDEX(GroupVertices[Group],MATCH(Edges[[#This Row],[Vertex 1]],GroupVertices[Vertex],0)),1,1,"")</f>
        <v>15</v>
      </c>
      <c r="BE120" s="80" t="str">
        <f>REPLACE(INDEX(GroupVertices[Group],MATCH(Edges[[#This Row],[Vertex 2]],GroupVertices[Vertex],0)),1,1,"")</f>
        <v>15</v>
      </c>
      <c r="BF120" s="49">
        <v>0</v>
      </c>
      <c r="BG120" s="50">
        <v>0</v>
      </c>
      <c r="BH120" s="49">
        <v>0</v>
      </c>
      <c r="BI120" s="50">
        <v>0</v>
      </c>
      <c r="BJ120" s="49">
        <v>0</v>
      </c>
      <c r="BK120" s="50">
        <v>0</v>
      </c>
      <c r="BL120" s="49">
        <v>11</v>
      </c>
      <c r="BM120" s="50">
        <v>100</v>
      </c>
      <c r="BN120" s="49">
        <v>11</v>
      </c>
    </row>
    <row r="121" spans="1:66" ht="15">
      <c r="A121" s="65" t="s">
        <v>336</v>
      </c>
      <c r="B121" s="65" t="s">
        <v>335</v>
      </c>
      <c r="C121" s="66" t="s">
        <v>4392</v>
      </c>
      <c r="D121" s="67">
        <v>1</v>
      </c>
      <c r="E121" s="68" t="s">
        <v>132</v>
      </c>
      <c r="F121" s="69">
        <v>32</v>
      </c>
      <c r="G121" s="66" t="s">
        <v>51</v>
      </c>
      <c r="H121" s="70"/>
      <c r="I121" s="71"/>
      <c r="J121" s="71"/>
      <c r="K121" s="35" t="s">
        <v>65</v>
      </c>
      <c r="L121" s="79">
        <v>121</v>
      </c>
      <c r="M121" s="79"/>
      <c r="N121" s="73"/>
      <c r="O121" s="81" t="s">
        <v>504</v>
      </c>
      <c r="P121" s="83">
        <v>44644.669594907406</v>
      </c>
      <c r="Q121" s="81" t="s">
        <v>541</v>
      </c>
      <c r="R121" s="81"/>
      <c r="S121" s="81"/>
      <c r="T121" s="81"/>
      <c r="U121" s="81"/>
      <c r="V121" s="84" t="str">
        <f>HYPERLINK("https://pbs.twimg.com/profile_images/1173465090093473792/xZD9Z7Ko_normal.jpg")</f>
        <v>https://pbs.twimg.com/profile_images/1173465090093473792/xZD9Z7Ko_normal.jpg</v>
      </c>
      <c r="W121" s="83">
        <v>44644.669594907406</v>
      </c>
      <c r="X121" s="88">
        <v>44644</v>
      </c>
      <c r="Y121" s="85" t="s">
        <v>718</v>
      </c>
      <c r="Z121" s="84" t="str">
        <f>HYPERLINK("https://twitter.com/joutsenikko/status/1507025501113786369")</f>
        <v>https://twitter.com/joutsenikko/status/1507025501113786369</v>
      </c>
      <c r="AA121" s="81"/>
      <c r="AB121" s="81"/>
      <c r="AC121" s="85" t="s">
        <v>987</v>
      </c>
      <c r="AD121" s="81"/>
      <c r="AE121" s="81" t="b">
        <v>0</v>
      </c>
      <c r="AF121" s="81">
        <v>0</v>
      </c>
      <c r="AG121" s="85" t="s">
        <v>1162</v>
      </c>
      <c r="AH121" s="81" t="b">
        <v>0</v>
      </c>
      <c r="AI121" s="81" t="s">
        <v>1179</v>
      </c>
      <c r="AJ121" s="81"/>
      <c r="AK121" s="85" t="s">
        <v>1162</v>
      </c>
      <c r="AL121" s="81" t="b">
        <v>0</v>
      </c>
      <c r="AM121" s="81">
        <v>1</v>
      </c>
      <c r="AN121" s="85" t="s">
        <v>986</v>
      </c>
      <c r="AO121" s="85" t="s">
        <v>1189</v>
      </c>
      <c r="AP121" s="81" t="b">
        <v>0</v>
      </c>
      <c r="AQ121" s="85" t="s">
        <v>986</v>
      </c>
      <c r="AR121" s="81" t="s">
        <v>187</v>
      </c>
      <c r="AS121" s="81">
        <v>0</v>
      </c>
      <c r="AT121" s="81">
        <v>0</v>
      </c>
      <c r="AU121" s="81"/>
      <c r="AV121" s="81"/>
      <c r="AW121" s="81"/>
      <c r="AX121" s="81"/>
      <c r="AY121" s="81"/>
      <c r="AZ121" s="81"/>
      <c r="BA121" s="81"/>
      <c r="BB121" s="81"/>
      <c r="BC121">
        <v>1</v>
      </c>
      <c r="BD121" s="80" t="str">
        <f>REPLACE(INDEX(GroupVertices[Group],MATCH(Edges[[#This Row],[Vertex 1]],GroupVertices[Vertex],0)),1,1,"")</f>
        <v>15</v>
      </c>
      <c r="BE121" s="80" t="str">
        <f>REPLACE(INDEX(GroupVertices[Group],MATCH(Edges[[#This Row],[Vertex 2]],GroupVertices[Vertex],0)),1,1,"")</f>
        <v>15</v>
      </c>
      <c r="BF121" s="49">
        <v>0</v>
      </c>
      <c r="BG121" s="50">
        <v>0</v>
      </c>
      <c r="BH121" s="49">
        <v>0</v>
      </c>
      <c r="BI121" s="50">
        <v>0</v>
      </c>
      <c r="BJ121" s="49">
        <v>0</v>
      </c>
      <c r="BK121" s="50">
        <v>0</v>
      </c>
      <c r="BL121" s="49">
        <v>11</v>
      </c>
      <c r="BM121" s="50">
        <v>100</v>
      </c>
      <c r="BN121" s="49">
        <v>11</v>
      </c>
    </row>
    <row r="122" spans="1:66" ht="15">
      <c r="A122" s="65" t="s">
        <v>337</v>
      </c>
      <c r="B122" s="65" t="s">
        <v>479</v>
      </c>
      <c r="C122" s="66" t="s">
        <v>4392</v>
      </c>
      <c r="D122" s="67">
        <v>1</v>
      </c>
      <c r="E122" s="68" t="s">
        <v>132</v>
      </c>
      <c r="F122" s="69">
        <v>32</v>
      </c>
      <c r="G122" s="66" t="s">
        <v>51</v>
      </c>
      <c r="H122" s="70"/>
      <c r="I122" s="71"/>
      <c r="J122" s="71"/>
      <c r="K122" s="35" t="s">
        <v>65</v>
      </c>
      <c r="L122" s="79">
        <v>122</v>
      </c>
      <c r="M122" s="79"/>
      <c r="N122" s="73"/>
      <c r="O122" s="81" t="s">
        <v>504</v>
      </c>
      <c r="P122" s="83">
        <v>44644.66993055555</v>
      </c>
      <c r="Q122" s="81" t="s">
        <v>539</v>
      </c>
      <c r="R122" s="84" t="str">
        <f>HYPERLINK("https://www.hs.fi/talous/art-2000008704863.html")</f>
        <v>https://www.hs.fi/talous/art-2000008704863.html</v>
      </c>
      <c r="S122" s="81" t="s">
        <v>582</v>
      </c>
      <c r="T122" s="81"/>
      <c r="U122" s="81"/>
      <c r="V122" s="84" t="str">
        <f>HYPERLINK("https://pbs.twimg.com/profile_images/899307955593646081/PqN27n0g_normal.jpg")</f>
        <v>https://pbs.twimg.com/profile_images/899307955593646081/PqN27n0g_normal.jpg</v>
      </c>
      <c r="W122" s="83">
        <v>44644.66993055555</v>
      </c>
      <c r="X122" s="88">
        <v>44644</v>
      </c>
      <c r="Y122" s="85" t="s">
        <v>719</v>
      </c>
      <c r="Z122" s="84" t="str">
        <f>HYPERLINK("https://twitter.com/pasikivioja/status/1507025624849960960")</f>
        <v>https://twitter.com/pasikivioja/status/1507025624849960960</v>
      </c>
      <c r="AA122" s="81"/>
      <c r="AB122" s="81"/>
      <c r="AC122" s="85" t="s">
        <v>988</v>
      </c>
      <c r="AD122" s="81"/>
      <c r="AE122" s="81" t="b">
        <v>0</v>
      </c>
      <c r="AF122" s="81">
        <v>0</v>
      </c>
      <c r="AG122" s="85" t="s">
        <v>1162</v>
      </c>
      <c r="AH122" s="81" t="b">
        <v>0</v>
      </c>
      <c r="AI122" s="81" t="s">
        <v>1179</v>
      </c>
      <c r="AJ122" s="81"/>
      <c r="AK122" s="85" t="s">
        <v>1162</v>
      </c>
      <c r="AL122" s="81" t="b">
        <v>0</v>
      </c>
      <c r="AM122" s="81">
        <v>103</v>
      </c>
      <c r="AN122" s="85" t="s">
        <v>1134</v>
      </c>
      <c r="AO122" s="85" t="s">
        <v>1190</v>
      </c>
      <c r="AP122" s="81" t="b">
        <v>0</v>
      </c>
      <c r="AQ122" s="85" t="s">
        <v>1134</v>
      </c>
      <c r="AR122" s="81" t="s">
        <v>187</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33</v>
      </c>
      <c r="BM122" s="50">
        <v>100</v>
      </c>
      <c r="BN122" s="49">
        <v>33</v>
      </c>
    </row>
    <row r="123" spans="1:66" ht="15">
      <c r="A123" s="65" t="s">
        <v>338</v>
      </c>
      <c r="B123" s="65" t="s">
        <v>479</v>
      </c>
      <c r="C123" s="66" t="s">
        <v>4392</v>
      </c>
      <c r="D123" s="67">
        <v>1</v>
      </c>
      <c r="E123" s="68" t="s">
        <v>132</v>
      </c>
      <c r="F123" s="69">
        <v>32</v>
      </c>
      <c r="G123" s="66" t="s">
        <v>51</v>
      </c>
      <c r="H123" s="70"/>
      <c r="I123" s="71"/>
      <c r="J123" s="71"/>
      <c r="K123" s="35" t="s">
        <v>65</v>
      </c>
      <c r="L123" s="79">
        <v>123</v>
      </c>
      <c r="M123" s="79"/>
      <c r="N123" s="73"/>
      <c r="O123" s="81" t="s">
        <v>504</v>
      </c>
      <c r="P123" s="83">
        <v>44644.67340277778</v>
      </c>
      <c r="Q123" s="81" t="s">
        <v>539</v>
      </c>
      <c r="R123" s="84" t="str">
        <f>HYPERLINK("https://www.hs.fi/talous/art-2000008704863.html")</f>
        <v>https://www.hs.fi/talous/art-2000008704863.html</v>
      </c>
      <c r="S123" s="81" t="s">
        <v>582</v>
      </c>
      <c r="T123" s="81"/>
      <c r="U123" s="81"/>
      <c r="V123" s="84" t="str">
        <f>HYPERLINK("https://pbs.twimg.com/profile_images/1491914880018006028/4cFROacA_normal.jpg")</f>
        <v>https://pbs.twimg.com/profile_images/1491914880018006028/4cFROacA_normal.jpg</v>
      </c>
      <c r="W123" s="83">
        <v>44644.67340277778</v>
      </c>
      <c r="X123" s="88">
        <v>44644</v>
      </c>
      <c r="Y123" s="85" t="s">
        <v>720</v>
      </c>
      <c r="Z123" s="84" t="str">
        <f>HYPERLINK("https://twitter.com/jennijanakka/status/1507026883149549582")</f>
        <v>https://twitter.com/jennijanakka/status/1507026883149549582</v>
      </c>
      <c r="AA123" s="81"/>
      <c r="AB123" s="81"/>
      <c r="AC123" s="85" t="s">
        <v>989</v>
      </c>
      <c r="AD123" s="81"/>
      <c r="AE123" s="81" t="b">
        <v>0</v>
      </c>
      <c r="AF123" s="81">
        <v>0</v>
      </c>
      <c r="AG123" s="85" t="s">
        <v>1162</v>
      </c>
      <c r="AH123" s="81" t="b">
        <v>0</v>
      </c>
      <c r="AI123" s="81" t="s">
        <v>1179</v>
      </c>
      <c r="AJ123" s="81"/>
      <c r="AK123" s="85" t="s">
        <v>1162</v>
      </c>
      <c r="AL123" s="81" t="b">
        <v>0</v>
      </c>
      <c r="AM123" s="81">
        <v>103</v>
      </c>
      <c r="AN123" s="85" t="s">
        <v>1134</v>
      </c>
      <c r="AO123" s="85" t="s">
        <v>1190</v>
      </c>
      <c r="AP123" s="81" t="b">
        <v>0</v>
      </c>
      <c r="AQ123" s="85" t="s">
        <v>1134</v>
      </c>
      <c r="AR123" s="81" t="s">
        <v>187</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33</v>
      </c>
      <c r="BM123" s="50">
        <v>100</v>
      </c>
      <c r="BN123" s="49">
        <v>33</v>
      </c>
    </row>
    <row r="124" spans="1:66" ht="15">
      <c r="A124" s="65" t="s">
        <v>339</v>
      </c>
      <c r="B124" s="65" t="s">
        <v>479</v>
      </c>
      <c r="C124" s="66" t="s">
        <v>4392</v>
      </c>
      <c r="D124" s="67">
        <v>1</v>
      </c>
      <c r="E124" s="68" t="s">
        <v>132</v>
      </c>
      <c r="F124" s="69">
        <v>32</v>
      </c>
      <c r="G124" s="66" t="s">
        <v>51</v>
      </c>
      <c r="H124" s="70"/>
      <c r="I124" s="71"/>
      <c r="J124" s="71"/>
      <c r="K124" s="35" t="s">
        <v>65</v>
      </c>
      <c r="L124" s="79">
        <v>124</v>
      </c>
      <c r="M124" s="79"/>
      <c r="N124" s="73"/>
      <c r="O124" s="81" t="s">
        <v>504</v>
      </c>
      <c r="P124" s="83">
        <v>44644.67351851852</v>
      </c>
      <c r="Q124" s="81" t="s">
        <v>539</v>
      </c>
      <c r="R124" s="84" t="str">
        <f>HYPERLINK("https://www.hs.fi/talous/art-2000008704863.html")</f>
        <v>https://www.hs.fi/talous/art-2000008704863.html</v>
      </c>
      <c r="S124" s="81" t="s">
        <v>582</v>
      </c>
      <c r="T124" s="81"/>
      <c r="U124" s="81"/>
      <c r="V124" s="84" t="str">
        <f>HYPERLINK("https://pbs.twimg.com/profile_images/1180431249401434112/67i0iQx6_normal.jpg")</f>
        <v>https://pbs.twimg.com/profile_images/1180431249401434112/67i0iQx6_normal.jpg</v>
      </c>
      <c r="W124" s="83">
        <v>44644.67351851852</v>
      </c>
      <c r="X124" s="88">
        <v>44644</v>
      </c>
      <c r="Y124" s="85" t="s">
        <v>721</v>
      </c>
      <c r="Z124" s="84" t="str">
        <f>HYPERLINK("https://twitter.com/mikaelhoo/status/1507026925042245640")</f>
        <v>https://twitter.com/mikaelhoo/status/1507026925042245640</v>
      </c>
      <c r="AA124" s="81"/>
      <c r="AB124" s="81"/>
      <c r="AC124" s="85" t="s">
        <v>990</v>
      </c>
      <c r="AD124" s="81"/>
      <c r="AE124" s="81" t="b">
        <v>0</v>
      </c>
      <c r="AF124" s="81">
        <v>0</v>
      </c>
      <c r="AG124" s="85" t="s">
        <v>1162</v>
      </c>
      <c r="AH124" s="81" t="b">
        <v>0</v>
      </c>
      <c r="AI124" s="81" t="s">
        <v>1179</v>
      </c>
      <c r="AJ124" s="81"/>
      <c r="AK124" s="85" t="s">
        <v>1162</v>
      </c>
      <c r="AL124" s="81" t="b">
        <v>0</v>
      </c>
      <c r="AM124" s="81">
        <v>103</v>
      </c>
      <c r="AN124" s="85" t="s">
        <v>1134</v>
      </c>
      <c r="AO124" s="85" t="s">
        <v>1189</v>
      </c>
      <c r="AP124" s="81" t="b">
        <v>0</v>
      </c>
      <c r="AQ124" s="85" t="s">
        <v>1134</v>
      </c>
      <c r="AR124" s="81" t="s">
        <v>187</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33</v>
      </c>
      <c r="BM124" s="50">
        <v>100</v>
      </c>
      <c r="BN124" s="49">
        <v>33</v>
      </c>
    </row>
    <row r="125" spans="1:66" ht="15">
      <c r="A125" s="65" t="s">
        <v>340</v>
      </c>
      <c r="B125" s="65" t="s">
        <v>479</v>
      </c>
      <c r="C125" s="66" t="s">
        <v>4392</v>
      </c>
      <c r="D125" s="67">
        <v>1</v>
      </c>
      <c r="E125" s="68" t="s">
        <v>132</v>
      </c>
      <c r="F125" s="69">
        <v>32</v>
      </c>
      <c r="G125" s="66" t="s">
        <v>51</v>
      </c>
      <c r="H125" s="70"/>
      <c r="I125" s="71"/>
      <c r="J125" s="71"/>
      <c r="K125" s="35" t="s">
        <v>65</v>
      </c>
      <c r="L125" s="79">
        <v>125</v>
      </c>
      <c r="M125" s="79"/>
      <c r="N125" s="73"/>
      <c r="O125" s="81" t="s">
        <v>504</v>
      </c>
      <c r="P125" s="83">
        <v>44644.67377314815</v>
      </c>
      <c r="Q125" s="81" t="s">
        <v>539</v>
      </c>
      <c r="R125" s="84" t="str">
        <f>HYPERLINK("https://www.hs.fi/talous/art-2000008704863.html")</f>
        <v>https://www.hs.fi/talous/art-2000008704863.html</v>
      </c>
      <c r="S125" s="81" t="s">
        <v>582</v>
      </c>
      <c r="T125" s="81"/>
      <c r="U125" s="81"/>
      <c r="V125" s="84" t="str">
        <f>HYPERLINK("https://pbs.twimg.com/profile_images/1250333053412507650/w7Pbw0n4_normal.jpg")</f>
        <v>https://pbs.twimg.com/profile_images/1250333053412507650/w7Pbw0n4_normal.jpg</v>
      </c>
      <c r="W125" s="83">
        <v>44644.67377314815</v>
      </c>
      <c r="X125" s="88">
        <v>44644</v>
      </c>
      <c r="Y125" s="85" t="s">
        <v>722</v>
      </c>
      <c r="Z125" s="84" t="str">
        <f>HYPERLINK("https://twitter.com/lassi_ylikojola/status/1507027017706975241")</f>
        <v>https://twitter.com/lassi_ylikojola/status/1507027017706975241</v>
      </c>
      <c r="AA125" s="81"/>
      <c r="AB125" s="81"/>
      <c r="AC125" s="85" t="s">
        <v>991</v>
      </c>
      <c r="AD125" s="81"/>
      <c r="AE125" s="81" t="b">
        <v>0</v>
      </c>
      <c r="AF125" s="81">
        <v>0</v>
      </c>
      <c r="AG125" s="85" t="s">
        <v>1162</v>
      </c>
      <c r="AH125" s="81" t="b">
        <v>0</v>
      </c>
      <c r="AI125" s="81" t="s">
        <v>1179</v>
      </c>
      <c r="AJ125" s="81"/>
      <c r="AK125" s="85" t="s">
        <v>1162</v>
      </c>
      <c r="AL125" s="81" t="b">
        <v>0</v>
      </c>
      <c r="AM125" s="81">
        <v>103</v>
      </c>
      <c r="AN125" s="85" t="s">
        <v>1134</v>
      </c>
      <c r="AO125" s="85" t="s">
        <v>1190</v>
      </c>
      <c r="AP125" s="81" t="b">
        <v>0</v>
      </c>
      <c r="AQ125" s="85" t="s">
        <v>1134</v>
      </c>
      <c r="AR125" s="81" t="s">
        <v>187</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v>0</v>
      </c>
      <c r="BG125" s="50">
        <v>0</v>
      </c>
      <c r="BH125" s="49">
        <v>0</v>
      </c>
      <c r="BI125" s="50">
        <v>0</v>
      </c>
      <c r="BJ125" s="49">
        <v>0</v>
      </c>
      <c r="BK125" s="50">
        <v>0</v>
      </c>
      <c r="BL125" s="49">
        <v>33</v>
      </c>
      <c r="BM125" s="50">
        <v>100</v>
      </c>
      <c r="BN125" s="49">
        <v>33</v>
      </c>
    </row>
    <row r="126" spans="1:66" ht="15">
      <c r="A126" s="65" t="s">
        <v>341</v>
      </c>
      <c r="B126" s="65" t="s">
        <v>341</v>
      </c>
      <c r="C126" s="66" t="s">
        <v>4392</v>
      </c>
      <c r="D126" s="67">
        <v>1</v>
      </c>
      <c r="E126" s="68" t="s">
        <v>132</v>
      </c>
      <c r="F126" s="69">
        <v>32</v>
      </c>
      <c r="G126" s="66" t="s">
        <v>51</v>
      </c>
      <c r="H126" s="70"/>
      <c r="I126" s="71"/>
      <c r="J126" s="71"/>
      <c r="K126" s="35" t="s">
        <v>65</v>
      </c>
      <c r="L126" s="79">
        <v>126</v>
      </c>
      <c r="M126" s="79"/>
      <c r="N126" s="73"/>
      <c r="O126" s="81" t="s">
        <v>187</v>
      </c>
      <c r="P126" s="83">
        <v>44644.674259259256</v>
      </c>
      <c r="Q126" s="81" t="s">
        <v>542</v>
      </c>
      <c r="R126" s="81"/>
      <c r="S126" s="81"/>
      <c r="T126" s="85" t="s">
        <v>595</v>
      </c>
      <c r="U126" s="84" t="str">
        <f>HYPERLINK("https://pbs.twimg.com/media/FOoJJ8KXIAEjYts.jpg")</f>
        <v>https://pbs.twimg.com/media/FOoJJ8KXIAEjYts.jpg</v>
      </c>
      <c r="V126" s="84" t="str">
        <f>HYPERLINK("https://pbs.twimg.com/media/FOoJJ8KXIAEjYts.jpg")</f>
        <v>https://pbs.twimg.com/media/FOoJJ8KXIAEjYts.jpg</v>
      </c>
      <c r="W126" s="83">
        <v>44644.674259259256</v>
      </c>
      <c r="X126" s="88">
        <v>44644</v>
      </c>
      <c r="Y126" s="85" t="s">
        <v>723</v>
      </c>
      <c r="Z126" s="84" t="str">
        <f>HYPERLINK("https://twitter.com/turhaporu/status/1507027193972539400")</f>
        <v>https://twitter.com/turhaporu/status/1507027193972539400</v>
      </c>
      <c r="AA126" s="81"/>
      <c r="AB126" s="81"/>
      <c r="AC126" s="85" t="s">
        <v>992</v>
      </c>
      <c r="AD126" s="81"/>
      <c r="AE126" s="81" t="b">
        <v>0</v>
      </c>
      <c r="AF126" s="81">
        <v>0</v>
      </c>
      <c r="AG126" s="85" t="s">
        <v>1162</v>
      </c>
      <c r="AH126" s="81" t="b">
        <v>0</v>
      </c>
      <c r="AI126" s="81" t="s">
        <v>1179</v>
      </c>
      <c r="AJ126" s="81"/>
      <c r="AK126" s="85" t="s">
        <v>1162</v>
      </c>
      <c r="AL126" s="81" t="b">
        <v>0</v>
      </c>
      <c r="AM126" s="81">
        <v>0</v>
      </c>
      <c r="AN126" s="85" t="s">
        <v>1162</v>
      </c>
      <c r="AO126" s="85" t="s">
        <v>1189</v>
      </c>
      <c r="AP126" s="81" t="b">
        <v>0</v>
      </c>
      <c r="AQ126" s="85" t="s">
        <v>992</v>
      </c>
      <c r="AR126" s="81" t="s">
        <v>187</v>
      </c>
      <c r="AS126" s="81">
        <v>0</v>
      </c>
      <c r="AT126" s="81">
        <v>0</v>
      </c>
      <c r="AU126" s="81"/>
      <c r="AV126" s="81"/>
      <c r="AW126" s="81"/>
      <c r="AX126" s="81"/>
      <c r="AY126" s="81"/>
      <c r="AZ126" s="81"/>
      <c r="BA126" s="81"/>
      <c r="BB126" s="81"/>
      <c r="BC126">
        <v>1</v>
      </c>
      <c r="BD126" s="80" t="str">
        <f>REPLACE(INDEX(GroupVertices[Group],MATCH(Edges[[#This Row],[Vertex 1]],GroupVertices[Vertex],0)),1,1,"")</f>
        <v>3</v>
      </c>
      <c r="BE126" s="80" t="str">
        <f>REPLACE(INDEX(GroupVertices[Group],MATCH(Edges[[#This Row],[Vertex 2]],GroupVertices[Vertex],0)),1,1,"")</f>
        <v>3</v>
      </c>
      <c r="BF126" s="49">
        <v>0</v>
      </c>
      <c r="BG126" s="50">
        <v>0</v>
      </c>
      <c r="BH126" s="49">
        <v>0</v>
      </c>
      <c r="BI126" s="50">
        <v>0</v>
      </c>
      <c r="BJ126" s="49">
        <v>0</v>
      </c>
      <c r="BK126" s="50">
        <v>0</v>
      </c>
      <c r="BL126" s="49">
        <v>16</v>
      </c>
      <c r="BM126" s="50">
        <v>100</v>
      </c>
      <c r="BN126" s="49">
        <v>16</v>
      </c>
    </row>
    <row r="127" spans="1:66" ht="15">
      <c r="A127" s="65" t="s">
        <v>342</v>
      </c>
      <c r="B127" s="65" t="s">
        <v>342</v>
      </c>
      <c r="C127" s="66" t="s">
        <v>4392</v>
      </c>
      <c r="D127" s="67">
        <v>1</v>
      </c>
      <c r="E127" s="68" t="s">
        <v>132</v>
      </c>
      <c r="F127" s="69">
        <v>32</v>
      </c>
      <c r="G127" s="66" t="s">
        <v>51</v>
      </c>
      <c r="H127" s="70"/>
      <c r="I127" s="71"/>
      <c r="J127" s="71"/>
      <c r="K127" s="35" t="s">
        <v>65</v>
      </c>
      <c r="L127" s="79">
        <v>127</v>
      </c>
      <c r="M127" s="79"/>
      <c r="N127" s="73"/>
      <c r="O127" s="81" t="s">
        <v>187</v>
      </c>
      <c r="P127" s="83">
        <v>44644.674479166664</v>
      </c>
      <c r="Q127" s="81" t="s">
        <v>543</v>
      </c>
      <c r="R127" s="84" t="str">
        <f>HYPERLINK("https://www.pentik.com/collections/anis")</f>
        <v>https://www.pentik.com/collections/anis</v>
      </c>
      <c r="S127" s="81" t="s">
        <v>584</v>
      </c>
      <c r="T127" s="81"/>
      <c r="U127" s="81"/>
      <c r="V127" s="84" t="str">
        <f>HYPERLINK("https://pbs.twimg.com/profile_images/378800000612874771/acdbe9bc3f8cd87b3d0869cd969c4c79_normal.jpeg")</f>
        <v>https://pbs.twimg.com/profile_images/378800000612874771/acdbe9bc3f8cd87b3d0869cd969c4c79_normal.jpeg</v>
      </c>
      <c r="W127" s="83">
        <v>44644.674479166664</v>
      </c>
      <c r="X127" s="88">
        <v>44644</v>
      </c>
      <c r="Y127" s="85" t="s">
        <v>724</v>
      </c>
      <c r="Z127" s="84" t="str">
        <f>HYPERLINK("https://twitter.com/iirorantala/status/1507027272271900682")</f>
        <v>https://twitter.com/iirorantala/status/1507027272271900682</v>
      </c>
      <c r="AA127" s="81"/>
      <c r="AB127" s="81"/>
      <c r="AC127" s="85" t="s">
        <v>993</v>
      </c>
      <c r="AD127" s="81"/>
      <c r="AE127" s="81" t="b">
        <v>0</v>
      </c>
      <c r="AF127" s="81">
        <v>5</v>
      </c>
      <c r="AG127" s="85" t="s">
        <v>1162</v>
      </c>
      <c r="AH127" s="81" t="b">
        <v>0</v>
      </c>
      <c r="AI127" s="81" t="s">
        <v>1179</v>
      </c>
      <c r="AJ127" s="81"/>
      <c r="AK127" s="85" t="s">
        <v>1162</v>
      </c>
      <c r="AL127" s="81" t="b">
        <v>0</v>
      </c>
      <c r="AM127" s="81">
        <v>0</v>
      </c>
      <c r="AN127" s="85" t="s">
        <v>1162</v>
      </c>
      <c r="AO127" s="85" t="s">
        <v>1190</v>
      </c>
      <c r="AP127" s="81" t="b">
        <v>0</v>
      </c>
      <c r="AQ127" s="85" t="s">
        <v>993</v>
      </c>
      <c r="AR127" s="81" t="s">
        <v>187</v>
      </c>
      <c r="AS127" s="81">
        <v>0</v>
      </c>
      <c r="AT127" s="81">
        <v>0</v>
      </c>
      <c r="AU127" s="81"/>
      <c r="AV127" s="81"/>
      <c r="AW127" s="81"/>
      <c r="AX127" s="81"/>
      <c r="AY127" s="81"/>
      <c r="AZ127" s="81"/>
      <c r="BA127" s="81"/>
      <c r="BB127" s="81"/>
      <c r="BC127">
        <v>1</v>
      </c>
      <c r="BD127" s="80" t="str">
        <f>REPLACE(INDEX(GroupVertices[Group],MATCH(Edges[[#This Row],[Vertex 1]],GroupVertices[Vertex],0)),1,1,"")</f>
        <v>3</v>
      </c>
      <c r="BE127" s="80" t="str">
        <f>REPLACE(INDEX(GroupVertices[Group],MATCH(Edges[[#This Row],[Vertex 2]],GroupVertices[Vertex],0)),1,1,"")</f>
        <v>3</v>
      </c>
      <c r="BF127" s="49">
        <v>0</v>
      </c>
      <c r="BG127" s="50">
        <v>0</v>
      </c>
      <c r="BH127" s="49">
        <v>0</v>
      </c>
      <c r="BI127" s="50">
        <v>0</v>
      </c>
      <c r="BJ127" s="49">
        <v>0</v>
      </c>
      <c r="BK127" s="50">
        <v>0</v>
      </c>
      <c r="BL127" s="49">
        <v>5</v>
      </c>
      <c r="BM127" s="50">
        <v>100</v>
      </c>
      <c r="BN127" s="49">
        <v>5</v>
      </c>
    </row>
    <row r="128" spans="1:66" ht="15">
      <c r="A128" s="65" t="s">
        <v>343</v>
      </c>
      <c r="B128" s="65" t="s">
        <v>479</v>
      </c>
      <c r="C128" s="66" t="s">
        <v>4392</v>
      </c>
      <c r="D128" s="67">
        <v>1</v>
      </c>
      <c r="E128" s="68" t="s">
        <v>132</v>
      </c>
      <c r="F128" s="69">
        <v>32</v>
      </c>
      <c r="G128" s="66" t="s">
        <v>51</v>
      </c>
      <c r="H128" s="70"/>
      <c r="I128" s="71"/>
      <c r="J128" s="71"/>
      <c r="K128" s="35" t="s">
        <v>65</v>
      </c>
      <c r="L128" s="79">
        <v>128</v>
      </c>
      <c r="M128" s="79"/>
      <c r="N128" s="73"/>
      <c r="O128" s="81" t="s">
        <v>504</v>
      </c>
      <c r="P128" s="83">
        <v>44644.67655092593</v>
      </c>
      <c r="Q128" s="81" t="s">
        <v>539</v>
      </c>
      <c r="R128" s="84" t="str">
        <f>HYPERLINK("https://www.hs.fi/talous/art-2000008704863.html")</f>
        <v>https://www.hs.fi/talous/art-2000008704863.html</v>
      </c>
      <c r="S128" s="81" t="s">
        <v>582</v>
      </c>
      <c r="T128" s="81"/>
      <c r="U128" s="81"/>
      <c r="V128" s="84" t="str">
        <f>HYPERLINK("https://pbs.twimg.com/profile_images/864372109228822528/PF_nrzml_normal.jpg")</f>
        <v>https://pbs.twimg.com/profile_images/864372109228822528/PF_nrzml_normal.jpg</v>
      </c>
      <c r="W128" s="83">
        <v>44644.67655092593</v>
      </c>
      <c r="X128" s="88">
        <v>44644</v>
      </c>
      <c r="Y128" s="85" t="s">
        <v>725</v>
      </c>
      <c r="Z128" s="84" t="str">
        <f>HYPERLINK("https://twitter.com/juusojoo/status/1507028021995347968")</f>
        <v>https://twitter.com/juusojoo/status/1507028021995347968</v>
      </c>
      <c r="AA128" s="81"/>
      <c r="AB128" s="81"/>
      <c r="AC128" s="85" t="s">
        <v>994</v>
      </c>
      <c r="AD128" s="81"/>
      <c r="AE128" s="81" t="b">
        <v>0</v>
      </c>
      <c r="AF128" s="81">
        <v>0</v>
      </c>
      <c r="AG128" s="85" t="s">
        <v>1162</v>
      </c>
      <c r="AH128" s="81" t="b">
        <v>0</v>
      </c>
      <c r="AI128" s="81" t="s">
        <v>1179</v>
      </c>
      <c r="AJ128" s="81"/>
      <c r="AK128" s="85" t="s">
        <v>1162</v>
      </c>
      <c r="AL128" s="81" t="b">
        <v>0</v>
      </c>
      <c r="AM128" s="81">
        <v>103</v>
      </c>
      <c r="AN128" s="85" t="s">
        <v>1134</v>
      </c>
      <c r="AO128" s="85" t="s">
        <v>1190</v>
      </c>
      <c r="AP128" s="81" t="b">
        <v>0</v>
      </c>
      <c r="AQ128" s="85" t="s">
        <v>1134</v>
      </c>
      <c r="AR128" s="81" t="s">
        <v>187</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33</v>
      </c>
      <c r="BM128" s="50">
        <v>100</v>
      </c>
      <c r="BN128" s="49">
        <v>33</v>
      </c>
    </row>
    <row r="129" spans="1:66" ht="15">
      <c r="A129" s="65" t="s">
        <v>344</v>
      </c>
      <c r="B129" s="65" t="s">
        <v>479</v>
      </c>
      <c r="C129" s="66" t="s">
        <v>4392</v>
      </c>
      <c r="D129" s="67">
        <v>1</v>
      </c>
      <c r="E129" s="68" t="s">
        <v>132</v>
      </c>
      <c r="F129" s="69">
        <v>32</v>
      </c>
      <c r="G129" s="66" t="s">
        <v>51</v>
      </c>
      <c r="H129" s="70"/>
      <c r="I129" s="71"/>
      <c r="J129" s="71"/>
      <c r="K129" s="35" t="s">
        <v>65</v>
      </c>
      <c r="L129" s="79">
        <v>129</v>
      </c>
      <c r="M129" s="79"/>
      <c r="N129" s="73"/>
      <c r="O129" s="81" t="s">
        <v>504</v>
      </c>
      <c r="P129" s="83">
        <v>44644.67932870371</v>
      </c>
      <c r="Q129" s="81" t="s">
        <v>539</v>
      </c>
      <c r="R129" s="84" t="str">
        <f>HYPERLINK("https://www.hs.fi/talous/art-2000008704863.html")</f>
        <v>https://www.hs.fi/talous/art-2000008704863.html</v>
      </c>
      <c r="S129" s="81" t="s">
        <v>582</v>
      </c>
      <c r="T129" s="81"/>
      <c r="U129" s="81"/>
      <c r="V129" s="84" t="str">
        <f>HYPERLINK("https://pbs.twimg.com/profile_images/1297911362384007174/-6CfOv6f_normal.jpg")</f>
        <v>https://pbs.twimg.com/profile_images/1297911362384007174/-6CfOv6f_normal.jpg</v>
      </c>
      <c r="W129" s="83">
        <v>44644.67932870371</v>
      </c>
      <c r="X129" s="88">
        <v>44644</v>
      </c>
      <c r="Y129" s="85" t="s">
        <v>726</v>
      </c>
      <c r="Z129" s="84" t="str">
        <f>HYPERLINK("https://twitter.com/nightisnotday45/status/1507029028967956496")</f>
        <v>https://twitter.com/nightisnotday45/status/1507029028967956496</v>
      </c>
      <c r="AA129" s="81"/>
      <c r="AB129" s="81"/>
      <c r="AC129" s="85" t="s">
        <v>995</v>
      </c>
      <c r="AD129" s="81"/>
      <c r="AE129" s="81" t="b">
        <v>0</v>
      </c>
      <c r="AF129" s="81">
        <v>0</v>
      </c>
      <c r="AG129" s="85" t="s">
        <v>1162</v>
      </c>
      <c r="AH129" s="81" t="b">
        <v>0</v>
      </c>
      <c r="AI129" s="81" t="s">
        <v>1179</v>
      </c>
      <c r="AJ129" s="81"/>
      <c r="AK129" s="85" t="s">
        <v>1162</v>
      </c>
      <c r="AL129" s="81" t="b">
        <v>0</v>
      </c>
      <c r="AM129" s="81">
        <v>103</v>
      </c>
      <c r="AN129" s="85" t="s">
        <v>1134</v>
      </c>
      <c r="AO129" s="85" t="s">
        <v>1190</v>
      </c>
      <c r="AP129" s="81" t="b">
        <v>0</v>
      </c>
      <c r="AQ129" s="85" t="s">
        <v>1134</v>
      </c>
      <c r="AR129" s="81" t="s">
        <v>187</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33</v>
      </c>
      <c r="BM129" s="50">
        <v>100</v>
      </c>
      <c r="BN129" s="49">
        <v>33</v>
      </c>
    </row>
    <row r="130" spans="1:66" ht="15">
      <c r="A130" s="65" t="s">
        <v>345</v>
      </c>
      <c r="B130" s="65" t="s">
        <v>479</v>
      </c>
      <c r="C130" s="66" t="s">
        <v>4392</v>
      </c>
      <c r="D130" s="67">
        <v>1</v>
      </c>
      <c r="E130" s="68" t="s">
        <v>132</v>
      </c>
      <c r="F130" s="69">
        <v>32</v>
      </c>
      <c r="G130" s="66" t="s">
        <v>51</v>
      </c>
      <c r="H130" s="70"/>
      <c r="I130" s="71"/>
      <c r="J130" s="71"/>
      <c r="K130" s="35" t="s">
        <v>65</v>
      </c>
      <c r="L130" s="79">
        <v>130</v>
      </c>
      <c r="M130" s="79"/>
      <c r="N130" s="73"/>
      <c r="O130" s="81" t="s">
        <v>504</v>
      </c>
      <c r="P130" s="83">
        <v>44644.68010416667</v>
      </c>
      <c r="Q130" s="81" t="s">
        <v>539</v>
      </c>
      <c r="R130" s="84" t="str">
        <f>HYPERLINK("https://www.hs.fi/talous/art-2000008704863.html")</f>
        <v>https://www.hs.fi/talous/art-2000008704863.html</v>
      </c>
      <c r="S130" s="81" t="s">
        <v>582</v>
      </c>
      <c r="T130" s="81"/>
      <c r="U130" s="81"/>
      <c r="V130" s="84" t="str">
        <f>HYPERLINK("https://pbs.twimg.com/profile_images/1170731199700058113/YGS2N6-3_normal.jpg")</f>
        <v>https://pbs.twimg.com/profile_images/1170731199700058113/YGS2N6-3_normal.jpg</v>
      </c>
      <c r="W130" s="83">
        <v>44644.68010416667</v>
      </c>
      <c r="X130" s="88">
        <v>44644</v>
      </c>
      <c r="Y130" s="85" t="s">
        <v>727</v>
      </c>
      <c r="Z130" s="84" t="str">
        <f>HYPERLINK("https://twitter.com/piapihlaja/status/1507029310674190344")</f>
        <v>https://twitter.com/piapihlaja/status/1507029310674190344</v>
      </c>
      <c r="AA130" s="81"/>
      <c r="AB130" s="81"/>
      <c r="AC130" s="85" t="s">
        <v>996</v>
      </c>
      <c r="AD130" s="81"/>
      <c r="AE130" s="81" t="b">
        <v>0</v>
      </c>
      <c r="AF130" s="81">
        <v>0</v>
      </c>
      <c r="AG130" s="85" t="s">
        <v>1162</v>
      </c>
      <c r="AH130" s="81" t="b">
        <v>0</v>
      </c>
      <c r="AI130" s="81" t="s">
        <v>1179</v>
      </c>
      <c r="AJ130" s="81"/>
      <c r="AK130" s="85" t="s">
        <v>1162</v>
      </c>
      <c r="AL130" s="81" t="b">
        <v>0</v>
      </c>
      <c r="AM130" s="81">
        <v>103</v>
      </c>
      <c r="AN130" s="85" t="s">
        <v>1134</v>
      </c>
      <c r="AO130" s="85" t="s">
        <v>1190</v>
      </c>
      <c r="AP130" s="81" t="b">
        <v>0</v>
      </c>
      <c r="AQ130" s="85" t="s">
        <v>1134</v>
      </c>
      <c r="AR130" s="81" t="s">
        <v>187</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33</v>
      </c>
      <c r="BM130" s="50">
        <v>100</v>
      </c>
      <c r="BN130" s="49">
        <v>33</v>
      </c>
    </row>
    <row r="131" spans="1:66" ht="15">
      <c r="A131" s="65" t="s">
        <v>346</v>
      </c>
      <c r="B131" s="65" t="s">
        <v>495</v>
      </c>
      <c r="C131" s="66" t="s">
        <v>4392</v>
      </c>
      <c r="D131" s="67">
        <v>1</v>
      </c>
      <c r="E131" s="68" t="s">
        <v>132</v>
      </c>
      <c r="F131" s="69">
        <v>32</v>
      </c>
      <c r="G131" s="66" t="s">
        <v>51</v>
      </c>
      <c r="H131" s="70"/>
      <c r="I131" s="71"/>
      <c r="J131" s="71"/>
      <c r="K131" s="35" t="s">
        <v>65</v>
      </c>
      <c r="L131" s="79">
        <v>131</v>
      </c>
      <c r="M131" s="79"/>
      <c r="N131" s="73"/>
      <c r="O131" s="81" t="s">
        <v>502</v>
      </c>
      <c r="P131" s="83">
        <v>44644.68349537037</v>
      </c>
      <c r="Q131" s="81" t="s">
        <v>544</v>
      </c>
      <c r="R131" s="81"/>
      <c r="S131" s="81"/>
      <c r="T131" s="81"/>
      <c r="U131" s="81"/>
      <c r="V131" s="84" t="str">
        <f>HYPERLINK("https://pbs.twimg.com/profile_images/1496821341332332547/3U9VPMhf_normal.jpg")</f>
        <v>https://pbs.twimg.com/profile_images/1496821341332332547/3U9VPMhf_normal.jpg</v>
      </c>
      <c r="W131" s="83">
        <v>44644.68349537037</v>
      </c>
      <c r="X131" s="88">
        <v>44644</v>
      </c>
      <c r="Y131" s="85" t="s">
        <v>728</v>
      </c>
      <c r="Z131" s="84" t="str">
        <f>HYPERLINK("https://twitter.com/pasiyliuntinen/status/1507030537541718032")</f>
        <v>https://twitter.com/pasiyliuntinen/status/1507030537541718032</v>
      </c>
      <c r="AA131" s="81"/>
      <c r="AB131" s="81"/>
      <c r="AC131" s="85" t="s">
        <v>997</v>
      </c>
      <c r="AD131" s="85" t="s">
        <v>1150</v>
      </c>
      <c r="AE131" s="81" t="b">
        <v>0</v>
      </c>
      <c r="AF131" s="81">
        <v>4</v>
      </c>
      <c r="AG131" s="85" t="s">
        <v>1169</v>
      </c>
      <c r="AH131" s="81" t="b">
        <v>0</v>
      </c>
      <c r="AI131" s="81" t="s">
        <v>1178</v>
      </c>
      <c r="AJ131" s="81"/>
      <c r="AK131" s="85" t="s">
        <v>1162</v>
      </c>
      <c r="AL131" s="81" t="b">
        <v>0</v>
      </c>
      <c r="AM131" s="81">
        <v>0</v>
      </c>
      <c r="AN131" s="85" t="s">
        <v>1162</v>
      </c>
      <c r="AO131" s="85" t="s">
        <v>1188</v>
      </c>
      <c r="AP131" s="81" t="b">
        <v>0</v>
      </c>
      <c r="AQ131" s="85" t="s">
        <v>1150</v>
      </c>
      <c r="AR131" s="81" t="s">
        <v>187</v>
      </c>
      <c r="AS131" s="81">
        <v>0</v>
      </c>
      <c r="AT131" s="81">
        <v>0</v>
      </c>
      <c r="AU131" s="81"/>
      <c r="AV131" s="81"/>
      <c r="AW131" s="81"/>
      <c r="AX131" s="81"/>
      <c r="AY131" s="81"/>
      <c r="AZ131" s="81"/>
      <c r="BA131" s="81"/>
      <c r="BB131" s="81"/>
      <c r="BC131">
        <v>1</v>
      </c>
      <c r="BD131" s="80" t="str">
        <f>REPLACE(INDEX(GroupVertices[Group],MATCH(Edges[[#This Row],[Vertex 1]],GroupVertices[Vertex],0)),1,1,"")</f>
        <v>6</v>
      </c>
      <c r="BE131" s="80" t="str">
        <f>REPLACE(INDEX(GroupVertices[Group],MATCH(Edges[[#This Row],[Vertex 2]],GroupVertices[Vertex],0)),1,1,"")</f>
        <v>6</v>
      </c>
      <c r="BF131" s="49">
        <v>0</v>
      </c>
      <c r="BG131" s="50">
        <v>0</v>
      </c>
      <c r="BH131" s="49">
        <v>0</v>
      </c>
      <c r="BI131" s="50">
        <v>0</v>
      </c>
      <c r="BJ131" s="49">
        <v>0</v>
      </c>
      <c r="BK131" s="50">
        <v>0</v>
      </c>
      <c r="BL131" s="49">
        <v>13</v>
      </c>
      <c r="BM131" s="50">
        <v>100</v>
      </c>
      <c r="BN131" s="49">
        <v>13</v>
      </c>
    </row>
    <row r="132" spans="1:66" ht="15">
      <c r="A132" s="65" t="s">
        <v>347</v>
      </c>
      <c r="B132" s="65" t="s">
        <v>479</v>
      </c>
      <c r="C132" s="66" t="s">
        <v>4392</v>
      </c>
      <c r="D132" s="67">
        <v>1</v>
      </c>
      <c r="E132" s="68" t="s">
        <v>132</v>
      </c>
      <c r="F132" s="69">
        <v>32</v>
      </c>
      <c r="G132" s="66" t="s">
        <v>51</v>
      </c>
      <c r="H132" s="70"/>
      <c r="I132" s="71"/>
      <c r="J132" s="71"/>
      <c r="K132" s="35" t="s">
        <v>65</v>
      </c>
      <c r="L132" s="79">
        <v>132</v>
      </c>
      <c r="M132" s="79"/>
      <c r="N132" s="73"/>
      <c r="O132" s="81" t="s">
        <v>504</v>
      </c>
      <c r="P132" s="83">
        <v>44644.683645833335</v>
      </c>
      <c r="Q132" s="81" t="s">
        <v>539</v>
      </c>
      <c r="R132" s="84" t="str">
        <f>HYPERLINK("https://www.hs.fi/talous/art-2000008704863.html")</f>
        <v>https://www.hs.fi/talous/art-2000008704863.html</v>
      </c>
      <c r="S132" s="81" t="s">
        <v>582</v>
      </c>
      <c r="T132" s="81"/>
      <c r="U132" s="81"/>
      <c r="V132" s="84" t="str">
        <f>HYPERLINK("https://pbs.twimg.com/profile_images/1405234555166941184/tgp1gF2k_normal.jpg")</f>
        <v>https://pbs.twimg.com/profile_images/1405234555166941184/tgp1gF2k_normal.jpg</v>
      </c>
      <c r="W132" s="83">
        <v>44644.683645833335</v>
      </c>
      <c r="X132" s="88">
        <v>44644</v>
      </c>
      <c r="Y132" s="85" t="s">
        <v>729</v>
      </c>
      <c r="Z132" s="84" t="str">
        <f>HYPERLINK("https://twitter.com/svuorikoski/status/1507030595444092929")</f>
        <v>https://twitter.com/svuorikoski/status/1507030595444092929</v>
      </c>
      <c r="AA132" s="81"/>
      <c r="AB132" s="81"/>
      <c r="AC132" s="85" t="s">
        <v>998</v>
      </c>
      <c r="AD132" s="81"/>
      <c r="AE132" s="81" t="b">
        <v>0</v>
      </c>
      <c r="AF132" s="81">
        <v>0</v>
      </c>
      <c r="AG132" s="85" t="s">
        <v>1162</v>
      </c>
      <c r="AH132" s="81" t="b">
        <v>0</v>
      </c>
      <c r="AI132" s="81" t="s">
        <v>1179</v>
      </c>
      <c r="AJ132" s="81"/>
      <c r="AK132" s="85" t="s">
        <v>1162</v>
      </c>
      <c r="AL132" s="81" t="b">
        <v>0</v>
      </c>
      <c r="AM132" s="81">
        <v>103</v>
      </c>
      <c r="AN132" s="85" t="s">
        <v>1134</v>
      </c>
      <c r="AO132" s="85" t="s">
        <v>1190</v>
      </c>
      <c r="AP132" s="81" t="b">
        <v>0</v>
      </c>
      <c r="AQ132" s="85" t="s">
        <v>1134</v>
      </c>
      <c r="AR132" s="81" t="s">
        <v>187</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33</v>
      </c>
      <c r="BM132" s="50">
        <v>100</v>
      </c>
      <c r="BN132" s="49">
        <v>33</v>
      </c>
    </row>
    <row r="133" spans="1:66" ht="15">
      <c r="A133" s="65" t="s">
        <v>348</v>
      </c>
      <c r="B133" s="65" t="s">
        <v>479</v>
      </c>
      <c r="C133" s="66" t="s">
        <v>4392</v>
      </c>
      <c r="D133" s="67">
        <v>1</v>
      </c>
      <c r="E133" s="68" t="s">
        <v>132</v>
      </c>
      <c r="F133" s="69">
        <v>32</v>
      </c>
      <c r="G133" s="66" t="s">
        <v>51</v>
      </c>
      <c r="H133" s="70"/>
      <c r="I133" s="71"/>
      <c r="J133" s="71"/>
      <c r="K133" s="35" t="s">
        <v>65</v>
      </c>
      <c r="L133" s="79">
        <v>133</v>
      </c>
      <c r="M133" s="79"/>
      <c r="N133" s="73"/>
      <c r="O133" s="81" t="s">
        <v>504</v>
      </c>
      <c r="P133" s="83">
        <v>44644.68505787037</v>
      </c>
      <c r="Q133" s="81" t="s">
        <v>539</v>
      </c>
      <c r="R133" s="84" t="str">
        <f>HYPERLINK("https://www.hs.fi/talous/art-2000008704863.html")</f>
        <v>https://www.hs.fi/talous/art-2000008704863.html</v>
      </c>
      <c r="S133" s="81" t="s">
        <v>582</v>
      </c>
      <c r="T133" s="81"/>
      <c r="U133" s="81"/>
      <c r="V133" s="84" t="str">
        <f>HYPERLINK("https://pbs.twimg.com/profile_images/3357757241/b4b11b66cf67979d5026f306388366d1_normal.jpeg")</f>
        <v>https://pbs.twimg.com/profile_images/3357757241/b4b11b66cf67979d5026f306388366d1_normal.jpeg</v>
      </c>
      <c r="W133" s="83">
        <v>44644.68505787037</v>
      </c>
      <c r="X133" s="88">
        <v>44644</v>
      </c>
      <c r="Y133" s="85" t="s">
        <v>730</v>
      </c>
      <c r="Z133" s="84" t="str">
        <f>HYPERLINK("https://twitter.com/anttiparnanen/status/1507031104494129156")</f>
        <v>https://twitter.com/anttiparnanen/status/1507031104494129156</v>
      </c>
      <c r="AA133" s="81"/>
      <c r="AB133" s="81"/>
      <c r="AC133" s="85" t="s">
        <v>999</v>
      </c>
      <c r="AD133" s="81"/>
      <c r="AE133" s="81" t="b">
        <v>0</v>
      </c>
      <c r="AF133" s="81">
        <v>0</v>
      </c>
      <c r="AG133" s="85" t="s">
        <v>1162</v>
      </c>
      <c r="AH133" s="81" t="b">
        <v>0</v>
      </c>
      <c r="AI133" s="81" t="s">
        <v>1179</v>
      </c>
      <c r="AJ133" s="81"/>
      <c r="AK133" s="85" t="s">
        <v>1162</v>
      </c>
      <c r="AL133" s="81" t="b">
        <v>0</v>
      </c>
      <c r="AM133" s="81">
        <v>103</v>
      </c>
      <c r="AN133" s="85" t="s">
        <v>1134</v>
      </c>
      <c r="AO133" s="85" t="s">
        <v>1188</v>
      </c>
      <c r="AP133" s="81" t="b">
        <v>0</v>
      </c>
      <c r="AQ133" s="85" t="s">
        <v>1134</v>
      </c>
      <c r="AR133" s="81" t="s">
        <v>187</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0</v>
      </c>
      <c r="BG133" s="50">
        <v>0</v>
      </c>
      <c r="BH133" s="49">
        <v>0</v>
      </c>
      <c r="BI133" s="50">
        <v>0</v>
      </c>
      <c r="BJ133" s="49">
        <v>0</v>
      </c>
      <c r="BK133" s="50">
        <v>0</v>
      </c>
      <c r="BL133" s="49">
        <v>33</v>
      </c>
      <c r="BM133" s="50">
        <v>100</v>
      </c>
      <c r="BN133" s="49">
        <v>33</v>
      </c>
    </row>
    <row r="134" spans="1:66" ht="15">
      <c r="A134" s="65" t="s">
        <v>349</v>
      </c>
      <c r="B134" s="65" t="s">
        <v>496</v>
      </c>
      <c r="C134" s="66" t="s">
        <v>4392</v>
      </c>
      <c r="D134" s="67">
        <v>1</v>
      </c>
      <c r="E134" s="68" t="s">
        <v>132</v>
      </c>
      <c r="F134" s="69">
        <v>32</v>
      </c>
      <c r="G134" s="66" t="s">
        <v>51</v>
      </c>
      <c r="H134" s="70"/>
      <c r="I134" s="71"/>
      <c r="J134" s="71"/>
      <c r="K134" s="35" t="s">
        <v>65</v>
      </c>
      <c r="L134" s="79">
        <v>134</v>
      </c>
      <c r="M134" s="79"/>
      <c r="N134" s="73"/>
      <c r="O134" s="81" t="s">
        <v>502</v>
      </c>
      <c r="P134" s="83">
        <v>44644.68509259259</v>
      </c>
      <c r="Q134" s="81" t="s">
        <v>545</v>
      </c>
      <c r="R134" s="81"/>
      <c r="S134" s="81"/>
      <c r="T134" s="81"/>
      <c r="U134" s="81"/>
      <c r="V134" s="84" t="str">
        <f>HYPERLINK("https://pbs.twimg.com/profile_images/1407968666797359112/rbNeR-ia_normal.jpg")</f>
        <v>https://pbs.twimg.com/profile_images/1407968666797359112/rbNeR-ia_normal.jpg</v>
      </c>
      <c r="W134" s="83">
        <v>44644.68509259259</v>
      </c>
      <c r="X134" s="88">
        <v>44644</v>
      </c>
      <c r="Y134" s="85" t="s">
        <v>731</v>
      </c>
      <c r="Z134" s="84" t="str">
        <f>HYPERLINK("https://twitter.com/panu/status/1507031117483986944")</f>
        <v>https://twitter.com/panu/status/1507031117483986944</v>
      </c>
      <c r="AA134" s="81"/>
      <c r="AB134" s="81"/>
      <c r="AC134" s="85" t="s">
        <v>1000</v>
      </c>
      <c r="AD134" s="85" t="s">
        <v>1151</v>
      </c>
      <c r="AE134" s="81" t="b">
        <v>0</v>
      </c>
      <c r="AF134" s="81">
        <v>1</v>
      </c>
      <c r="AG134" s="85" t="s">
        <v>1170</v>
      </c>
      <c r="AH134" s="81" t="b">
        <v>0</v>
      </c>
      <c r="AI134" s="81" t="s">
        <v>1179</v>
      </c>
      <c r="AJ134" s="81"/>
      <c r="AK134" s="85" t="s">
        <v>1162</v>
      </c>
      <c r="AL134" s="81" t="b">
        <v>0</v>
      </c>
      <c r="AM134" s="81">
        <v>0</v>
      </c>
      <c r="AN134" s="85" t="s">
        <v>1162</v>
      </c>
      <c r="AO134" s="85" t="s">
        <v>1188</v>
      </c>
      <c r="AP134" s="81" t="b">
        <v>0</v>
      </c>
      <c r="AQ134" s="85" t="s">
        <v>1151</v>
      </c>
      <c r="AR134" s="81" t="s">
        <v>187</v>
      </c>
      <c r="AS134" s="81">
        <v>0</v>
      </c>
      <c r="AT134" s="81">
        <v>0</v>
      </c>
      <c r="AU134" s="81"/>
      <c r="AV134" s="81"/>
      <c r="AW134" s="81"/>
      <c r="AX134" s="81"/>
      <c r="AY134" s="81"/>
      <c r="AZ134" s="81"/>
      <c r="BA134" s="81"/>
      <c r="BB134" s="81"/>
      <c r="BC134">
        <v>1</v>
      </c>
      <c r="BD134" s="80" t="str">
        <f>REPLACE(INDEX(GroupVertices[Group],MATCH(Edges[[#This Row],[Vertex 1]],GroupVertices[Vertex],0)),1,1,"")</f>
        <v>14</v>
      </c>
      <c r="BE134" s="80" t="str">
        <f>REPLACE(INDEX(GroupVertices[Group],MATCH(Edges[[#This Row],[Vertex 2]],GroupVertices[Vertex],0)),1,1,"")</f>
        <v>14</v>
      </c>
      <c r="BF134" s="49">
        <v>0</v>
      </c>
      <c r="BG134" s="50">
        <v>0</v>
      </c>
      <c r="BH134" s="49">
        <v>0</v>
      </c>
      <c r="BI134" s="50">
        <v>0</v>
      </c>
      <c r="BJ134" s="49">
        <v>0</v>
      </c>
      <c r="BK134" s="50">
        <v>0</v>
      </c>
      <c r="BL134" s="49">
        <v>6</v>
      </c>
      <c r="BM134" s="50">
        <v>100</v>
      </c>
      <c r="BN134" s="49">
        <v>6</v>
      </c>
    </row>
    <row r="135" spans="1:66" ht="15">
      <c r="A135" s="65" t="s">
        <v>350</v>
      </c>
      <c r="B135" s="65" t="s">
        <v>479</v>
      </c>
      <c r="C135" s="66" t="s">
        <v>4392</v>
      </c>
      <c r="D135" s="67">
        <v>1</v>
      </c>
      <c r="E135" s="68" t="s">
        <v>132</v>
      </c>
      <c r="F135" s="69">
        <v>32</v>
      </c>
      <c r="G135" s="66" t="s">
        <v>51</v>
      </c>
      <c r="H135" s="70"/>
      <c r="I135" s="71"/>
      <c r="J135" s="71"/>
      <c r="K135" s="35" t="s">
        <v>65</v>
      </c>
      <c r="L135" s="79">
        <v>135</v>
      </c>
      <c r="M135" s="79"/>
      <c r="N135" s="73"/>
      <c r="O135" s="81" t="s">
        <v>504</v>
      </c>
      <c r="P135" s="83">
        <v>44644.68519675926</v>
      </c>
      <c r="Q135" s="81" t="s">
        <v>539</v>
      </c>
      <c r="R135" s="84" t="str">
        <f>HYPERLINK("https://www.hs.fi/talous/art-2000008704863.html")</f>
        <v>https://www.hs.fi/talous/art-2000008704863.html</v>
      </c>
      <c r="S135" s="81" t="s">
        <v>582</v>
      </c>
      <c r="T135" s="81"/>
      <c r="U135" s="81"/>
      <c r="V135" s="84" t="str">
        <f>HYPERLINK("https://pbs.twimg.com/profile_images/677572305619443712/Eb1xCDCt_normal.jpg")</f>
        <v>https://pbs.twimg.com/profile_images/677572305619443712/Eb1xCDCt_normal.jpg</v>
      </c>
      <c r="W135" s="83">
        <v>44644.68519675926</v>
      </c>
      <c r="X135" s="88">
        <v>44644</v>
      </c>
      <c r="Y135" s="85" t="s">
        <v>732</v>
      </c>
      <c r="Z135" s="84" t="str">
        <f>HYPERLINK("https://twitter.com/joonaslinkola/status/1507031154163130373")</f>
        <v>https://twitter.com/joonaslinkola/status/1507031154163130373</v>
      </c>
      <c r="AA135" s="81"/>
      <c r="AB135" s="81"/>
      <c r="AC135" s="85" t="s">
        <v>1001</v>
      </c>
      <c r="AD135" s="81"/>
      <c r="AE135" s="81" t="b">
        <v>0</v>
      </c>
      <c r="AF135" s="81">
        <v>0</v>
      </c>
      <c r="AG135" s="85" t="s">
        <v>1162</v>
      </c>
      <c r="AH135" s="81" t="b">
        <v>0</v>
      </c>
      <c r="AI135" s="81" t="s">
        <v>1179</v>
      </c>
      <c r="AJ135" s="81"/>
      <c r="AK135" s="85" t="s">
        <v>1162</v>
      </c>
      <c r="AL135" s="81" t="b">
        <v>0</v>
      </c>
      <c r="AM135" s="81">
        <v>103</v>
      </c>
      <c r="AN135" s="85" t="s">
        <v>1134</v>
      </c>
      <c r="AO135" s="85" t="s">
        <v>1189</v>
      </c>
      <c r="AP135" s="81" t="b">
        <v>0</v>
      </c>
      <c r="AQ135" s="85" t="s">
        <v>1134</v>
      </c>
      <c r="AR135" s="81" t="s">
        <v>187</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v>0</v>
      </c>
      <c r="BG135" s="50">
        <v>0</v>
      </c>
      <c r="BH135" s="49">
        <v>0</v>
      </c>
      <c r="BI135" s="50">
        <v>0</v>
      </c>
      <c r="BJ135" s="49">
        <v>0</v>
      </c>
      <c r="BK135" s="50">
        <v>0</v>
      </c>
      <c r="BL135" s="49">
        <v>33</v>
      </c>
      <c r="BM135" s="50">
        <v>100</v>
      </c>
      <c r="BN135" s="49">
        <v>33</v>
      </c>
    </row>
    <row r="136" spans="1:66" ht="15">
      <c r="A136" s="65" t="s">
        <v>351</v>
      </c>
      <c r="B136" s="65" t="s">
        <v>351</v>
      </c>
      <c r="C136" s="66" t="s">
        <v>4392</v>
      </c>
      <c r="D136" s="67">
        <v>1</v>
      </c>
      <c r="E136" s="68" t="s">
        <v>132</v>
      </c>
      <c r="F136" s="69">
        <v>32</v>
      </c>
      <c r="G136" s="66" t="s">
        <v>51</v>
      </c>
      <c r="H136" s="70"/>
      <c r="I136" s="71"/>
      <c r="J136" s="71"/>
      <c r="K136" s="35" t="s">
        <v>65</v>
      </c>
      <c r="L136" s="79">
        <v>136</v>
      </c>
      <c r="M136" s="79"/>
      <c r="N136" s="73"/>
      <c r="O136" s="81" t="s">
        <v>187</v>
      </c>
      <c r="P136" s="83">
        <v>44644.5733912037</v>
      </c>
      <c r="Q136" s="81" t="s">
        <v>527</v>
      </c>
      <c r="R136" s="84" t="str">
        <f>HYPERLINK("https://www.hs.fi/talous/art-2000008704863.html")</f>
        <v>https://www.hs.fi/talous/art-2000008704863.html</v>
      </c>
      <c r="S136" s="81" t="s">
        <v>582</v>
      </c>
      <c r="T136" s="81"/>
      <c r="U136" s="81"/>
      <c r="V136" s="84" t="str">
        <f>HYPERLINK("https://pbs.twimg.com/profile_images/1145579222901149702/pY4TIowa_normal.png")</f>
        <v>https://pbs.twimg.com/profile_images/1145579222901149702/pY4TIowa_normal.png</v>
      </c>
      <c r="W136" s="83">
        <v>44644.5733912037</v>
      </c>
      <c r="X136" s="88">
        <v>44644</v>
      </c>
      <c r="Y136" s="85" t="s">
        <v>733</v>
      </c>
      <c r="Z136" s="84" t="str">
        <f>HYPERLINK("https://twitter.com/hsfi/status/1506990637954084867")</f>
        <v>https://twitter.com/hsfi/status/1506990637954084867</v>
      </c>
      <c r="AA136" s="81"/>
      <c r="AB136" s="81"/>
      <c r="AC136" s="85" t="s">
        <v>1002</v>
      </c>
      <c r="AD136" s="81"/>
      <c r="AE136" s="81" t="b">
        <v>0</v>
      </c>
      <c r="AF136" s="81">
        <v>46</v>
      </c>
      <c r="AG136" s="85" t="s">
        <v>1162</v>
      </c>
      <c r="AH136" s="81" t="b">
        <v>0</v>
      </c>
      <c r="AI136" s="81" t="s">
        <v>1179</v>
      </c>
      <c r="AJ136" s="81"/>
      <c r="AK136" s="85" t="s">
        <v>1162</v>
      </c>
      <c r="AL136" s="81" t="b">
        <v>0</v>
      </c>
      <c r="AM136" s="81">
        <v>6</v>
      </c>
      <c r="AN136" s="85" t="s">
        <v>1162</v>
      </c>
      <c r="AO136" s="85" t="s">
        <v>1195</v>
      </c>
      <c r="AP136" s="81" t="b">
        <v>0</v>
      </c>
      <c r="AQ136" s="85" t="s">
        <v>1002</v>
      </c>
      <c r="AR136" s="81" t="s">
        <v>187</v>
      </c>
      <c r="AS136" s="81">
        <v>0</v>
      </c>
      <c r="AT136" s="81">
        <v>0</v>
      </c>
      <c r="AU136" s="81"/>
      <c r="AV136" s="81"/>
      <c r="AW136" s="81"/>
      <c r="AX136" s="81"/>
      <c r="AY136" s="81"/>
      <c r="AZ136" s="81"/>
      <c r="BA136" s="81"/>
      <c r="BB136" s="81"/>
      <c r="BC136">
        <v>1</v>
      </c>
      <c r="BD136" s="80" t="str">
        <f>REPLACE(INDEX(GroupVertices[Group],MATCH(Edges[[#This Row],[Vertex 1]],GroupVertices[Vertex],0)),1,1,"")</f>
        <v>5</v>
      </c>
      <c r="BE136" s="80" t="str">
        <f>REPLACE(INDEX(GroupVertices[Group],MATCH(Edges[[#This Row],[Vertex 2]],GroupVertices[Vertex],0)),1,1,"")</f>
        <v>5</v>
      </c>
      <c r="BF136" s="49">
        <v>0</v>
      </c>
      <c r="BG136" s="50">
        <v>0</v>
      </c>
      <c r="BH136" s="49">
        <v>0</v>
      </c>
      <c r="BI136" s="50">
        <v>0</v>
      </c>
      <c r="BJ136" s="49">
        <v>0</v>
      </c>
      <c r="BK136" s="50">
        <v>0</v>
      </c>
      <c r="BL136" s="49">
        <v>16</v>
      </c>
      <c r="BM136" s="50">
        <v>100</v>
      </c>
      <c r="BN136" s="49">
        <v>16</v>
      </c>
    </row>
    <row r="137" spans="1:66" ht="15">
      <c r="A137" s="65" t="s">
        <v>352</v>
      </c>
      <c r="B137" s="65" t="s">
        <v>351</v>
      </c>
      <c r="C137" s="66" t="s">
        <v>4392</v>
      </c>
      <c r="D137" s="67">
        <v>1</v>
      </c>
      <c r="E137" s="68" t="s">
        <v>132</v>
      </c>
      <c r="F137" s="69">
        <v>32</v>
      </c>
      <c r="G137" s="66" t="s">
        <v>51</v>
      </c>
      <c r="H137" s="70"/>
      <c r="I137" s="71"/>
      <c r="J137" s="71"/>
      <c r="K137" s="35" t="s">
        <v>65</v>
      </c>
      <c r="L137" s="79">
        <v>137</v>
      </c>
      <c r="M137" s="79"/>
      <c r="N137" s="73"/>
      <c r="O137" s="81" t="s">
        <v>504</v>
      </c>
      <c r="P137" s="83">
        <v>44644.6871875</v>
      </c>
      <c r="Q137" s="81" t="s">
        <v>527</v>
      </c>
      <c r="R137" s="84" t="str">
        <f>HYPERLINK("https://www.hs.fi/talous/art-2000008704863.html")</f>
        <v>https://www.hs.fi/talous/art-2000008704863.html</v>
      </c>
      <c r="S137" s="81" t="s">
        <v>582</v>
      </c>
      <c r="T137" s="81"/>
      <c r="U137" s="81"/>
      <c r="V137" s="84" t="str">
        <f>HYPERLINK("https://pbs.twimg.com/profile_images/1480521801910435845/8YpYq6ww_normal.jpg")</f>
        <v>https://pbs.twimg.com/profile_images/1480521801910435845/8YpYq6ww_normal.jpg</v>
      </c>
      <c r="W137" s="83">
        <v>44644.6871875</v>
      </c>
      <c r="X137" s="88">
        <v>44644</v>
      </c>
      <c r="Y137" s="85" t="s">
        <v>734</v>
      </c>
      <c r="Z137" s="84" t="str">
        <f>HYPERLINK("https://twitter.com/nnancycos/status/1507031877173006336")</f>
        <v>https://twitter.com/nnancycos/status/1507031877173006336</v>
      </c>
      <c r="AA137" s="81"/>
      <c r="AB137" s="81"/>
      <c r="AC137" s="85" t="s">
        <v>1003</v>
      </c>
      <c r="AD137" s="81"/>
      <c r="AE137" s="81" t="b">
        <v>0</v>
      </c>
      <c r="AF137" s="81">
        <v>0</v>
      </c>
      <c r="AG137" s="85" t="s">
        <v>1162</v>
      </c>
      <c r="AH137" s="81" t="b">
        <v>0</v>
      </c>
      <c r="AI137" s="81" t="s">
        <v>1179</v>
      </c>
      <c r="AJ137" s="81"/>
      <c r="AK137" s="85" t="s">
        <v>1162</v>
      </c>
      <c r="AL137" s="81" t="b">
        <v>0</v>
      </c>
      <c r="AM137" s="81">
        <v>6</v>
      </c>
      <c r="AN137" s="85" t="s">
        <v>1002</v>
      </c>
      <c r="AO137" s="85" t="s">
        <v>1188</v>
      </c>
      <c r="AP137" s="81" t="b">
        <v>0</v>
      </c>
      <c r="AQ137" s="85" t="s">
        <v>1002</v>
      </c>
      <c r="AR137" s="81" t="s">
        <v>187</v>
      </c>
      <c r="AS137" s="81">
        <v>0</v>
      </c>
      <c r="AT137" s="81">
        <v>0</v>
      </c>
      <c r="AU137" s="81"/>
      <c r="AV137" s="81"/>
      <c r="AW137" s="81"/>
      <c r="AX137" s="81"/>
      <c r="AY137" s="81"/>
      <c r="AZ137" s="81"/>
      <c r="BA137" s="81"/>
      <c r="BB137" s="81"/>
      <c r="BC137">
        <v>1</v>
      </c>
      <c r="BD137" s="80" t="str">
        <f>REPLACE(INDEX(GroupVertices[Group],MATCH(Edges[[#This Row],[Vertex 1]],GroupVertices[Vertex],0)),1,1,"")</f>
        <v>5</v>
      </c>
      <c r="BE137" s="80" t="str">
        <f>REPLACE(INDEX(GroupVertices[Group],MATCH(Edges[[#This Row],[Vertex 2]],GroupVertices[Vertex],0)),1,1,"")</f>
        <v>5</v>
      </c>
      <c r="BF137" s="49">
        <v>0</v>
      </c>
      <c r="BG137" s="50">
        <v>0</v>
      </c>
      <c r="BH137" s="49">
        <v>0</v>
      </c>
      <c r="BI137" s="50">
        <v>0</v>
      </c>
      <c r="BJ137" s="49">
        <v>0</v>
      </c>
      <c r="BK137" s="50">
        <v>0</v>
      </c>
      <c r="BL137" s="49">
        <v>16</v>
      </c>
      <c r="BM137" s="50">
        <v>100</v>
      </c>
      <c r="BN137" s="49">
        <v>16</v>
      </c>
    </row>
    <row r="138" spans="1:66" ht="15">
      <c r="A138" s="65" t="s">
        <v>353</v>
      </c>
      <c r="B138" s="65" t="s">
        <v>495</v>
      </c>
      <c r="C138" s="66" t="s">
        <v>4392</v>
      </c>
      <c r="D138" s="67">
        <v>1</v>
      </c>
      <c r="E138" s="68" t="s">
        <v>132</v>
      </c>
      <c r="F138" s="69">
        <v>32</v>
      </c>
      <c r="G138" s="66" t="s">
        <v>51</v>
      </c>
      <c r="H138" s="70"/>
      <c r="I138" s="71"/>
      <c r="J138" s="71"/>
      <c r="K138" s="35" t="s">
        <v>65</v>
      </c>
      <c r="L138" s="79">
        <v>138</v>
      </c>
      <c r="M138" s="79"/>
      <c r="N138" s="73"/>
      <c r="O138" s="81" t="s">
        <v>502</v>
      </c>
      <c r="P138" s="83">
        <v>44644.68785879629</v>
      </c>
      <c r="Q138" s="81" t="s">
        <v>546</v>
      </c>
      <c r="R138" s="81"/>
      <c r="S138" s="81"/>
      <c r="T138" s="81"/>
      <c r="U138" s="81"/>
      <c r="V138" s="84" t="str">
        <f>HYPERLINK("https://pbs.twimg.com/profile_images/1251844279355531271/1EpKQDcb_normal.jpg")</f>
        <v>https://pbs.twimg.com/profile_images/1251844279355531271/1EpKQDcb_normal.jpg</v>
      </c>
      <c r="W138" s="83">
        <v>44644.68785879629</v>
      </c>
      <c r="X138" s="88">
        <v>44644</v>
      </c>
      <c r="Y138" s="85" t="s">
        <v>735</v>
      </c>
      <c r="Z138" s="84" t="str">
        <f>HYPERLINK("https://twitter.com/kanerva_mari/status/1507032122363633666")</f>
        <v>https://twitter.com/kanerva_mari/status/1507032122363633666</v>
      </c>
      <c r="AA138" s="81"/>
      <c r="AB138" s="81"/>
      <c r="AC138" s="85" t="s">
        <v>1004</v>
      </c>
      <c r="AD138" s="85" t="s">
        <v>1152</v>
      </c>
      <c r="AE138" s="81" t="b">
        <v>0</v>
      </c>
      <c r="AF138" s="81">
        <v>0</v>
      </c>
      <c r="AG138" s="85" t="s">
        <v>1169</v>
      </c>
      <c r="AH138" s="81" t="b">
        <v>0</v>
      </c>
      <c r="AI138" s="81" t="s">
        <v>1179</v>
      </c>
      <c r="AJ138" s="81"/>
      <c r="AK138" s="85" t="s">
        <v>1162</v>
      </c>
      <c r="AL138" s="81" t="b">
        <v>0</v>
      </c>
      <c r="AM138" s="81">
        <v>0</v>
      </c>
      <c r="AN138" s="85" t="s">
        <v>1162</v>
      </c>
      <c r="AO138" s="85" t="s">
        <v>1190</v>
      </c>
      <c r="AP138" s="81" t="b">
        <v>0</v>
      </c>
      <c r="AQ138" s="85" t="s">
        <v>1152</v>
      </c>
      <c r="AR138" s="81" t="s">
        <v>187</v>
      </c>
      <c r="AS138" s="81">
        <v>0</v>
      </c>
      <c r="AT138" s="81">
        <v>0</v>
      </c>
      <c r="AU138" s="81"/>
      <c r="AV138" s="81"/>
      <c r="AW138" s="81"/>
      <c r="AX138" s="81"/>
      <c r="AY138" s="81"/>
      <c r="AZ138" s="81"/>
      <c r="BA138" s="81"/>
      <c r="BB138" s="81"/>
      <c r="BC138">
        <v>1</v>
      </c>
      <c r="BD138" s="80" t="str">
        <f>REPLACE(INDEX(GroupVertices[Group],MATCH(Edges[[#This Row],[Vertex 1]],GroupVertices[Vertex],0)),1,1,"")</f>
        <v>6</v>
      </c>
      <c r="BE138" s="80" t="str">
        <f>REPLACE(INDEX(GroupVertices[Group],MATCH(Edges[[#This Row],[Vertex 2]],GroupVertices[Vertex],0)),1,1,"")</f>
        <v>6</v>
      </c>
      <c r="BF138" s="49">
        <v>0</v>
      </c>
      <c r="BG138" s="50">
        <v>0</v>
      </c>
      <c r="BH138" s="49">
        <v>0</v>
      </c>
      <c r="BI138" s="50">
        <v>0</v>
      </c>
      <c r="BJ138" s="49">
        <v>0</v>
      </c>
      <c r="BK138" s="50">
        <v>0</v>
      </c>
      <c r="BL138" s="49">
        <v>10</v>
      </c>
      <c r="BM138" s="50">
        <v>100</v>
      </c>
      <c r="BN138" s="49">
        <v>10</v>
      </c>
    </row>
    <row r="139" spans="1:66" ht="15">
      <c r="A139" s="65" t="s">
        <v>354</v>
      </c>
      <c r="B139" s="65" t="s">
        <v>479</v>
      </c>
      <c r="C139" s="66" t="s">
        <v>4392</v>
      </c>
      <c r="D139" s="67">
        <v>1</v>
      </c>
      <c r="E139" s="68" t="s">
        <v>132</v>
      </c>
      <c r="F139" s="69">
        <v>32</v>
      </c>
      <c r="G139" s="66" t="s">
        <v>51</v>
      </c>
      <c r="H139" s="70"/>
      <c r="I139" s="71"/>
      <c r="J139" s="71"/>
      <c r="K139" s="35" t="s">
        <v>65</v>
      </c>
      <c r="L139" s="79">
        <v>139</v>
      </c>
      <c r="M139" s="79"/>
      <c r="N139" s="73"/>
      <c r="O139" s="81" t="s">
        <v>504</v>
      </c>
      <c r="P139" s="83">
        <v>44644.68835648148</v>
      </c>
      <c r="Q139" s="81" t="s">
        <v>539</v>
      </c>
      <c r="R139" s="84" t="str">
        <f>HYPERLINK("https://www.hs.fi/talous/art-2000008704863.html")</f>
        <v>https://www.hs.fi/talous/art-2000008704863.html</v>
      </c>
      <c r="S139" s="81" t="s">
        <v>582</v>
      </c>
      <c r="T139" s="81"/>
      <c r="U139" s="81"/>
      <c r="V139" s="84" t="str">
        <f>HYPERLINK("https://pbs.twimg.com/profile_images/1393790074274390018/KQP3HIJ8_normal.jpg")</f>
        <v>https://pbs.twimg.com/profile_images/1393790074274390018/KQP3HIJ8_normal.jpg</v>
      </c>
      <c r="W139" s="83">
        <v>44644.68835648148</v>
      </c>
      <c r="X139" s="88">
        <v>44644</v>
      </c>
      <c r="Y139" s="85" t="s">
        <v>736</v>
      </c>
      <c r="Z139" s="84" t="str">
        <f>HYPERLINK("https://twitter.com/vapaamielinen/status/1507032301166903306")</f>
        <v>https://twitter.com/vapaamielinen/status/1507032301166903306</v>
      </c>
      <c r="AA139" s="81"/>
      <c r="AB139" s="81"/>
      <c r="AC139" s="85" t="s">
        <v>1005</v>
      </c>
      <c r="AD139" s="81"/>
      <c r="AE139" s="81" t="b">
        <v>0</v>
      </c>
      <c r="AF139" s="81">
        <v>0</v>
      </c>
      <c r="AG139" s="85" t="s">
        <v>1162</v>
      </c>
      <c r="AH139" s="81" t="b">
        <v>0</v>
      </c>
      <c r="AI139" s="81" t="s">
        <v>1179</v>
      </c>
      <c r="AJ139" s="81"/>
      <c r="AK139" s="85" t="s">
        <v>1162</v>
      </c>
      <c r="AL139" s="81" t="b">
        <v>0</v>
      </c>
      <c r="AM139" s="81">
        <v>103</v>
      </c>
      <c r="AN139" s="85" t="s">
        <v>1134</v>
      </c>
      <c r="AO139" s="85" t="s">
        <v>1188</v>
      </c>
      <c r="AP139" s="81" t="b">
        <v>0</v>
      </c>
      <c r="AQ139" s="85" t="s">
        <v>1134</v>
      </c>
      <c r="AR139" s="81" t="s">
        <v>187</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v>0</v>
      </c>
      <c r="BG139" s="50">
        <v>0</v>
      </c>
      <c r="BH139" s="49">
        <v>0</v>
      </c>
      <c r="BI139" s="50">
        <v>0</v>
      </c>
      <c r="BJ139" s="49">
        <v>0</v>
      </c>
      <c r="BK139" s="50">
        <v>0</v>
      </c>
      <c r="BL139" s="49">
        <v>33</v>
      </c>
      <c r="BM139" s="50">
        <v>100</v>
      </c>
      <c r="BN139" s="49">
        <v>33</v>
      </c>
    </row>
    <row r="140" spans="1:66" ht="15">
      <c r="A140" s="65" t="s">
        <v>355</v>
      </c>
      <c r="B140" s="65" t="s">
        <v>479</v>
      </c>
      <c r="C140" s="66" t="s">
        <v>4392</v>
      </c>
      <c r="D140" s="67">
        <v>1</v>
      </c>
      <c r="E140" s="68" t="s">
        <v>132</v>
      </c>
      <c r="F140" s="69">
        <v>32</v>
      </c>
      <c r="G140" s="66" t="s">
        <v>51</v>
      </c>
      <c r="H140" s="70"/>
      <c r="I140" s="71"/>
      <c r="J140" s="71"/>
      <c r="K140" s="35" t="s">
        <v>65</v>
      </c>
      <c r="L140" s="79">
        <v>140</v>
      </c>
      <c r="M140" s="79"/>
      <c r="N140" s="73"/>
      <c r="O140" s="81" t="s">
        <v>504</v>
      </c>
      <c r="P140" s="83">
        <v>44644.689780092594</v>
      </c>
      <c r="Q140" s="81" t="s">
        <v>539</v>
      </c>
      <c r="R140" s="84" t="str">
        <f>HYPERLINK("https://www.hs.fi/talous/art-2000008704863.html")</f>
        <v>https://www.hs.fi/talous/art-2000008704863.html</v>
      </c>
      <c r="S140" s="81" t="s">
        <v>582</v>
      </c>
      <c r="T140" s="81"/>
      <c r="U140" s="81"/>
      <c r="V140" s="84" t="str">
        <f>HYPERLINK("https://pbs.twimg.com/profile_images/1359762884499296256/DB5SabJb_normal.jpg")</f>
        <v>https://pbs.twimg.com/profile_images/1359762884499296256/DB5SabJb_normal.jpg</v>
      </c>
      <c r="W140" s="83">
        <v>44644.689780092594</v>
      </c>
      <c r="X140" s="88">
        <v>44644</v>
      </c>
      <c r="Y140" s="85" t="s">
        <v>737</v>
      </c>
      <c r="Z140" s="84" t="str">
        <f>HYPERLINK("https://twitter.com/elinalappalaine/status/1507032817355706369")</f>
        <v>https://twitter.com/elinalappalaine/status/1507032817355706369</v>
      </c>
      <c r="AA140" s="81"/>
      <c r="AB140" s="81"/>
      <c r="AC140" s="85" t="s">
        <v>1006</v>
      </c>
      <c r="AD140" s="81"/>
      <c r="AE140" s="81" t="b">
        <v>0</v>
      </c>
      <c r="AF140" s="81">
        <v>0</v>
      </c>
      <c r="AG140" s="85" t="s">
        <v>1162</v>
      </c>
      <c r="AH140" s="81" t="b">
        <v>0</v>
      </c>
      <c r="AI140" s="81" t="s">
        <v>1179</v>
      </c>
      <c r="AJ140" s="81"/>
      <c r="AK140" s="85" t="s">
        <v>1162</v>
      </c>
      <c r="AL140" s="81" t="b">
        <v>0</v>
      </c>
      <c r="AM140" s="81">
        <v>103</v>
      </c>
      <c r="AN140" s="85" t="s">
        <v>1134</v>
      </c>
      <c r="AO140" s="85" t="s">
        <v>1190</v>
      </c>
      <c r="AP140" s="81" t="b">
        <v>0</v>
      </c>
      <c r="AQ140" s="85" t="s">
        <v>1134</v>
      </c>
      <c r="AR140" s="81" t="s">
        <v>187</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v>0</v>
      </c>
      <c r="BG140" s="50">
        <v>0</v>
      </c>
      <c r="BH140" s="49">
        <v>0</v>
      </c>
      <c r="BI140" s="50">
        <v>0</v>
      </c>
      <c r="BJ140" s="49">
        <v>0</v>
      </c>
      <c r="BK140" s="50">
        <v>0</v>
      </c>
      <c r="BL140" s="49">
        <v>33</v>
      </c>
      <c r="BM140" s="50">
        <v>100</v>
      </c>
      <c r="BN140" s="49">
        <v>33</v>
      </c>
    </row>
    <row r="141" spans="1:66" ht="15">
      <c r="A141" s="65" t="s">
        <v>356</v>
      </c>
      <c r="B141" s="65" t="s">
        <v>479</v>
      </c>
      <c r="C141" s="66" t="s">
        <v>4392</v>
      </c>
      <c r="D141" s="67">
        <v>1</v>
      </c>
      <c r="E141" s="68" t="s">
        <v>132</v>
      </c>
      <c r="F141" s="69">
        <v>32</v>
      </c>
      <c r="G141" s="66" t="s">
        <v>51</v>
      </c>
      <c r="H141" s="70"/>
      <c r="I141" s="71"/>
      <c r="J141" s="71"/>
      <c r="K141" s="35" t="s">
        <v>65</v>
      </c>
      <c r="L141" s="79">
        <v>141</v>
      </c>
      <c r="M141" s="79"/>
      <c r="N141" s="73"/>
      <c r="O141" s="81" t="s">
        <v>504</v>
      </c>
      <c r="P141" s="83">
        <v>44644.691157407404</v>
      </c>
      <c r="Q141" s="81" t="s">
        <v>539</v>
      </c>
      <c r="R141" s="84" t="str">
        <f>HYPERLINK("https://www.hs.fi/talous/art-2000008704863.html")</f>
        <v>https://www.hs.fi/talous/art-2000008704863.html</v>
      </c>
      <c r="S141" s="81" t="s">
        <v>582</v>
      </c>
      <c r="T141" s="81"/>
      <c r="U141" s="81"/>
      <c r="V141" s="84" t="str">
        <f>HYPERLINK("https://pbs.twimg.com/profile_images/1499302120608178177/A_csOMwb_normal.jpg")</f>
        <v>https://pbs.twimg.com/profile_images/1499302120608178177/A_csOMwb_normal.jpg</v>
      </c>
      <c r="W141" s="83">
        <v>44644.691157407404</v>
      </c>
      <c r="X141" s="88">
        <v>44644</v>
      </c>
      <c r="Y141" s="85" t="s">
        <v>738</v>
      </c>
      <c r="Z141" s="84" t="str">
        <f>HYPERLINK("https://twitter.com/punainenbarbi/status/1507033314611376139")</f>
        <v>https://twitter.com/punainenbarbi/status/1507033314611376139</v>
      </c>
      <c r="AA141" s="81"/>
      <c r="AB141" s="81"/>
      <c r="AC141" s="85" t="s">
        <v>1007</v>
      </c>
      <c r="AD141" s="81"/>
      <c r="AE141" s="81" t="b">
        <v>0</v>
      </c>
      <c r="AF141" s="81">
        <v>0</v>
      </c>
      <c r="AG141" s="85" t="s">
        <v>1162</v>
      </c>
      <c r="AH141" s="81" t="b">
        <v>0</v>
      </c>
      <c r="AI141" s="81" t="s">
        <v>1179</v>
      </c>
      <c r="AJ141" s="81"/>
      <c r="AK141" s="85" t="s">
        <v>1162</v>
      </c>
      <c r="AL141" s="81" t="b">
        <v>0</v>
      </c>
      <c r="AM141" s="81">
        <v>103</v>
      </c>
      <c r="AN141" s="85" t="s">
        <v>1134</v>
      </c>
      <c r="AO141" s="85" t="s">
        <v>1190</v>
      </c>
      <c r="AP141" s="81" t="b">
        <v>0</v>
      </c>
      <c r="AQ141" s="85" t="s">
        <v>1134</v>
      </c>
      <c r="AR141" s="81" t="s">
        <v>187</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v>0</v>
      </c>
      <c r="BG141" s="50">
        <v>0</v>
      </c>
      <c r="BH141" s="49">
        <v>0</v>
      </c>
      <c r="BI141" s="50">
        <v>0</v>
      </c>
      <c r="BJ141" s="49">
        <v>0</v>
      </c>
      <c r="BK141" s="50">
        <v>0</v>
      </c>
      <c r="BL141" s="49">
        <v>33</v>
      </c>
      <c r="BM141" s="50">
        <v>100</v>
      </c>
      <c r="BN141" s="49">
        <v>33</v>
      </c>
    </row>
    <row r="142" spans="1:66" ht="15">
      <c r="A142" s="65" t="s">
        <v>357</v>
      </c>
      <c r="B142" s="65" t="s">
        <v>479</v>
      </c>
      <c r="C142" s="66" t="s">
        <v>4392</v>
      </c>
      <c r="D142" s="67">
        <v>1</v>
      </c>
      <c r="E142" s="68" t="s">
        <v>132</v>
      </c>
      <c r="F142" s="69">
        <v>32</v>
      </c>
      <c r="G142" s="66" t="s">
        <v>51</v>
      </c>
      <c r="H142" s="70"/>
      <c r="I142" s="71"/>
      <c r="J142" s="71"/>
      <c r="K142" s="35" t="s">
        <v>65</v>
      </c>
      <c r="L142" s="79">
        <v>142</v>
      </c>
      <c r="M142" s="79"/>
      <c r="N142" s="73"/>
      <c r="O142" s="81" t="s">
        <v>504</v>
      </c>
      <c r="P142" s="83">
        <v>44644.69603009259</v>
      </c>
      <c r="Q142" s="81" t="s">
        <v>539</v>
      </c>
      <c r="R142" s="84" t="str">
        <f>HYPERLINK("https://www.hs.fi/talous/art-2000008704863.html")</f>
        <v>https://www.hs.fi/talous/art-2000008704863.html</v>
      </c>
      <c r="S142" s="81" t="s">
        <v>582</v>
      </c>
      <c r="T142" s="81"/>
      <c r="U142" s="81"/>
      <c r="V142" s="84" t="str">
        <f>HYPERLINK("https://pbs.twimg.com/profile_images/1473931805162151938/-l9tWa0o_normal.jpg")</f>
        <v>https://pbs.twimg.com/profile_images/1473931805162151938/-l9tWa0o_normal.jpg</v>
      </c>
      <c r="W142" s="83">
        <v>44644.69603009259</v>
      </c>
      <c r="X142" s="88">
        <v>44644</v>
      </c>
      <c r="Y142" s="85" t="s">
        <v>739</v>
      </c>
      <c r="Z142" s="84" t="str">
        <f>HYPERLINK("https://twitter.com/hpmaatta/status/1507035082451828746")</f>
        <v>https://twitter.com/hpmaatta/status/1507035082451828746</v>
      </c>
      <c r="AA142" s="81"/>
      <c r="AB142" s="81"/>
      <c r="AC142" s="85" t="s">
        <v>1008</v>
      </c>
      <c r="AD142" s="81"/>
      <c r="AE142" s="81" t="b">
        <v>0</v>
      </c>
      <c r="AF142" s="81">
        <v>0</v>
      </c>
      <c r="AG142" s="85" t="s">
        <v>1162</v>
      </c>
      <c r="AH142" s="81" t="b">
        <v>0</v>
      </c>
      <c r="AI142" s="81" t="s">
        <v>1179</v>
      </c>
      <c r="AJ142" s="81"/>
      <c r="AK142" s="85" t="s">
        <v>1162</v>
      </c>
      <c r="AL142" s="81" t="b">
        <v>0</v>
      </c>
      <c r="AM142" s="81">
        <v>103</v>
      </c>
      <c r="AN142" s="85" t="s">
        <v>1134</v>
      </c>
      <c r="AO142" s="85" t="s">
        <v>1196</v>
      </c>
      <c r="AP142" s="81" t="b">
        <v>0</v>
      </c>
      <c r="AQ142" s="85" t="s">
        <v>1134</v>
      </c>
      <c r="AR142" s="81" t="s">
        <v>187</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v>0</v>
      </c>
      <c r="BG142" s="50">
        <v>0</v>
      </c>
      <c r="BH142" s="49">
        <v>0</v>
      </c>
      <c r="BI142" s="50">
        <v>0</v>
      </c>
      <c r="BJ142" s="49">
        <v>0</v>
      </c>
      <c r="BK142" s="50">
        <v>0</v>
      </c>
      <c r="BL142" s="49">
        <v>33</v>
      </c>
      <c r="BM142" s="50">
        <v>100</v>
      </c>
      <c r="BN142" s="49">
        <v>33</v>
      </c>
    </row>
    <row r="143" spans="1:66" ht="15">
      <c r="A143" s="65" t="s">
        <v>358</v>
      </c>
      <c r="B143" s="65" t="s">
        <v>479</v>
      </c>
      <c r="C143" s="66" t="s">
        <v>4392</v>
      </c>
      <c r="D143" s="67">
        <v>1</v>
      </c>
      <c r="E143" s="68" t="s">
        <v>132</v>
      </c>
      <c r="F143" s="69">
        <v>32</v>
      </c>
      <c r="G143" s="66" t="s">
        <v>51</v>
      </c>
      <c r="H143" s="70"/>
      <c r="I143" s="71"/>
      <c r="J143" s="71"/>
      <c r="K143" s="35" t="s">
        <v>65</v>
      </c>
      <c r="L143" s="79">
        <v>143</v>
      </c>
      <c r="M143" s="79"/>
      <c r="N143" s="73"/>
      <c r="O143" s="81" t="s">
        <v>504</v>
      </c>
      <c r="P143" s="83">
        <v>44644.69693287037</v>
      </c>
      <c r="Q143" s="81" t="s">
        <v>539</v>
      </c>
      <c r="R143" s="84" t="str">
        <f>HYPERLINK("https://www.hs.fi/talous/art-2000008704863.html")</f>
        <v>https://www.hs.fi/talous/art-2000008704863.html</v>
      </c>
      <c r="S143" s="81" t="s">
        <v>582</v>
      </c>
      <c r="T143" s="81"/>
      <c r="U143" s="81"/>
      <c r="V143" s="84" t="str">
        <f>HYPERLINK("https://pbs.twimg.com/profile_images/1438662824/feissi14_normal.jpg")</f>
        <v>https://pbs.twimg.com/profile_images/1438662824/feissi14_normal.jpg</v>
      </c>
      <c r="W143" s="83">
        <v>44644.69693287037</v>
      </c>
      <c r="X143" s="88">
        <v>44644</v>
      </c>
      <c r="Y143" s="85" t="s">
        <v>740</v>
      </c>
      <c r="Z143" s="84" t="str">
        <f>HYPERLINK("https://twitter.com/toikkis78/status/1507035410765127684")</f>
        <v>https://twitter.com/toikkis78/status/1507035410765127684</v>
      </c>
      <c r="AA143" s="81"/>
      <c r="AB143" s="81"/>
      <c r="AC143" s="85" t="s">
        <v>1009</v>
      </c>
      <c r="AD143" s="81"/>
      <c r="AE143" s="81" t="b">
        <v>0</v>
      </c>
      <c r="AF143" s="81">
        <v>0</v>
      </c>
      <c r="AG143" s="85" t="s">
        <v>1162</v>
      </c>
      <c r="AH143" s="81" t="b">
        <v>0</v>
      </c>
      <c r="AI143" s="81" t="s">
        <v>1179</v>
      </c>
      <c r="AJ143" s="81"/>
      <c r="AK143" s="85" t="s">
        <v>1162</v>
      </c>
      <c r="AL143" s="81" t="b">
        <v>0</v>
      </c>
      <c r="AM143" s="81">
        <v>103</v>
      </c>
      <c r="AN143" s="85" t="s">
        <v>1134</v>
      </c>
      <c r="AO143" s="85" t="s">
        <v>1189</v>
      </c>
      <c r="AP143" s="81" t="b">
        <v>0</v>
      </c>
      <c r="AQ143" s="85" t="s">
        <v>1134</v>
      </c>
      <c r="AR143" s="81" t="s">
        <v>187</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9">
        <v>0</v>
      </c>
      <c r="BG143" s="50">
        <v>0</v>
      </c>
      <c r="BH143" s="49">
        <v>0</v>
      </c>
      <c r="BI143" s="50">
        <v>0</v>
      </c>
      <c r="BJ143" s="49">
        <v>0</v>
      </c>
      <c r="BK143" s="50">
        <v>0</v>
      </c>
      <c r="BL143" s="49">
        <v>33</v>
      </c>
      <c r="BM143" s="50">
        <v>100</v>
      </c>
      <c r="BN143" s="49">
        <v>33</v>
      </c>
    </row>
    <row r="144" spans="1:66" ht="15">
      <c r="A144" s="65" t="s">
        <v>359</v>
      </c>
      <c r="B144" s="65" t="s">
        <v>479</v>
      </c>
      <c r="C144" s="66" t="s">
        <v>4392</v>
      </c>
      <c r="D144" s="67">
        <v>1</v>
      </c>
      <c r="E144" s="68" t="s">
        <v>132</v>
      </c>
      <c r="F144" s="69">
        <v>32</v>
      </c>
      <c r="G144" s="66" t="s">
        <v>51</v>
      </c>
      <c r="H144" s="70"/>
      <c r="I144" s="71"/>
      <c r="J144" s="71"/>
      <c r="K144" s="35" t="s">
        <v>65</v>
      </c>
      <c r="L144" s="79">
        <v>144</v>
      </c>
      <c r="M144" s="79"/>
      <c r="N144" s="73"/>
      <c r="O144" s="81" t="s">
        <v>504</v>
      </c>
      <c r="P144" s="83">
        <v>44644.69810185185</v>
      </c>
      <c r="Q144" s="81" t="s">
        <v>539</v>
      </c>
      <c r="R144" s="84" t="str">
        <f>HYPERLINK("https://www.hs.fi/talous/art-2000008704863.html")</f>
        <v>https://www.hs.fi/talous/art-2000008704863.html</v>
      </c>
      <c r="S144" s="81" t="s">
        <v>582</v>
      </c>
      <c r="T144" s="81"/>
      <c r="U144" s="81"/>
      <c r="V144" s="84" t="str">
        <f>HYPERLINK("https://pbs.twimg.com/profile_images/1485485823072083971/HsEEjOJL_normal.jpg")</f>
        <v>https://pbs.twimg.com/profile_images/1485485823072083971/HsEEjOJL_normal.jpg</v>
      </c>
      <c r="W144" s="83">
        <v>44644.69810185185</v>
      </c>
      <c r="X144" s="88">
        <v>44644</v>
      </c>
      <c r="Y144" s="85" t="s">
        <v>741</v>
      </c>
      <c r="Z144" s="84" t="str">
        <f>HYPERLINK("https://twitter.com/sara_peltola/status/1507035833890652169")</f>
        <v>https://twitter.com/sara_peltola/status/1507035833890652169</v>
      </c>
      <c r="AA144" s="81"/>
      <c r="AB144" s="81"/>
      <c r="AC144" s="85" t="s">
        <v>1010</v>
      </c>
      <c r="AD144" s="81"/>
      <c r="AE144" s="81" t="b">
        <v>0</v>
      </c>
      <c r="AF144" s="81">
        <v>0</v>
      </c>
      <c r="AG144" s="85" t="s">
        <v>1162</v>
      </c>
      <c r="AH144" s="81" t="b">
        <v>0</v>
      </c>
      <c r="AI144" s="81" t="s">
        <v>1179</v>
      </c>
      <c r="AJ144" s="81"/>
      <c r="AK144" s="85" t="s">
        <v>1162</v>
      </c>
      <c r="AL144" s="81" t="b">
        <v>0</v>
      </c>
      <c r="AM144" s="81">
        <v>103</v>
      </c>
      <c r="AN144" s="85" t="s">
        <v>1134</v>
      </c>
      <c r="AO144" s="85" t="s">
        <v>1189</v>
      </c>
      <c r="AP144" s="81" t="b">
        <v>0</v>
      </c>
      <c r="AQ144" s="85" t="s">
        <v>1134</v>
      </c>
      <c r="AR144" s="81" t="s">
        <v>187</v>
      </c>
      <c r="AS144" s="81">
        <v>0</v>
      </c>
      <c r="AT144" s="81">
        <v>0</v>
      </c>
      <c r="AU144" s="81"/>
      <c r="AV144" s="81"/>
      <c r="AW144" s="81"/>
      <c r="AX144" s="81"/>
      <c r="AY144" s="81"/>
      <c r="AZ144" s="81"/>
      <c r="BA144" s="81"/>
      <c r="BB144" s="81"/>
      <c r="BC144">
        <v>1</v>
      </c>
      <c r="BD144" s="80" t="str">
        <f>REPLACE(INDEX(GroupVertices[Group],MATCH(Edges[[#This Row],[Vertex 1]],GroupVertices[Vertex],0)),1,1,"")</f>
        <v>1</v>
      </c>
      <c r="BE144" s="80" t="str">
        <f>REPLACE(INDEX(GroupVertices[Group],MATCH(Edges[[#This Row],[Vertex 2]],GroupVertices[Vertex],0)),1,1,"")</f>
        <v>1</v>
      </c>
      <c r="BF144" s="49">
        <v>0</v>
      </c>
      <c r="BG144" s="50">
        <v>0</v>
      </c>
      <c r="BH144" s="49">
        <v>0</v>
      </c>
      <c r="BI144" s="50">
        <v>0</v>
      </c>
      <c r="BJ144" s="49">
        <v>0</v>
      </c>
      <c r="BK144" s="50">
        <v>0</v>
      </c>
      <c r="BL144" s="49">
        <v>33</v>
      </c>
      <c r="BM144" s="50">
        <v>100</v>
      </c>
      <c r="BN144" s="49">
        <v>33</v>
      </c>
    </row>
    <row r="145" spans="1:66" ht="15">
      <c r="A145" s="65" t="s">
        <v>360</v>
      </c>
      <c r="B145" s="65" t="s">
        <v>479</v>
      </c>
      <c r="C145" s="66" t="s">
        <v>4392</v>
      </c>
      <c r="D145" s="67">
        <v>1</v>
      </c>
      <c r="E145" s="68" t="s">
        <v>132</v>
      </c>
      <c r="F145" s="69">
        <v>32</v>
      </c>
      <c r="G145" s="66" t="s">
        <v>51</v>
      </c>
      <c r="H145" s="70"/>
      <c r="I145" s="71"/>
      <c r="J145" s="71"/>
      <c r="K145" s="35" t="s">
        <v>65</v>
      </c>
      <c r="L145" s="79">
        <v>145</v>
      </c>
      <c r="M145" s="79"/>
      <c r="N145" s="73"/>
      <c r="O145" s="81" t="s">
        <v>504</v>
      </c>
      <c r="P145" s="83">
        <v>44644.69855324074</v>
      </c>
      <c r="Q145" s="81" t="s">
        <v>539</v>
      </c>
      <c r="R145" s="84" t="str">
        <f>HYPERLINK("https://www.hs.fi/talous/art-2000008704863.html")</f>
        <v>https://www.hs.fi/talous/art-2000008704863.html</v>
      </c>
      <c r="S145" s="81" t="s">
        <v>582</v>
      </c>
      <c r="T145" s="81"/>
      <c r="U145" s="81"/>
      <c r="V145" s="84" t="str">
        <f>HYPERLINK("https://pbs.twimg.com/profile_images/1125419327178588160/xU755k1j_normal.jpg")</f>
        <v>https://pbs.twimg.com/profile_images/1125419327178588160/xU755k1j_normal.jpg</v>
      </c>
      <c r="W145" s="83">
        <v>44644.69855324074</v>
      </c>
      <c r="X145" s="88">
        <v>44644</v>
      </c>
      <c r="Y145" s="85" t="s">
        <v>742</v>
      </c>
      <c r="Z145" s="84" t="str">
        <f>HYPERLINK("https://twitter.com/satuvennala/status/1507035996432572419")</f>
        <v>https://twitter.com/satuvennala/status/1507035996432572419</v>
      </c>
      <c r="AA145" s="81"/>
      <c r="AB145" s="81"/>
      <c r="AC145" s="85" t="s">
        <v>1011</v>
      </c>
      <c r="AD145" s="81"/>
      <c r="AE145" s="81" t="b">
        <v>0</v>
      </c>
      <c r="AF145" s="81">
        <v>0</v>
      </c>
      <c r="AG145" s="85" t="s">
        <v>1162</v>
      </c>
      <c r="AH145" s="81" t="b">
        <v>0</v>
      </c>
      <c r="AI145" s="81" t="s">
        <v>1179</v>
      </c>
      <c r="AJ145" s="81"/>
      <c r="AK145" s="85" t="s">
        <v>1162</v>
      </c>
      <c r="AL145" s="81" t="b">
        <v>0</v>
      </c>
      <c r="AM145" s="81">
        <v>103</v>
      </c>
      <c r="AN145" s="85" t="s">
        <v>1134</v>
      </c>
      <c r="AO145" s="85" t="s">
        <v>1190</v>
      </c>
      <c r="AP145" s="81" t="b">
        <v>0</v>
      </c>
      <c r="AQ145" s="85" t="s">
        <v>1134</v>
      </c>
      <c r="AR145" s="81" t="s">
        <v>187</v>
      </c>
      <c r="AS145" s="81">
        <v>0</v>
      </c>
      <c r="AT145" s="81">
        <v>0</v>
      </c>
      <c r="AU145" s="81"/>
      <c r="AV145" s="81"/>
      <c r="AW145" s="81"/>
      <c r="AX145" s="81"/>
      <c r="AY145" s="81"/>
      <c r="AZ145" s="81"/>
      <c r="BA145" s="81"/>
      <c r="BB145" s="81"/>
      <c r="BC145">
        <v>1</v>
      </c>
      <c r="BD145" s="80" t="str">
        <f>REPLACE(INDEX(GroupVertices[Group],MATCH(Edges[[#This Row],[Vertex 1]],GroupVertices[Vertex],0)),1,1,"")</f>
        <v>1</v>
      </c>
      <c r="BE145" s="80" t="str">
        <f>REPLACE(INDEX(GroupVertices[Group],MATCH(Edges[[#This Row],[Vertex 2]],GroupVertices[Vertex],0)),1,1,"")</f>
        <v>1</v>
      </c>
      <c r="BF145" s="49">
        <v>0</v>
      </c>
      <c r="BG145" s="50">
        <v>0</v>
      </c>
      <c r="BH145" s="49">
        <v>0</v>
      </c>
      <c r="BI145" s="50">
        <v>0</v>
      </c>
      <c r="BJ145" s="49">
        <v>0</v>
      </c>
      <c r="BK145" s="50">
        <v>0</v>
      </c>
      <c r="BL145" s="49">
        <v>33</v>
      </c>
      <c r="BM145" s="50">
        <v>100</v>
      </c>
      <c r="BN145" s="49">
        <v>33</v>
      </c>
    </row>
    <row r="146" spans="1:66" ht="15">
      <c r="A146" s="65" t="s">
        <v>361</v>
      </c>
      <c r="B146" s="65" t="s">
        <v>479</v>
      </c>
      <c r="C146" s="66" t="s">
        <v>4392</v>
      </c>
      <c r="D146" s="67">
        <v>1</v>
      </c>
      <c r="E146" s="68" t="s">
        <v>132</v>
      </c>
      <c r="F146" s="69">
        <v>32</v>
      </c>
      <c r="G146" s="66" t="s">
        <v>51</v>
      </c>
      <c r="H146" s="70"/>
      <c r="I146" s="71"/>
      <c r="J146" s="71"/>
      <c r="K146" s="35" t="s">
        <v>65</v>
      </c>
      <c r="L146" s="79">
        <v>146</v>
      </c>
      <c r="M146" s="79"/>
      <c r="N146" s="73"/>
      <c r="O146" s="81" t="s">
        <v>504</v>
      </c>
      <c r="P146" s="83">
        <v>44644.70270833333</v>
      </c>
      <c r="Q146" s="81" t="s">
        <v>539</v>
      </c>
      <c r="R146" s="84" t="str">
        <f>HYPERLINK("https://www.hs.fi/talous/art-2000008704863.html")</f>
        <v>https://www.hs.fi/talous/art-2000008704863.html</v>
      </c>
      <c r="S146" s="81" t="s">
        <v>582</v>
      </c>
      <c r="T146" s="81"/>
      <c r="U146" s="81"/>
      <c r="V146" s="84" t="str">
        <f>HYPERLINK("https://pbs.twimg.com/profile_images/1218154636990930945/iJmmaRxR_normal.jpg")</f>
        <v>https://pbs.twimg.com/profile_images/1218154636990930945/iJmmaRxR_normal.jpg</v>
      </c>
      <c r="W146" s="83">
        <v>44644.70270833333</v>
      </c>
      <c r="X146" s="88">
        <v>44644</v>
      </c>
      <c r="Y146" s="85" t="s">
        <v>743</v>
      </c>
      <c r="Z146" s="84" t="str">
        <f>HYPERLINK("https://twitter.com/martinpaasi/status/1507037502548418569")</f>
        <v>https://twitter.com/martinpaasi/status/1507037502548418569</v>
      </c>
      <c r="AA146" s="81"/>
      <c r="AB146" s="81"/>
      <c r="AC146" s="85" t="s">
        <v>1012</v>
      </c>
      <c r="AD146" s="81"/>
      <c r="AE146" s="81" t="b">
        <v>0</v>
      </c>
      <c r="AF146" s="81">
        <v>0</v>
      </c>
      <c r="AG146" s="85" t="s">
        <v>1162</v>
      </c>
      <c r="AH146" s="81" t="b">
        <v>0</v>
      </c>
      <c r="AI146" s="81" t="s">
        <v>1179</v>
      </c>
      <c r="AJ146" s="81"/>
      <c r="AK146" s="85" t="s">
        <v>1162</v>
      </c>
      <c r="AL146" s="81" t="b">
        <v>0</v>
      </c>
      <c r="AM146" s="81">
        <v>103</v>
      </c>
      <c r="AN146" s="85" t="s">
        <v>1134</v>
      </c>
      <c r="AO146" s="85" t="s">
        <v>1191</v>
      </c>
      <c r="AP146" s="81" t="b">
        <v>0</v>
      </c>
      <c r="AQ146" s="85" t="s">
        <v>1134</v>
      </c>
      <c r="AR146" s="81" t="s">
        <v>187</v>
      </c>
      <c r="AS146" s="81">
        <v>0</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1</v>
      </c>
      <c r="BF146" s="49">
        <v>0</v>
      </c>
      <c r="BG146" s="50">
        <v>0</v>
      </c>
      <c r="BH146" s="49">
        <v>0</v>
      </c>
      <c r="BI146" s="50">
        <v>0</v>
      </c>
      <c r="BJ146" s="49">
        <v>0</v>
      </c>
      <c r="BK146" s="50">
        <v>0</v>
      </c>
      <c r="BL146" s="49">
        <v>33</v>
      </c>
      <c r="BM146" s="50">
        <v>100</v>
      </c>
      <c r="BN146" s="49">
        <v>33</v>
      </c>
    </row>
    <row r="147" spans="1:66" ht="15">
      <c r="A147" s="65" t="s">
        <v>362</v>
      </c>
      <c r="B147" s="65" t="s">
        <v>479</v>
      </c>
      <c r="C147" s="66" t="s">
        <v>4392</v>
      </c>
      <c r="D147" s="67">
        <v>1</v>
      </c>
      <c r="E147" s="68" t="s">
        <v>132</v>
      </c>
      <c r="F147" s="69">
        <v>32</v>
      </c>
      <c r="G147" s="66" t="s">
        <v>51</v>
      </c>
      <c r="H147" s="70"/>
      <c r="I147" s="71"/>
      <c r="J147" s="71"/>
      <c r="K147" s="35" t="s">
        <v>65</v>
      </c>
      <c r="L147" s="79">
        <v>147</v>
      </c>
      <c r="M147" s="79"/>
      <c r="N147" s="73"/>
      <c r="O147" s="81" t="s">
        <v>504</v>
      </c>
      <c r="P147" s="83">
        <v>44644.70425925926</v>
      </c>
      <c r="Q147" s="81" t="s">
        <v>539</v>
      </c>
      <c r="R147" s="84" t="str">
        <f>HYPERLINK("https://www.hs.fi/talous/art-2000008704863.html")</f>
        <v>https://www.hs.fi/talous/art-2000008704863.html</v>
      </c>
      <c r="S147" s="81" t="s">
        <v>582</v>
      </c>
      <c r="T147" s="81"/>
      <c r="U147" s="81"/>
      <c r="V147" s="84" t="str">
        <f>HYPERLINK("https://pbs.twimg.com/profile_images/1365402024486010887/yj_r7Iat_normal.jpg")</f>
        <v>https://pbs.twimg.com/profile_images/1365402024486010887/yj_r7Iat_normal.jpg</v>
      </c>
      <c r="W147" s="83">
        <v>44644.70425925926</v>
      </c>
      <c r="X147" s="88">
        <v>44644</v>
      </c>
      <c r="Y147" s="85" t="s">
        <v>744</v>
      </c>
      <c r="Z147" s="84" t="str">
        <f>HYPERLINK("https://twitter.com/nuusa_/status/1507038063888900106")</f>
        <v>https://twitter.com/nuusa_/status/1507038063888900106</v>
      </c>
      <c r="AA147" s="81"/>
      <c r="AB147" s="81"/>
      <c r="AC147" s="85" t="s">
        <v>1013</v>
      </c>
      <c r="AD147" s="81"/>
      <c r="AE147" s="81" t="b">
        <v>0</v>
      </c>
      <c r="AF147" s="81">
        <v>0</v>
      </c>
      <c r="AG147" s="85" t="s">
        <v>1162</v>
      </c>
      <c r="AH147" s="81" t="b">
        <v>0</v>
      </c>
      <c r="AI147" s="81" t="s">
        <v>1179</v>
      </c>
      <c r="AJ147" s="81"/>
      <c r="AK147" s="85" t="s">
        <v>1162</v>
      </c>
      <c r="AL147" s="81" t="b">
        <v>0</v>
      </c>
      <c r="AM147" s="81">
        <v>103</v>
      </c>
      <c r="AN147" s="85" t="s">
        <v>1134</v>
      </c>
      <c r="AO147" s="85" t="s">
        <v>1188</v>
      </c>
      <c r="AP147" s="81" t="b">
        <v>0</v>
      </c>
      <c r="AQ147" s="85" t="s">
        <v>1134</v>
      </c>
      <c r="AR147" s="81" t="s">
        <v>187</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v>0</v>
      </c>
      <c r="BG147" s="50">
        <v>0</v>
      </c>
      <c r="BH147" s="49">
        <v>0</v>
      </c>
      <c r="BI147" s="50">
        <v>0</v>
      </c>
      <c r="BJ147" s="49">
        <v>0</v>
      </c>
      <c r="BK147" s="50">
        <v>0</v>
      </c>
      <c r="BL147" s="49">
        <v>33</v>
      </c>
      <c r="BM147" s="50">
        <v>100</v>
      </c>
      <c r="BN147" s="49">
        <v>33</v>
      </c>
    </row>
    <row r="148" spans="1:66" ht="15">
      <c r="A148" s="65" t="s">
        <v>363</v>
      </c>
      <c r="B148" s="65" t="s">
        <v>479</v>
      </c>
      <c r="C148" s="66" t="s">
        <v>4392</v>
      </c>
      <c r="D148" s="67">
        <v>1</v>
      </c>
      <c r="E148" s="68" t="s">
        <v>132</v>
      </c>
      <c r="F148" s="69">
        <v>32</v>
      </c>
      <c r="G148" s="66" t="s">
        <v>51</v>
      </c>
      <c r="H148" s="70"/>
      <c r="I148" s="71"/>
      <c r="J148" s="71"/>
      <c r="K148" s="35" t="s">
        <v>65</v>
      </c>
      <c r="L148" s="79">
        <v>148</v>
      </c>
      <c r="M148" s="79"/>
      <c r="N148" s="73"/>
      <c r="O148" s="81" t="s">
        <v>504</v>
      </c>
      <c r="P148" s="83">
        <v>44644.705104166664</v>
      </c>
      <c r="Q148" s="81" t="s">
        <v>539</v>
      </c>
      <c r="R148" s="84" t="str">
        <f>HYPERLINK("https://www.hs.fi/talous/art-2000008704863.html")</f>
        <v>https://www.hs.fi/talous/art-2000008704863.html</v>
      </c>
      <c r="S148" s="81" t="s">
        <v>582</v>
      </c>
      <c r="T148" s="81"/>
      <c r="U148" s="81"/>
      <c r="V148" s="84" t="str">
        <f>HYPERLINK("https://pbs.twimg.com/profile_images/1491139338012348418/ri-aQwrl_normal.jpg")</f>
        <v>https://pbs.twimg.com/profile_images/1491139338012348418/ri-aQwrl_normal.jpg</v>
      </c>
      <c r="W148" s="83">
        <v>44644.705104166664</v>
      </c>
      <c r="X148" s="88">
        <v>44644</v>
      </c>
      <c r="Y148" s="85" t="s">
        <v>745</v>
      </c>
      <c r="Z148" s="84" t="str">
        <f>HYPERLINK("https://twitter.com/timoturt/status/1507038370983161858")</f>
        <v>https://twitter.com/timoturt/status/1507038370983161858</v>
      </c>
      <c r="AA148" s="81"/>
      <c r="AB148" s="81"/>
      <c r="AC148" s="85" t="s">
        <v>1014</v>
      </c>
      <c r="AD148" s="81"/>
      <c r="AE148" s="81" t="b">
        <v>0</v>
      </c>
      <c r="AF148" s="81">
        <v>0</v>
      </c>
      <c r="AG148" s="85" t="s">
        <v>1162</v>
      </c>
      <c r="AH148" s="81" t="b">
        <v>0</v>
      </c>
      <c r="AI148" s="81" t="s">
        <v>1179</v>
      </c>
      <c r="AJ148" s="81"/>
      <c r="AK148" s="85" t="s">
        <v>1162</v>
      </c>
      <c r="AL148" s="81" t="b">
        <v>0</v>
      </c>
      <c r="AM148" s="81">
        <v>103</v>
      </c>
      <c r="AN148" s="85" t="s">
        <v>1134</v>
      </c>
      <c r="AO148" s="85" t="s">
        <v>1190</v>
      </c>
      <c r="AP148" s="81" t="b">
        <v>0</v>
      </c>
      <c r="AQ148" s="85" t="s">
        <v>1134</v>
      </c>
      <c r="AR148" s="81" t="s">
        <v>187</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v>0</v>
      </c>
      <c r="BG148" s="50">
        <v>0</v>
      </c>
      <c r="BH148" s="49">
        <v>0</v>
      </c>
      <c r="BI148" s="50">
        <v>0</v>
      </c>
      <c r="BJ148" s="49">
        <v>0</v>
      </c>
      <c r="BK148" s="50">
        <v>0</v>
      </c>
      <c r="BL148" s="49">
        <v>33</v>
      </c>
      <c r="BM148" s="50">
        <v>100</v>
      </c>
      <c r="BN148" s="49">
        <v>33</v>
      </c>
    </row>
    <row r="149" spans="1:66" ht="15">
      <c r="A149" s="65" t="s">
        <v>364</v>
      </c>
      <c r="B149" s="65" t="s">
        <v>364</v>
      </c>
      <c r="C149" s="66" t="s">
        <v>4392</v>
      </c>
      <c r="D149" s="67">
        <v>1</v>
      </c>
      <c r="E149" s="68" t="s">
        <v>132</v>
      </c>
      <c r="F149" s="69">
        <v>32</v>
      </c>
      <c r="G149" s="66" t="s">
        <v>51</v>
      </c>
      <c r="H149" s="70"/>
      <c r="I149" s="71"/>
      <c r="J149" s="71"/>
      <c r="K149" s="35" t="s">
        <v>65</v>
      </c>
      <c r="L149" s="79">
        <v>149</v>
      </c>
      <c r="M149" s="79"/>
      <c r="N149" s="73"/>
      <c r="O149" s="81" t="s">
        <v>187</v>
      </c>
      <c r="P149" s="83">
        <v>44644.70525462963</v>
      </c>
      <c r="Q149" s="81" t="s">
        <v>547</v>
      </c>
      <c r="R149" s="84" t="str">
        <f>HYPERLINK("https://www.hs.fi/talous/art-2000008704863.html?share=59c56cf8b07d650537f4bc62829a94af")</f>
        <v>https://www.hs.fi/talous/art-2000008704863.html?share=59c56cf8b07d650537f4bc62829a94af</v>
      </c>
      <c r="S149" s="81" t="s">
        <v>582</v>
      </c>
      <c r="T149" s="85" t="s">
        <v>596</v>
      </c>
      <c r="U149" s="81"/>
      <c r="V149" s="84" t="str">
        <f>HYPERLINK("https://pbs.twimg.com/profile_images/1449742100598300678/VcKoO12P_normal.jpg")</f>
        <v>https://pbs.twimg.com/profile_images/1449742100598300678/VcKoO12P_normal.jpg</v>
      </c>
      <c r="W149" s="83">
        <v>44644.70525462963</v>
      </c>
      <c r="X149" s="88">
        <v>44644</v>
      </c>
      <c r="Y149" s="85" t="s">
        <v>746</v>
      </c>
      <c r="Z149" s="84" t="str">
        <f>HYPERLINK("https://twitter.com/raisaharjuautti/status/1507038422732611586")</f>
        <v>https://twitter.com/raisaharjuautti/status/1507038422732611586</v>
      </c>
      <c r="AA149" s="81"/>
      <c r="AB149" s="81"/>
      <c r="AC149" s="85" t="s">
        <v>1015</v>
      </c>
      <c r="AD149" s="81"/>
      <c r="AE149" s="81" t="b">
        <v>0</v>
      </c>
      <c r="AF149" s="81">
        <v>7</v>
      </c>
      <c r="AG149" s="85" t="s">
        <v>1162</v>
      </c>
      <c r="AH149" s="81" t="b">
        <v>0</v>
      </c>
      <c r="AI149" s="81" t="s">
        <v>1179</v>
      </c>
      <c r="AJ149" s="81"/>
      <c r="AK149" s="85" t="s">
        <v>1162</v>
      </c>
      <c r="AL149" s="81" t="b">
        <v>0</v>
      </c>
      <c r="AM149" s="81">
        <v>0</v>
      </c>
      <c r="AN149" s="85" t="s">
        <v>1162</v>
      </c>
      <c r="AO149" s="85" t="s">
        <v>1190</v>
      </c>
      <c r="AP149" s="81" t="b">
        <v>0</v>
      </c>
      <c r="AQ149" s="85" t="s">
        <v>1015</v>
      </c>
      <c r="AR149" s="81" t="s">
        <v>187</v>
      </c>
      <c r="AS149" s="81">
        <v>0</v>
      </c>
      <c r="AT149" s="81">
        <v>0</v>
      </c>
      <c r="AU149" s="81"/>
      <c r="AV149" s="81"/>
      <c r="AW149" s="81"/>
      <c r="AX149" s="81"/>
      <c r="AY149" s="81"/>
      <c r="AZ149" s="81"/>
      <c r="BA149" s="81"/>
      <c r="BB149" s="81"/>
      <c r="BC149">
        <v>1</v>
      </c>
      <c r="BD149" s="80" t="str">
        <f>REPLACE(INDEX(GroupVertices[Group],MATCH(Edges[[#This Row],[Vertex 1]],GroupVertices[Vertex],0)),1,1,"")</f>
        <v>3</v>
      </c>
      <c r="BE149" s="80" t="str">
        <f>REPLACE(INDEX(GroupVertices[Group],MATCH(Edges[[#This Row],[Vertex 2]],GroupVertices[Vertex],0)),1,1,"")</f>
        <v>3</v>
      </c>
      <c r="BF149" s="49">
        <v>0</v>
      </c>
      <c r="BG149" s="50">
        <v>0</v>
      </c>
      <c r="BH149" s="49">
        <v>0</v>
      </c>
      <c r="BI149" s="50">
        <v>0</v>
      </c>
      <c r="BJ149" s="49">
        <v>0</v>
      </c>
      <c r="BK149" s="50">
        <v>0</v>
      </c>
      <c r="BL149" s="49">
        <v>19</v>
      </c>
      <c r="BM149" s="50">
        <v>100</v>
      </c>
      <c r="BN149" s="49">
        <v>19</v>
      </c>
    </row>
    <row r="150" spans="1:66" ht="15">
      <c r="A150" s="65" t="s">
        <v>365</v>
      </c>
      <c r="B150" s="65" t="s">
        <v>479</v>
      </c>
      <c r="C150" s="66" t="s">
        <v>4392</v>
      </c>
      <c r="D150" s="67">
        <v>1</v>
      </c>
      <c r="E150" s="68" t="s">
        <v>132</v>
      </c>
      <c r="F150" s="69">
        <v>32</v>
      </c>
      <c r="G150" s="66" t="s">
        <v>51</v>
      </c>
      <c r="H150" s="70"/>
      <c r="I150" s="71"/>
      <c r="J150" s="71"/>
      <c r="K150" s="35" t="s">
        <v>65</v>
      </c>
      <c r="L150" s="79">
        <v>150</v>
      </c>
      <c r="M150" s="79"/>
      <c r="N150" s="73"/>
      <c r="O150" s="81" t="s">
        <v>504</v>
      </c>
      <c r="P150" s="83">
        <v>44644.709282407406</v>
      </c>
      <c r="Q150" s="81" t="s">
        <v>539</v>
      </c>
      <c r="R150" s="84" t="str">
        <f>HYPERLINK("https://www.hs.fi/talous/art-2000008704863.html")</f>
        <v>https://www.hs.fi/talous/art-2000008704863.html</v>
      </c>
      <c r="S150" s="81" t="s">
        <v>582</v>
      </c>
      <c r="T150" s="81"/>
      <c r="U150" s="81"/>
      <c r="V150" s="84" t="str">
        <f>HYPERLINK("https://pbs.twimg.com/profile_images/1330413504478801921/L-FSc5_X_normal.jpg")</f>
        <v>https://pbs.twimg.com/profile_images/1330413504478801921/L-FSc5_X_normal.jpg</v>
      </c>
      <c r="W150" s="83">
        <v>44644.709282407406</v>
      </c>
      <c r="X150" s="88">
        <v>44644</v>
      </c>
      <c r="Y150" s="85" t="s">
        <v>747</v>
      </c>
      <c r="Z150" s="84" t="str">
        <f>HYPERLINK("https://twitter.com/aksu09845728/status/1507039884191674372")</f>
        <v>https://twitter.com/aksu09845728/status/1507039884191674372</v>
      </c>
      <c r="AA150" s="81"/>
      <c r="AB150" s="81"/>
      <c r="AC150" s="85" t="s">
        <v>1016</v>
      </c>
      <c r="AD150" s="81"/>
      <c r="AE150" s="81" t="b">
        <v>0</v>
      </c>
      <c r="AF150" s="81">
        <v>0</v>
      </c>
      <c r="AG150" s="85" t="s">
        <v>1162</v>
      </c>
      <c r="AH150" s="81" t="b">
        <v>0</v>
      </c>
      <c r="AI150" s="81" t="s">
        <v>1179</v>
      </c>
      <c r="AJ150" s="81"/>
      <c r="AK150" s="85" t="s">
        <v>1162</v>
      </c>
      <c r="AL150" s="81" t="b">
        <v>0</v>
      </c>
      <c r="AM150" s="81">
        <v>103</v>
      </c>
      <c r="AN150" s="85" t="s">
        <v>1134</v>
      </c>
      <c r="AO150" s="85" t="s">
        <v>1188</v>
      </c>
      <c r="AP150" s="81" t="b">
        <v>0</v>
      </c>
      <c r="AQ150" s="85" t="s">
        <v>1134</v>
      </c>
      <c r="AR150" s="81" t="s">
        <v>187</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v>0</v>
      </c>
      <c r="BG150" s="50">
        <v>0</v>
      </c>
      <c r="BH150" s="49">
        <v>0</v>
      </c>
      <c r="BI150" s="50">
        <v>0</v>
      </c>
      <c r="BJ150" s="49">
        <v>0</v>
      </c>
      <c r="BK150" s="50">
        <v>0</v>
      </c>
      <c r="BL150" s="49">
        <v>33</v>
      </c>
      <c r="BM150" s="50">
        <v>100</v>
      </c>
      <c r="BN150" s="49">
        <v>33</v>
      </c>
    </row>
    <row r="151" spans="1:66" ht="15">
      <c r="A151" s="65" t="s">
        <v>366</v>
      </c>
      <c r="B151" s="65" t="s">
        <v>479</v>
      </c>
      <c r="C151" s="66" t="s">
        <v>4392</v>
      </c>
      <c r="D151" s="67">
        <v>1</v>
      </c>
      <c r="E151" s="68" t="s">
        <v>132</v>
      </c>
      <c r="F151" s="69">
        <v>32</v>
      </c>
      <c r="G151" s="66" t="s">
        <v>51</v>
      </c>
      <c r="H151" s="70"/>
      <c r="I151" s="71"/>
      <c r="J151" s="71"/>
      <c r="K151" s="35" t="s">
        <v>65</v>
      </c>
      <c r="L151" s="79">
        <v>151</v>
      </c>
      <c r="M151" s="79"/>
      <c r="N151" s="73"/>
      <c r="O151" s="81" t="s">
        <v>504</v>
      </c>
      <c r="P151" s="83">
        <v>44644.7127662037</v>
      </c>
      <c r="Q151" s="81" t="s">
        <v>539</v>
      </c>
      <c r="R151" s="84" t="str">
        <f>HYPERLINK("https://www.hs.fi/talous/art-2000008704863.html")</f>
        <v>https://www.hs.fi/talous/art-2000008704863.html</v>
      </c>
      <c r="S151" s="81" t="s">
        <v>582</v>
      </c>
      <c r="T151" s="81"/>
      <c r="U151" s="81"/>
      <c r="V151" s="84" t="str">
        <f>HYPERLINK("https://pbs.twimg.com/profile_images/1345806215075520514/NcTTtAgZ_normal.jpg")</f>
        <v>https://pbs.twimg.com/profile_images/1345806215075520514/NcTTtAgZ_normal.jpg</v>
      </c>
      <c r="W151" s="83">
        <v>44644.7127662037</v>
      </c>
      <c r="X151" s="88">
        <v>44644</v>
      </c>
      <c r="Y151" s="85" t="s">
        <v>748</v>
      </c>
      <c r="Z151" s="84" t="str">
        <f>HYPERLINK("https://twitter.com/erkka/status/1507041145460862977")</f>
        <v>https://twitter.com/erkka/status/1507041145460862977</v>
      </c>
      <c r="AA151" s="81"/>
      <c r="AB151" s="81"/>
      <c r="AC151" s="85" t="s">
        <v>1017</v>
      </c>
      <c r="AD151" s="81"/>
      <c r="AE151" s="81" t="b">
        <v>0</v>
      </c>
      <c r="AF151" s="81">
        <v>0</v>
      </c>
      <c r="AG151" s="85" t="s">
        <v>1162</v>
      </c>
      <c r="AH151" s="81" t="b">
        <v>0</v>
      </c>
      <c r="AI151" s="81" t="s">
        <v>1179</v>
      </c>
      <c r="AJ151" s="81"/>
      <c r="AK151" s="85" t="s">
        <v>1162</v>
      </c>
      <c r="AL151" s="81" t="b">
        <v>0</v>
      </c>
      <c r="AM151" s="81">
        <v>103</v>
      </c>
      <c r="AN151" s="85" t="s">
        <v>1134</v>
      </c>
      <c r="AO151" s="85" t="s">
        <v>1190</v>
      </c>
      <c r="AP151" s="81" t="b">
        <v>0</v>
      </c>
      <c r="AQ151" s="85" t="s">
        <v>1134</v>
      </c>
      <c r="AR151" s="81" t="s">
        <v>187</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v>0</v>
      </c>
      <c r="BG151" s="50">
        <v>0</v>
      </c>
      <c r="BH151" s="49">
        <v>0</v>
      </c>
      <c r="BI151" s="50">
        <v>0</v>
      </c>
      <c r="BJ151" s="49">
        <v>0</v>
      </c>
      <c r="BK151" s="50">
        <v>0</v>
      </c>
      <c r="BL151" s="49">
        <v>33</v>
      </c>
      <c r="BM151" s="50">
        <v>100</v>
      </c>
      <c r="BN151" s="49">
        <v>33</v>
      </c>
    </row>
    <row r="152" spans="1:66" ht="15">
      <c r="A152" s="65" t="s">
        <v>367</v>
      </c>
      <c r="B152" s="65" t="s">
        <v>479</v>
      </c>
      <c r="C152" s="66" t="s">
        <v>4392</v>
      </c>
      <c r="D152" s="67">
        <v>1</v>
      </c>
      <c r="E152" s="68" t="s">
        <v>132</v>
      </c>
      <c r="F152" s="69">
        <v>32</v>
      </c>
      <c r="G152" s="66" t="s">
        <v>51</v>
      </c>
      <c r="H152" s="70"/>
      <c r="I152" s="71"/>
      <c r="J152" s="71"/>
      <c r="K152" s="35" t="s">
        <v>65</v>
      </c>
      <c r="L152" s="79">
        <v>152</v>
      </c>
      <c r="M152" s="79"/>
      <c r="N152" s="73"/>
      <c r="O152" s="81" t="s">
        <v>504</v>
      </c>
      <c r="P152" s="83">
        <v>44644.71331018519</v>
      </c>
      <c r="Q152" s="81" t="s">
        <v>539</v>
      </c>
      <c r="R152" s="84" t="str">
        <f>HYPERLINK("https://www.hs.fi/talous/art-2000008704863.html")</f>
        <v>https://www.hs.fi/talous/art-2000008704863.html</v>
      </c>
      <c r="S152" s="81" t="s">
        <v>582</v>
      </c>
      <c r="T152" s="81"/>
      <c r="U152" s="81"/>
      <c r="V152" s="84" t="str">
        <f>HYPERLINK("https://pbs.twimg.com/profile_images/974904139238068224/4WXDPQjO_normal.jpg")</f>
        <v>https://pbs.twimg.com/profile_images/974904139238068224/4WXDPQjO_normal.jpg</v>
      </c>
      <c r="W152" s="83">
        <v>44644.71331018519</v>
      </c>
      <c r="X152" s="88">
        <v>44644</v>
      </c>
      <c r="Y152" s="85" t="s">
        <v>749</v>
      </c>
      <c r="Z152" s="84" t="str">
        <f>HYPERLINK("https://twitter.com/nahuman/status/1507041343247470601")</f>
        <v>https://twitter.com/nahuman/status/1507041343247470601</v>
      </c>
      <c r="AA152" s="81"/>
      <c r="AB152" s="81"/>
      <c r="AC152" s="85" t="s">
        <v>1018</v>
      </c>
      <c r="AD152" s="81"/>
      <c r="AE152" s="81" t="b">
        <v>0</v>
      </c>
      <c r="AF152" s="81">
        <v>0</v>
      </c>
      <c r="AG152" s="85" t="s">
        <v>1162</v>
      </c>
      <c r="AH152" s="81" t="b">
        <v>0</v>
      </c>
      <c r="AI152" s="81" t="s">
        <v>1179</v>
      </c>
      <c r="AJ152" s="81"/>
      <c r="AK152" s="85" t="s">
        <v>1162</v>
      </c>
      <c r="AL152" s="81" t="b">
        <v>0</v>
      </c>
      <c r="AM152" s="81">
        <v>103</v>
      </c>
      <c r="AN152" s="85" t="s">
        <v>1134</v>
      </c>
      <c r="AO152" s="85" t="s">
        <v>1189</v>
      </c>
      <c r="AP152" s="81" t="b">
        <v>0</v>
      </c>
      <c r="AQ152" s="85" t="s">
        <v>1134</v>
      </c>
      <c r="AR152" s="81" t="s">
        <v>187</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v>0</v>
      </c>
      <c r="BG152" s="50">
        <v>0</v>
      </c>
      <c r="BH152" s="49">
        <v>0</v>
      </c>
      <c r="BI152" s="50">
        <v>0</v>
      </c>
      <c r="BJ152" s="49">
        <v>0</v>
      </c>
      <c r="BK152" s="50">
        <v>0</v>
      </c>
      <c r="BL152" s="49">
        <v>33</v>
      </c>
      <c r="BM152" s="50">
        <v>100</v>
      </c>
      <c r="BN152" s="49">
        <v>33</v>
      </c>
    </row>
    <row r="153" spans="1:66" ht="15">
      <c r="A153" s="65" t="s">
        <v>368</v>
      </c>
      <c r="B153" s="65" t="s">
        <v>368</v>
      </c>
      <c r="C153" s="66" t="s">
        <v>4392</v>
      </c>
      <c r="D153" s="67">
        <v>1</v>
      </c>
      <c r="E153" s="68" t="s">
        <v>132</v>
      </c>
      <c r="F153" s="69">
        <v>32</v>
      </c>
      <c r="G153" s="66" t="s">
        <v>51</v>
      </c>
      <c r="H153" s="70"/>
      <c r="I153" s="71"/>
      <c r="J153" s="71"/>
      <c r="K153" s="35" t="s">
        <v>65</v>
      </c>
      <c r="L153" s="79">
        <v>153</v>
      </c>
      <c r="M153" s="79"/>
      <c r="N153" s="73"/>
      <c r="O153" s="81" t="s">
        <v>187</v>
      </c>
      <c r="P153" s="83">
        <v>44644.71337962963</v>
      </c>
      <c r="Q153" s="81" t="s">
        <v>548</v>
      </c>
      <c r="R153" s="84" t="str">
        <f>HYPERLINK("https://www.hs.fi/talous/art-2000008704863.html?share=59c56cf8b07d650537f4bc62829a94af")</f>
        <v>https://www.hs.fi/talous/art-2000008704863.html?share=59c56cf8b07d650537f4bc62829a94af</v>
      </c>
      <c r="S153" s="81" t="s">
        <v>582</v>
      </c>
      <c r="T153" s="85" t="s">
        <v>596</v>
      </c>
      <c r="U153" s="81"/>
      <c r="V153" s="84" t="str">
        <f>HYPERLINK("https://pbs.twimg.com/profile_images/1361659877194674178/hTg-Wrrd_normal.jpg")</f>
        <v>https://pbs.twimg.com/profile_images/1361659877194674178/hTg-Wrrd_normal.jpg</v>
      </c>
      <c r="W153" s="83">
        <v>44644.71337962963</v>
      </c>
      <c r="X153" s="88">
        <v>44644</v>
      </c>
      <c r="Y153" s="85" t="s">
        <v>750</v>
      </c>
      <c r="Z153" s="84" t="str">
        <f>HYPERLINK("https://twitter.com/pinja_l/status/1507041368820133899")</f>
        <v>https://twitter.com/pinja_l/status/1507041368820133899</v>
      </c>
      <c r="AA153" s="81"/>
      <c r="AB153" s="81"/>
      <c r="AC153" s="85" t="s">
        <v>1019</v>
      </c>
      <c r="AD153" s="81"/>
      <c r="AE153" s="81" t="b">
        <v>0</v>
      </c>
      <c r="AF153" s="81">
        <v>0</v>
      </c>
      <c r="AG153" s="85" t="s">
        <v>1162</v>
      </c>
      <c r="AH153" s="81" t="b">
        <v>0</v>
      </c>
      <c r="AI153" s="81" t="s">
        <v>1179</v>
      </c>
      <c r="AJ153" s="81"/>
      <c r="AK153" s="85" t="s">
        <v>1162</v>
      </c>
      <c r="AL153" s="81" t="b">
        <v>0</v>
      </c>
      <c r="AM153" s="81">
        <v>0</v>
      </c>
      <c r="AN153" s="85" t="s">
        <v>1162</v>
      </c>
      <c r="AO153" s="85" t="s">
        <v>1188</v>
      </c>
      <c r="AP153" s="81" t="b">
        <v>0</v>
      </c>
      <c r="AQ153" s="85" t="s">
        <v>1019</v>
      </c>
      <c r="AR153" s="81" t="s">
        <v>187</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3</v>
      </c>
      <c r="BF153" s="49">
        <v>0</v>
      </c>
      <c r="BG153" s="50">
        <v>0</v>
      </c>
      <c r="BH153" s="49">
        <v>0</v>
      </c>
      <c r="BI153" s="50">
        <v>0</v>
      </c>
      <c r="BJ153" s="49">
        <v>0</v>
      </c>
      <c r="BK153" s="50">
        <v>0</v>
      </c>
      <c r="BL153" s="49">
        <v>14</v>
      </c>
      <c r="BM153" s="50">
        <v>100</v>
      </c>
      <c r="BN153" s="49">
        <v>14</v>
      </c>
    </row>
    <row r="154" spans="1:66" ht="15">
      <c r="A154" s="65" t="s">
        <v>369</v>
      </c>
      <c r="B154" s="65" t="s">
        <v>479</v>
      </c>
      <c r="C154" s="66" t="s">
        <v>4392</v>
      </c>
      <c r="D154" s="67">
        <v>1</v>
      </c>
      <c r="E154" s="68" t="s">
        <v>132</v>
      </c>
      <c r="F154" s="69">
        <v>32</v>
      </c>
      <c r="G154" s="66" t="s">
        <v>51</v>
      </c>
      <c r="H154" s="70"/>
      <c r="I154" s="71"/>
      <c r="J154" s="71"/>
      <c r="K154" s="35" t="s">
        <v>65</v>
      </c>
      <c r="L154" s="79">
        <v>154</v>
      </c>
      <c r="M154" s="79"/>
      <c r="N154" s="73"/>
      <c r="O154" s="81" t="s">
        <v>504</v>
      </c>
      <c r="P154" s="83">
        <v>44644.71523148148</v>
      </c>
      <c r="Q154" s="81" t="s">
        <v>539</v>
      </c>
      <c r="R154" s="84" t="str">
        <f>HYPERLINK("https://www.hs.fi/talous/art-2000008704863.html")</f>
        <v>https://www.hs.fi/talous/art-2000008704863.html</v>
      </c>
      <c r="S154" s="81" t="s">
        <v>582</v>
      </c>
      <c r="T154" s="81"/>
      <c r="U154" s="81"/>
      <c r="V154" s="84" t="str">
        <f>HYPERLINK("https://pbs.twimg.com/profile_images/1497916020866097156/93unhqJ9_normal.jpg")</f>
        <v>https://pbs.twimg.com/profile_images/1497916020866097156/93unhqJ9_normal.jpg</v>
      </c>
      <c r="W154" s="83">
        <v>44644.71523148148</v>
      </c>
      <c r="X154" s="88">
        <v>44644</v>
      </c>
      <c r="Y154" s="85" t="s">
        <v>751</v>
      </c>
      <c r="Z154" s="84" t="str">
        <f>HYPERLINK("https://twitter.com/mhinkkanen/status/1507042038906249223")</f>
        <v>https://twitter.com/mhinkkanen/status/1507042038906249223</v>
      </c>
      <c r="AA154" s="81"/>
      <c r="AB154" s="81"/>
      <c r="AC154" s="85" t="s">
        <v>1020</v>
      </c>
      <c r="AD154" s="81"/>
      <c r="AE154" s="81" t="b">
        <v>0</v>
      </c>
      <c r="AF154" s="81">
        <v>0</v>
      </c>
      <c r="AG154" s="85" t="s">
        <v>1162</v>
      </c>
      <c r="AH154" s="81" t="b">
        <v>0</v>
      </c>
      <c r="AI154" s="81" t="s">
        <v>1179</v>
      </c>
      <c r="AJ154" s="81"/>
      <c r="AK154" s="85" t="s">
        <v>1162</v>
      </c>
      <c r="AL154" s="81" t="b">
        <v>0</v>
      </c>
      <c r="AM154" s="81">
        <v>103</v>
      </c>
      <c r="AN154" s="85" t="s">
        <v>1134</v>
      </c>
      <c r="AO154" s="85" t="s">
        <v>1188</v>
      </c>
      <c r="AP154" s="81" t="b">
        <v>0</v>
      </c>
      <c r="AQ154" s="85" t="s">
        <v>1134</v>
      </c>
      <c r="AR154" s="81" t="s">
        <v>187</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9">
        <v>0</v>
      </c>
      <c r="BG154" s="50">
        <v>0</v>
      </c>
      <c r="BH154" s="49">
        <v>0</v>
      </c>
      <c r="BI154" s="50">
        <v>0</v>
      </c>
      <c r="BJ154" s="49">
        <v>0</v>
      </c>
      <c r="BK154" s="50">
        <v>0</v>
      </c>
      <c r="BL154" s="49">
        <v>33</v>
      </c>
      <c r="BM154" s="50">
        <v>100</v>
      </c>
      <c r="BN154" s="49">
        <v>33</v>
      </c>
    </row>
    <row r="155" spans="1:66" ht="15">
      <c r="A155" s="65" t="s">
        <v>370</v>
      </c>
      <c r="B155" s="65" t="s">
        <v>479</v>
      </c>
      <c r="C155" s="66" t="s">
        <v>4392</v>
      </c>
      <c r="D155" s="67">
        <v>1</v>
      </c>
      <c r="E155" s="68" t="s">
        <v>132</v>
      </c>
      <c r="F155" s="69">
        <v>32</v>
      </c>
      <c r="G155" s="66" t="s">
        <v>51</v>
      </c>
      <c r="H155" s="70"/>
      <c r="I155" s="71"/>
      <c r="J155" s="71"/>
      <c r="K155" s="35" t="s">
        <v>65</v>
      </c>
      <c r="L155" s="79">
        <v>155</v>
      </c>
      <c r="M155" s="79"/>
      <c r="N155" s="73"/>
      <c r="O155" s="81" t="s">
        <v>504</v>
      </c>
      <c r="P155" s="83">
        <v>44644.71571759259</v>
      </c>
      <c r="Q155" s="81" t="s">
        <v>539</v>
      </c>
      <c r="R155" s="84" t="str">
        <f>HYPERLINK("https://www.hs.fi/talous/art-2000008704863.html")</f>
        <v>https://www.hs.fi/talous/art-2000008704863.html</v>
      </c>
      <c r="S155" s="81" t="s">
        <v>582</v>
      </c>
      <c r="T155" s="81"/>
      <c r="U155" s="81"/>
      <c r="V155" s="84" t="str">
        <f>HYPERLINK("https://pbs.twimg.com/profile_images/1398290325593014274/6KrWKnlJ_normal.jpg")</f>
        <v>https://pbs.twimg.com/profile_images/1398290325593014274/6KrWKnlJ_normal.jpg</v>
      </c>
      <c r="W155" s="83">
        <v>44644.71571759259</v>
      </c>
      <c r="X155" s="88">
        <v>44644</v>
      </c>
      <c r="Y155" s="85" t="s">
        <v>752</v>
      </c>
      <c r="Z155" s="84" t="str">
        <f>HYPERLINK("https://twitter.com/aapojg/status/1507042217885581313")</f>
        <v>https://twitter.com/aapojg/status/1507042217885581313</v>
      </c>
      <c r="AA155" s="81"/>
      <c r="AB155" s="81"/>
      <c r="AC155" s="85" t="s">
        <v>1021</v>
      </c>
      <c r="AD155" s="81"/>
      <c r="AE155" s="81" t="b">
        <v>0</v>
      </c>
      <c r="AF155" s="81">
        <v>0</v>
      </c>
      <c r="AG155" s="85" t="s">
        <v>1162</v>
      </c>
      <c r="AH155" s="81" t="b">
        <v>0</v>
      </c>
      <c r="AI155" s="81" t="s">
        <v>1179</v>
      </c>
      <c r="AJ155" s="81"/>
      <c r="AK155" s="85" t="s">
        <v>1162</v>
      </c>
      <c r="AL155" s="81" t="b">
        <v>0</v>
      </c>
      <c r="AM155" s="81">
        <v>103</v>
      </c>
      <c r="AN155" s="85" t="s">
        <v>1134</v>
      </c>
      <c r="AO155" s="85" t="s">
        <v>1188</v>
      </c>
      <c r="AP155" s="81" t="b">
        <v>0</v>
      </c>
      <c r="AQ155" s="85" t="s">
        <v>1134</v>
      </c>
      <c r="AR155" s="81" t="s">
        <v>187</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v>0</v>
      </c>
      <c r="BG155" s="50">
        <v>0</v>
      </c>
      <c r="BH155" s="49">
        <v>0</v>
      </c>
      <c r="BI155" s="50">
        <v>0</v>
      </c>
      <c r="BJ155" s="49">
        <v>0</v>
      </c>
      <c r="BK155" s="50">
        <v>0</v>
      </c>
      <c r="BL155" s="49">
        <v>33</v>
      </c>
      <c r="BM155" s="50">
        <v>100</v>
      </c>
      <c r="BN155" s="49">
        <v>33</v>
      </c>
    </row>
    <row r="156" spans="1:66" ht="15">
      <c r="A156" s="65" t="s">
        <v>371</v>
      </c>
      <c r="B156" s="65" t="s">
        <v>371</v>
      </c>
      <c r="C156" s="66" t="s">
        <v>4392</v>
      </c>
      <c r="D156" s="67">
        <v>1</v>
      </c>
      <c r="E156" s="68" t="s">
        <v>132</v>
      </c>
      <c r="F156" s="69">
        <v>32</v>
      </c>
      <c r="G156" s="66" t="s">
        <v>51</v>
      </c>
      <c r="H156" s="70"/>
      <c r="I156" s="71"/>
      <c r="J156" s="71"/>
      <c r="K156" s="35" t="s">
        <v>65</v>
      </c>
      <c r="L156" s="79">
        <v>156</v>
      </c>
      <c r="M156" s="79"/>
      <c r="N156" s="73"/>
      <c r="O156" s="81" t="s">
        <v>187</v>
      </c>
      <c r="P156" s="83">
        <v>44644.71635416667</v>
      </c>
      <c r="Q156" s="81" t="s">
        <v>549</v>
      </c>
      <c r="R156" s="84" t="str">
        <f>HYPERLINK("https://twitter.com/almaonali/status/1506994320288759817")</f>
        <v>https://twitter.com/almaonali/status/1506994320288759817</v>
      </c>
      <c r="S156" s="81" t="s">
        <v>580</v>
      </c>
      <c r="T156" s="85" t="s">
        <v>591</v>
      </c>
      <c r="U156" s="81"/>
      <c r="V156" s="84" t="str">
        <f>HYPERLINK("https://pbs.twimg.com/profile_images/1338877950217871364/Jx4azN-0_normal.jpg")</f>
        <v>https://pbs.twimg.com/profile_images/1338877950217871364/Jx4azN-0_normal.jpg</v>
      </c>
      <c r="W156" s="83">
        <v>44644.71635416667</v>
      </c>
      <c r="X156" s="88">
        <v>44644</v>
      </c>
      <c r="Y156" s="85" t="s">
        <v>753</v>
      </c>
      <c r="Z156" s="84" t="str">
        <f>HYPERLINK("https://twitter.com/marikarkkainen/status/1507042446152196099")</f>
        <v>https://twitter.com/marikarkkainen/status/1507042446152196099</v>
      </c>
      <c r="AA156" s="81"/>
      <c r="AB156" s="81"/>
      <c r="AC156" s="85" t="s">
        <v>1022</v>
      </c>
      <c r="AD156" s="81"/>
      <c r="AE156" s="81" t="b">
        <v>0</v>
      </c>
      <c r="AF156" s="81">
        <v>0</v>
      </c>
      <c r="AG156" s="85" t="s">
        <v>1162</v>
      </c>
      <c r="AH156" s="81" t="b">
        <v>1</v>
      </c>
      <c r="AI156" s="81" t="s">
        <v>1179</v>
      </c>
      <c r="AJ156" s="81"/>
      <c r="AK156" s="85" t="s">
        <v>1134</v>
      </c>
      <c r="AL156" s="81" t="b">
        <v>0</v>
      </c>
      <c r="AM156" s="81">
        <v>0</v>
      </c>
      <c r="AN156" s="85" t="s">
        <v>1162</v>
      </c>
      <c r="AO156" s="85" t="s">
        <v>1190</v>
      </c>
      <c r="AP156" s="81" t="b">
        <v>0</v>
      </c>
      <c r="AQ156" s="85" t="s">
        <v>1022</v>
      </c>
      <c r="AR156" s="81" t="s">
        <v>187</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3</v>
      </c>
      <c r="BF156" s="49">
        <v>0</v>
      </c>
      <c r="BG156" s="50">
        <v>0</v>
      </c>
      <c r="BH156" s="49">
        <v>0</v>
      </c>
      <c r="BI156" s="50">
        <v>0</v>
      </c>
      <c r="BJ156" s="49">
        <v>0</v>
      </c>
      <c r="BK156" s="50">
        <v>0</v>
      </c>
      <c r="BL156" s="49">
        <v>10</v>
      </c>
      <c r="BM156" s="50">
        <v>100</v>
      </c>
      <c r="BN156" s="49">
        <v>10</v>
      </c>
    </row>
    <row r="157" spans="1:66" ht="15">
      <c r="A157" s="65" t="s">
        <v>372</v>
      </c>
      <c r="B157" s="65" t="s">
        <v>479</v>
      </c>
      <c r="C157" s="66" t="s">
        <v>4392</v>
      </c>
      <c r="D157" s="67">
        <v>1</v>
      </c>
      <c r="E157" s="68" t="s">
        <v>132</v>
      </c>
      <c r="F157" s="69">
        <v>32</v>
      </c>
      <c r="G157" s="66" t="s">
        <v>51</v>
      </c>
      <c r="H157" s="70"/>
      <c r="I157" s="71"/>
      <c r="J157" s="71"/>
      <c r="K157" s="35" t="s">
        <v>65</v>
      </c>
      <c r="L157" s="79">
        <v>157</v>
      </c>
      <c r="M157" s="79"/>
      <c r="N157" s="73"/>
      <c r="O157" s="81" t="s">
        <v>504</v>
      </c>
      <c r="P157" s="83">
        <v>44644.71653935185</v>
      </c>
      <c r="Q157" s="81" t="s">
        <v>539</v>
      </c>
      <c r="R157" s="84" t="str">
        <f>HYPERLINK("https://www.hs.fi/talous/art-2000008704863.html")</f>
        <v>https://www.hs.fi/talous/art-2000008704863.html</v>
      </c>
      <c r="S157" s="81" t="s">
        <v>582</v>
      </c>
      <c r="T157" s="81"/>
      <c r="U157" s="81"/>
      <c r="V157" s="84" t="str">
        <f>HYPERLINK("https://abs.twimg.com/sticky/default_profile_images/default_profile_normal.png")</f>
        <v>https://abs.twimg.com/sticky/default_profile_images/default_profile_normal.png</v>
      </c>
      <c r="W157" s="83">
        <v>44644.71653935185</v>
      </c>
      <c r="X157" s="88">
        <v>44644</v>
      </c>
      <c r="Y157" s="85" t="s">
        <v>754</v>
      </c>
      <c r="Z157" s="84" t="str">
        <f>HYPERLINK("https://twitter.com/fillari_iska/status/1507042513722519555")</f>
        <v>https://twitter.com/fillari_iska/status/1507042513722519555</v>
      </c>
      <c r="AA157" s="81"/>
      <c r="AB157" s="81"/>
      <c r="AC157" s="85" t="s">
        <v>1023</v>
      </c>
      <c r="AD157" s="81"/>
      <c r="AE157" s="81" t="b">
        <v>0</v>
      </c>
      <c r="AF157" s="81">
        <v>0</v>
      </c>
      <c r="AG157" s="85" t="s">
        <v>1162</v>
      </c>
      <c r="AH157" s="81" t="b">
        <v>0</v>
      </c>
      <c r="AI157" s="81" t="s">
        <v>1179</v>
      </c>
      <c r="AJ157" s="81"/>
      <c r="AK157" s="85" t="s">
        <v>1162</v>
      </c>
      <c r="AL157" s="81" t="b">
        <v>0</v>
      </c>
      <c r="AM157" s="81">
        <v>103</v>
      </c>
      <c r="AN157" s="85" t="s">
        <v>1134</v>
      </c>
      <c r="AO157" s="85" t="s">
        <v>1188</v>
      </c>
      <c r="AP157" s="81" t="b">
        <v>0</v>
      </c>
      <c r="AQ157" s="85" t="s">
        <v>1134</v>
      </c>
      <c r="AR157" s="81" t="s">
        <v>187</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v>0</v>
      </c>
      <c r="BG157" s="50">
        <v>0</v>
      </c>
      <c r="BH157" s="49">
        <v>0</v>
      </c>
      <c r="BI157" s="50">
        <v>0</v>
      </c>
      <c r="BJ157" s="49">
        <v>0</v>
      </c>
      <c r="BK157" s="50">
        <v>0</v>
      </c>
      <c r="BL157" s="49">
        <v>33</v>
      </c>
      <c r="BM157" s="50">
        <v>100</v>
      </c>
      <c r="BN157" s="49">
        <v>33</v>
      </c>
    </row>
    <row r="158" spans="1:66" ht="15">
      <c r="A158" s="65" t="s">
        <v>373</v>
      </c>
      <c r="B158" s="65" t="s">
        <v>430</v>
      </c>
      <c r="C158" s="66" t="s">
        <v>4392</v>
      </c>
      <c r="D158" s="67">
        <v>1</v>
      </c>
      <c r="E158" s="68" t="s">
        <v>132</v>
      </c>
      <c r="F158" s="69">
        <v>32</v>
      </c>
      <c r="G158" s="66" t="s">
        <v>51</v>
      </c>
      <c r="H158" s="70"/>
      <c r="I158" s="71"/>
      <c r="J158" s="71"/>
      <c r="K158" s="35" t="s">
        <v>65</v>
      </c>
      <c r="L158" s="79">
        <v>158</v>
      </c>
      <c r="M158" s="79"/>
      <c r="N158" s="73"/>
      <c r="O158" s="81" t="s">
        <v>504</v>
      </c>
      <c r="P158" s="83">
        <v>44644.72314814815</v>
      </c>
      <c r="Q158" s="81" t="s">
        <v>512</v>
      </c>
      <c r="R158" s="81"/>
      <c r="S158" s="81"/>
      <c r="T158" s="81"/>
      <c r="U158" s="84" t="str">
        <f>HYPERLINK("https://pbs.twimg.com/media/FOiWtSbWYAkulkw.jpg")</f>
        <v>https://pbs.twimg.com/media/FOiWtSbWYAkulkw.jpg</v>
      </c>
      <c r="V158" s="84" t="str">
        <f>HYPERLINK("https://pbs.twimg.com/media/FOiWtSbWYAkulkw.jpg")</f>
        <v>https://pbs.twimg.com/media/FOiWtSbWYAkulkw.jpg</v>
      </c>
      <c r="W158" s="83">
        <v>44644.72314814815</v>
      </c>
      <c r="X158" s="88">
        <v>44644</v>
      </c>
      <c r="Y158" s="85" t="s">
        <v>755</v>
      </c>
      <c r="Z158" s="84" t="str">
        <f>HYPERLINK("https://twitter.com/ooppaooppa/status/1507044907718000649")</f>
        <v>https://twitter.com/ooppaooppa/status/1507044907718000649</v>
      </c>
      <c r="AA158" s="81"/>
      <c r="AB158" s="81"/>
      <c r="AC158" s="85" t="s">
        <v>1024</v>
      </c>
      <c r="AD158" s="81"/>
      <c r="AE158" s="81" t="b">
        <v>0</v>
      </c>
      <c r="AF158" s="81">
        <v>0</v>
      </c>
      <c r="AG158" s="85" t="s">
        <v>1162</v>
      </c>
      <c r="AH158" s="81" t="b">
        <v>0</v>
      </c>
      <c r="AI158" s="81" t="s">
        <v>1179</v>
      </c>
      <c r="AJ158" s="81"/>
      <c r="AK158" s="85" t="s">
        <v>1162</v>
      </c>
      <c r="AL158" s="81" t="b">
        <v>0</v>
      </c>
      <c r="AM158" s="81">
        <v>68</v>
      </c>
      <c r="AN158" s="85" t="s">
        <v>1081</v>
      </c>
      <c r="AO158" s="85" t="s">
        <v>1188</v>
      </c>
      <c r="AP158" s="81" t="b">
        <v>0</v>
      </c>
      <c r="AQ158" s="85" t="s">
        <v>1081</v>
      </c>
      <c r="AR158" s="81" t="s">
        <v>187</v>
      </c>
      <c r="AS158" s="81">
        <v>0</v>
      </c>
      <c r="AT158" s="81">
        <v>0</v>
      </c>
      <c r="AU158" s="81"/>
      <c r="AV158" s="81"/>
      <c r="AW158" s="81"/>
      <c r="AX158" s="81"/>
      <c r="AY158" s="81"/>
      <c r="AZ158" s="81"/>
      <c r="BA158" s="81"/>
      <c r="BB158" s="81"/>
      <c r="BC158">
        <v>1</v>
      </c>
      <c r="BD158" s="80" t="str">
        <f>REPLACE(INDEX(GroupVertices[Group],MATCH(Edges[[#This Row],[Vertex 1]],GroupVertices[Vertex],0)),1,1,"")</f>
        <v>2</v>
      </c>
      <c r="BE158" s="80" t="str">
        <f>REPLACE(INDEX(GroupVertices[Group],MATCH(Edges[[#This Row],[Vertex 2]],GroupVertices[Vertex],0)),1,1,"")</f>
        <v>2</v>
      </c>
      <c r="BF158" s="49">
        <v>0</v>
      </c>
      <c r="BG158" s="50">
        <v>0</v>
      </c>
      <c r="BH158" s="49">
        <v>0</v>
      </c>
      <c r="BI158" s="50">
        <v>0</v>
      </c>
      <c r="BJ158" s="49">
        <v>0</v>
      </c>
      <c r="BK158" s="50">
        <v>0</v>
      </c>
      <c r="BL158" s="49">
        <v>6</v>
      </c>
      <c r="BM158" s="50">
        <v>100</v>
      </c>
      <c r="BN158" s="49">
        <v>6</v>
      </c>
    </row>
    <row r="159" spans="1:66" ht="15">
      <c r="A159" s="65" t="s">
        <v>374</v>
      </c>
      <c r="B159" s="65" t="s">
        <v>479</v>
      </c>
      <c r="C159" s="66" t="s">
        <v>4392</v>
      </c>
      <c r="D159" s="67">
        <v>1</v>
      </c>
      <c r="E159" s="68" t="s">
        <v>132</v>
      </c>
      <c r="F159" s="69">
        <v>32</v>
      </c>
      <c r="G159" s="66" t="s">
        <v>51</v>
      </c>
      <c r="H159" s="70"/>
      <c r="I159" s="71"/>
      <c r="J159" s="71"/>
      <c r="K159" s="35" t="s">
        <v>65</v>
      </c>
      <c r="L159" s="79">
        <v>159</v>
      </c>
      <c r="M159" s="79"/>
      <c r="N159" s="73"/>
      <c r="O159" s="81" t="s">
        <v>504</v>
      </c>
      <c r="P159" s="83">
        <v>44644.7234375</v>
      </c>
      <c r="Q159" s="81" t="s">
        <v>539</v>
      </c>
      <c r="R159" s="84" t="str">
        <f>HYPERLINK("https://www.hs.fi/talous/art-2000008704863.html")</f>
        <v>https://www.hs.fi/talous/art-2000008704863.html</v>
      </c>
      <c r="S159" s="81" t="s">
        <v>582</v>
      </c>
      <c r="T159" s="81"/>
      <c r="U159" s="81"/>
      <c r="V159" s="84" t="str">
        <f>HYPERLINK("https://pbs.twimg.com/profile_images/1295643631894835201/85558dwi_normal.jpg")</f>
        <v>https://pbs.twimg.com/profile_images/1295643631894835201/85558dwi_normal.jpg</v>
      </c>
      <c r="W159" s="83">
        <v>44644.7234375</v>
      </c>
      <c r="X159" s="88">
        <v>44644</v>
      </c>
      <c r="Y159" s="85" t="s">
        <v>756</v>
      </c>
      <c r="Z159" s="84" t="str">
        <f>HYPERLINK("https://twitter.com/akselilammi/status/1507045012500013057")</f>
        <v>https://twitter.com/akselilammi/status/1507045012500013057</v>
      </c>
      <c r="AA159" s="81"/>
      <c r="AB159" s="81"/>
      <c r="AC159" s="85" t="s">
        <v>1025</v>
      </c>
      <c r="AD159" s="81"/>
      <c r="AE159" s="81" t="b">
        <v>0</v>
      </c>
      <c r="AF159" s="81">
        <v>0</v>
      </c>
      <c r="AG159" s="85" t="s">
        <v>1162</v>
      </c>
      <c r="AH159" s="81" t="b">
        <v>0</v>
      </c>
      <c r="AI159" s="81" t="s">
        <v>1179</v>
      </c>
      <c r="AJ159" s="81"/>
      <c r="AK159" s="85" t="s">
        <v>1162</v>
      </c>
      <c r="AL159" s="81" t="b">
        <v>0</v>
      </c>
      <c r="AM159" s="81">
        <v>103</v>
      </c>
      <c r="AN159" s="85" t="s">
        <v>1134</v>
      </c>
      <c r="AO159" s="85" t="s">
        <v>1188</v>
      </c>
      <c r="AP159" s="81" t="b">
        <v>0</v>
      </c>
      <c r="AQ159" s="85" t="s">
        <v>1134</v>
      </c>
      <c r="AR159" s="81" t="s">
        <v>187</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0</v>
      </c>
      <c r="BG159" s="50">
        <v>0</v>
      </c>
      <c r="BH159" s="49">
        <v>0</v>
      </c>
      <c r="BI159" s="50">
        <v>0</v>
      </c>
      <c r="BJ159" s="49">
        <v>0</v>
      </c>
      <c r="BK159" s="50">
        <v>0</v>
      </c>
      <c r="BL159" s="49">
        <v>33</v>
      </c>
      <c r="BM159" s="50">
        <v>100</v>
      </c>
      <c r="BN159" s="49">
        <v>33</v>
      </c>
    </row>
    <row r="160" spans="1:66" ht="15">
      <c r="A160" s="65" t="s">
        <v>375</v>
      </c>
      <c r="B160" s="65" t="s">
        <v>479</v>
      </c>
      <c r="C160" s="66" t="s">
        <v>4392</v>
      </c>
      <c r="D160" s="67">
        <v>1</v>
      </c>
      <c r="E160" s="68" t="s">
        <v>132</v>
      </c>
      <c r="F160" s="69">
        <v>32</v>
      </c>
      <c r="G160" s="66" t="s">
        <v>51</v>
      </c>
      <c r="H160" s="70"/>
      <c r="I160" s="71"/>
      <c r="J160" s="71"/>
      <c r="K160" s="35" t="s">
        <v>65</v>
      </c>
      <c r="L160" s="79">
        <v>160</v>
      </c>
      <c r="M160" s="79"/>
      <c r="N160" s="73"/>
      <c r="O160" s="81" t="s">
        <v>504</v>
      </c>
      <c r="P160" s="83">
        <v>44644.72556712963</v>
      </c>
      <c r="Q160" s="81" t="s">
        <v>539</v>
      </c>
      <c r="R160" s="84" t="str">
        <f>HYPERLINK("https://www.hs.fi/talous/art-2000008704863.html")</f>
        <v>https://www.hs.fi/talous/art-2000008704863.html</v>
      </c>
      <c r="S160" s="81" t="s">
        <v>582</v>
      </c>
      <c r="T160" s="81"/>
      <c r="U160" s="81"/>
      <c r="V160" s="84" t="str">
        <f>HYPERLINK("https://pbs.twimg.com/profile_images/1490068375745269770/fSznzJpk_normal.jpg")</f>
        <v>https://pbs.twimg.com/profile_images/1490068375745269770/fSznzJpk_normal.jpg</v>
      </c>
      <c r="W160" s="83">
        <v>44644.72556712963</v>
      </c>
      <c r="X160" s="88">
        <v>44644</v>
      </c>
      <c r="Y160" s="85" t="s">
        <v>757</v>
      </c>
      <c r="Z160" s="84" t="str">
        <f>HYPERLINK("https://twitter.com/anna_ihminen/status/1507045784004481027")</f>
        <v>https://twitter.com/anna_ihminen/status/1507045784004481027</v>
      </c>
      <c r="AA160" s="81"/>
      <c r="AB160" s="81"/>
      <c r="AC160" s="85" t="s">
        <v>1026</v>
      </c>
      <c r="AD160" s="81"/>
      <c r="AE160" s="81" t="b">
        <v>0</v>
      </c>
      <c r="AF160" s="81">
        <v>0</v>
      </c>
      <c r="AG160" s="85" t="s">
        <v>1162</v>
      </c>
      <c r="AH160" s="81" t="b">
        <v>0</v>
      </c>
      <c r="AI160" s="81" t="s">
        <v>1179</v>
      </c>
      <c r="AJ160" s="81"/>
      <c r="AK160" s="85" t="s">
        <v>1162</v>
      </c>
      <c r="AL160" s="81" t="b">
        <v>0</v>
      </c>
      <c r="AM160" s="81">
        <v>103</v>
      </c>
      <c r="AN160" s="85" t="s">
        <v>1134</v>
      </c>
      <c r="AO160" s="85" t="s">
        <v>1188</v>
      </c>
      <c r="AP160" s="81" t="b">
        <v>0</v>
      </c>
      <c r="AQ160" s="85" t="s">
        <v>1134</v>
      </c>
      <c r="AR160" s="81" t="s">
        <v>187</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0</v>
      </c>
      <c r="BG160" s="50">
        <v>0</v>
      </c>
      <c r="BH160" s="49">
        <v>0</v>
      </c>
      <c r="BI160" s="50">
        <v>0</v>
      </c>
      <c r="BJ160" s="49">
        <v>0</v>
      </c>
      <c r="BK160" s="50">
        <v>0</v>
      </c>
      <c r="BL160" s="49">
        <v>33</v>
      </c>
      <c r="BM160" s="50">
        <v>100</v>
      </c>
      <c r="BN160" s="49">
        <v>33</v>
      </c>
    </row>
    <row r="161" spans="1:66" ht="15">
      <c r="A161" s="65" t="s">
        <v>376</v>
      </c>
      <c r="B161" s="65" t="s">
        <v>376</v>
      </c>
      <c r="C161" s="66" t="s">
        <v>4392</v>
      </c>
      <c r="D161" s="67">
        <v>1</v>
      </c>
      <c r="E161" s="68" t="s">
        <v>132</v>
      </c>
      <c r="F161" s="69">
        <v>32</v>
      </c>
      <c r="G161" s="66" t="s">
        <v>51</v>
      </c>
      <c r="H161" s="70"/>
      <c r="I161" s="71"/>
      <c r="J161" s="71"/>
      <c r="K161" s="35" t="s">
        <v>65</v>
      </c>
      <c r="L161" s="79">
        <v>161</v>
      </c>
      <c r="M161" s="79"/>
      <c r="N161" s="73"/>
      <c r="O161" s="81" t="s">
        <v>187</v>
      </c>
      <c r="P161" s="83">
        <v>44644.72645833333</v>
      </c>
      <c r="Q161" s="81" t="s">
        <v>550</v>
      </c>
      <c r="R161" s="81"/>
      <c r="S161" s="81"/>
      <c r="T161" s="81"/>
      <c r="U161" s="81"/>
      <c r="V161" s="84" t="str">
        <f>HYPERLINK("https://pbs.twimg.com/profile_images/1335109491570974720/2gTPuTSX_normal.jpg")</f>
        <v>https://pbs.twimg.com/profile_images/1335109491570974720/2gTPuTSX_normal.jpg</v>
      </c>
      <c r="W161" s="83">
        <v>44644.72645833333</v>
      </c>
      <c r="X161" s="88">
        <v>44644</v>
      </c>
      <c r="Y161" s="85" t="s">
        <v>758</v>
      </c>
      <c r="Z161" s="84" t="str">
        <f>HYPERLINK("https://twitter.com/idealacatariina/status/1507046107607715851")</f>
        <v>https://twitter.com/idealacatariina/status/1507046107607715851</v>
      </c>
      <c r="AA161" s="81"/>
      <c r="AB161" s="81"/>
      <c r="AC161" s="85" t="s">
        <v>1027</v>
      </c>
      <c r="AD161" s="81"/>
      <c r="AE161" s="81" t="b">
        <v>0</v>
      </c>
      <c r="AF161" s="81">
        <v>3</v>
      </c>
      <c r="AG161" s="85" t="s">
        <v>1162</v>
      </c>
      <c r="AH161" s="81" t="b">
        <v>0</v>
      </c>
      <c r="AI161" s="81" t="s">
        <v>1183</v>
      </c>
      <c r="AJ161" s="81"/>
      <c r="AK161" s="85" t="s">
        <v>1162</v>
      </c>
      <c r="AL161" s="81" t="b">
        <v>0</v>
      </c>
      <c r="AM161" s="81">
        <v>0</v>
      </c>
      <c r="AN161" s="85" t="s">
        <v>1162</v>
      </c>
      <c r="AO161" s="85" t="s">
        <v>1190</v>
      </c>
      <c r="AP161" s="81" t="b">
        <v>0</v>
      </c>
      <c r="AQ161" s="85" t="s">
        <v>1027</v>
      </c>
      <c r="AR161" s="81" t="s">
        <v>187</v>
      </c>
      <c r="AS161" s="81">
        <v>0</v>
      </c>
      <c r="AT161" s="81">
        <v>0</v>
      </c>
      <c r="AU161" s="81"/>
      <c r="AV161" s="81"/>
      <c r="AW161" s="81"/>
      <c r="AX161" s="81"/>
      <c r="AY161" s="81"/>
      <c r="AZ161" s="81"/>
      <c r="BA161" s="81"/>
      <c r="BB161" s="81"/>
      <c r="BC161">
        <v>1</v>
      </c>
      <c r="BD161" s="80" t="str">
        <f>REPLACE(INDEX(GroupVertices[Group],MATCH(Edges[[#This Row],[Vertex 1]],GroupVertices[Vertex],0)),1,1,"")</f>
        <v>3</v>
      </c>
      <c r="BE161" s="80" t="str">
        <f>REPLACE(INDEX(GroupVertices[Group],MATCH(Edges[[#This Row],[Vertex 2]],GroupVertices[Vertex],0)),1,1,"")</f>
        <v>3</v>
      </c>
      <c r="BF161" s="49">
        <v>0</v>
      </c>
      <c r="BG161" s="50">
        <v>0</v>
      </c>
      <c r="BH161" s="49">
        <v>0</v>
      </c>
      <c r="BI161" s="50">
        <v>0</v>
      </c>
      <c r="BJ161" s="49">
        <v>0</v>
      </c>
      <c r="BK161" s="50">
        <v>0</v>
      </c>
      <c r="BL161" s="49">
        <v>18</v>
      </c>
      <c r="BM161" s="50">
        <v>100</v>
      </c>
      <c r="BN161" s="49">
        <v>18</v>
      </c>
    </row>
    <row r="162" spans="1:66" ht="15">
      <c r="A162" s="65" t="s">
        <v>377</v>
      </c>
      <c r="B162" s="65" t="s">
        <v>479</v>
      </c>
      <c r="C162" s="66" t="s">
        <v>4392</v>
      </c>
      <c r="D162" s="67">
        <v>1</v>
      </c>
      <c r="E162" s="68" t="s">
        <v>132</v>
      </c>
      <c r="F162" s="69">
        <v>32</v>
      </c>
      <c r="G162" s="66" t="s">
        <v>51</v>
      </c>
      <c r="H162" s="70"/>
      <c r="I162" s="71"/>
      <c r="J162" s="71"/>
      <c r="K162" s="35" t="s">
        <v>65</v>
      </c>
      <c r="L162" s="79">
        <v>162</v>
      </c>
      <c r="M162" s="79"/>
      <c r="N162" s="73"/>
      <c r="O162" s="81" t="s">
        <v>504</v>
      </c>
      <c r="P162" s="83">
        <v>44644.72865740741</v>
      </c>
      <c r="Q162" s="81" t="s">
        <v>539</v>
      </c>
      <c r="R162" s="84" t="str">
        <f>HYPERLINK("https://www.hs.fi/talous/art-2000008704863.html")</f>
        <v>https://www.hs.fi/talous/art-2000008704863.html</v>
      </c>
      <c r="S162" s="81" t="s">
        <v>582</v>
      </c>
      <c r="T162" s="81"/>
      <c r="U162" s="81"/>
      <c r="V162" s="84" t="str">
        <f>HYPERLINK("https://pbs.twimg.com/profile_images/1493210199854882824/zT9XJ0JY_normal.jpg")</f>
        <v>https://pbs.twimg.com/profile_images/1493210199854882824/zT9XJ0JY_normal.jpg</v>
      </c>
      <c r="W162" s="83">
        <v>44644.72865740741</v>
      </c>
      <c r="X162" s="88">
        <v>44644</v>
      </c>
      <c r="Y162" s="85" t="s">
        <v>759</v>
      </c>
      <c r="Z162" s="84" t="str">
        <f>HYPERLINK("https://twitter.com/merviemilia/status/1507046903514603533")</f>
        <v>https://twitter.com/merviemilia/status/1507046903514603533</v>
      </c>
      <c r="AA162" s="81"/>
      <c r="AB162" s="81"/>
      <c r="AC162" s="85" t="s">
        <v>1028</v>
      </c>
      <c r="AD162" s="81"/>
      <c r="AE162" s="81" t="b">
        <v>0</v>
      </c>
      <c r="AF162" s="81">
        <v>0</v>
      </c>
      <c r="AG162" s="85" t="s">
        <v>1162</v>
      </c>
      <c r="AH162" s="81" t="b">
        <v>0</v>
      </c>
      <c r="AI162" s="81" t="s">
        <v>1179</v>
      </c>
      <c r="AJ162" s="81"/>
      <c r="AK162" s="85" t="s">
        <v>1162</v>
      </c>
      <c r="AL162" s="81" t="b">
        <v>0</v>
      </c>
      <c r="AM162" s="81">
        <v>103</v>
      </c>
      <c r="AN162" s="85" t="s">
        <v>1134</v>
      </c>
      <c r="AO162" s="85" t="s">
        <v>1196</v>
      </c>
      <c r="AP162" s="81" t="b">
        <v>0</v>
      </c>
      <c r="AQ162" s="85" t="s">
        <v>1134</v>
      </c>
      <c r="AR162" s="81" t="s">
        <v>187</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33</v>
      </c>
      <c r="BM162" s="50">
        <v>100</v>
      </c>
      <c r="BN162" s="49">
        <v>33</v>
      </c>
    </row>
    <row r="163" spans="1:66" ht="15">
      <c r="A163" s="65" t="s">
        <v>378</v>
      </c>
      <c r="B163" s="65" t="s">
        <v>479</v>
      </c>
      <c r="C163" s="66" t="s">
        <v>4392</v>
      </c>
      <c r="D163" s="67">
        <v>1</v>
      </c>
      <c r="E163" s="68" t="s">
        <v>132</v>
      </c>
      <c r="F163" s="69">
        <v>32</v>
      </c>
      <c r="G163" s="66" t="s">
        <v>51</v>
      </c>
      <c r="H163" s="70"/>
      <c r="I163" s="71"/>
      <c r="J163" s="71"/>
      <c r="K163" s="35" t="s">
        <v>65</v>
      </c>
      <c r="L163" s="79">
        <v>163</v>
      </c>
      <c r="M163" s="79"/>
      <c r="N163" s="73"/>
      <c r="O163" s="81" t="s">
        <v>504</v>
      </c>
      <c r="P163" s="83">
        <v>44644.731354166666</v>
      </c>
      <c r="Q163" s="81" t="s">
        <v>539</v>
      </c>
      <c r="R163" s="84" t="str">
        <f>HYPERLINK("https://www.hs.fi/talous/art-2000008704863.html")</f>
        <v>https://www.hs.fi/talous/art-2000008704863.html</v>
      </c>
      <c r="S163" s="81" t="s">
        <v>582</v>
      </c>
      <c r="T163" s="81"/>
      <c r="U163" s="81"/>
      <c r="V163" s="84" t="str">
        <f>HYPERLINK("https://pbs.twimg.com/profile_images/1470419056385744906/qr23MIX-_normal.jpg")</f>
        <v>https://pbs.twimg.com/profile_images/1470419056385744906/qr23MIX-_normal.jpg</v>
      </c>
      <c r="W163" s="83">
        <v>44644.731354166666</v>
      </c>
      <c r="X163" s="88">
        <v>44644</v>
      </c>
      <c r="Y163" s="85" t="s">
        <v>760</v>
      </c>
      <c r="Z163" s="84" t="str">
        <f>HYPERLINK("https://twitter.com/vsaarenketo/status/1507047880674131968")</f>
        <v>https://twitter.com/vsaarenketo/status/1507047880674131968</v>
      </c>
      <c r="AA163" s="81"/>
      <c r="AB163" s="81"/>
      <c r="AC163" s="85" t="s">
        <v>1029</v>
      </c>
      <c r="AD163" s="81"/>
      <c r="AE163" s="81" t="b">
        <v>0</v>
      </c>
      <c r="AF163" s="81">
        <v>0</v>
      </c>
      <c r="AG163" s="85" t="s">
        <v>1162</v>
      </c>
      <c r="AH163" s="81" t="b">
        <v>0</v>
      </c>
      <c r="AI163" s="81" t="s">
        <v>1179</v>
      </c>
      <c r="AJ163" s="81"/>
      <c r="AK163" s="85" t="s">
        <v>1162</v>
      </c>
      <c r="AL163" s="81" t="b">
        <v>0</v>
      </c>
      <c r="AM163" s="81">
        <v>103</v>
      </c>
      <c r="AN163" s="85" t="s">
        <v>1134</v>
      </c>
      <c r="AO163" s="85" t="s">
        <v>1188</v>
      </c>
      <c r="AP163" s="81" t="b">
        <v>0</v>
      </c>
      <c r="AQ163" s="85" t="s">
        <v>1134</v>
      </c>
      <c r="AR163" s="81" t="s">
        <v>187</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33</v>
      </c>
      <c r="BM163" s="50">
        <v>100</v>
      </c>
      <c r="BN163" s="49">
        <v>33</v>
      </c>
    </row>
    <row r="164" spans="1:66" ht="15">
      <c r="A164" s="65" t="s">
        <v>379</v>
      </c>
      <c r="B164" s="65" t="s">
        <v>379</v>
      </c>
      <c r="C164" s="66" t="s">
        <v>4392</v>
      </c>
      <c r="D164" s="67">
        <v>1</v>
      </c>
      <c r="E164" s="68" t="s">
        <v>132</v>
      </c>
      <c r="F164" s="69">
        <v>32</v>
      </c>
      <c r="G164" s="66" t="s">
        <v>51</v>
      </c>
      <c r="H164" s="70"/>
      <c r="I164" s="71"/>
      <c r="J164" s="71"/>
      <c r="K164" s="35" t="s">
        <v>65</v>
      </c>
      <c r="L164" s="79">
        <v>164</v>
      </c>
      <c r="M164" s="79"/>
      <c r="N164" s="73"/>
      <c r="O164" s="81" t="s">
        <v>187</v>
      </c>
      <c r="P164" s="83">
        <v>44644.73391203704</v>
      </c>
      <c r="Q164" s="81" t="s">
        <v>551</v>
      </c>
      <c r="R164" s="84" t="str">
        <f>HYPERLINK("https://twitter.com/almaonali/status/1506994320288759817")</f>
        <v>https://twitter.com/almaonali/status/1506994320288759817</v>
      </c>
      <c r="S164" s="81" t="s">
        <v>580</v>
      </c>
      <c r="T164" s="81"/>
      <c r="U164" s="81"/>
      <c r="V164" s="84" t="str">
        <f>HYPERLINK("https://pbs.twimg.com/profile_images/1380145337034276866/m06cnp1u_normal.jpg")</f>
        <v>https://pbs.twimg.com/profile_images/1380145337034276866/m06cnp1u_normal.jpg</v>
      </c>
      <c r="W164" s="83">
        <v>44644.73391203704</v>
      </c>
      <c r="X164" s="88">
        <v>44644</v>
      </c>
      <c r="Y164" s="85" t="s">
        <v>761</v>
      </c>
      <c r="Z164" s="84" t="str">
        <f>HYPERLINK("https://twitter.com/kallixia/status/1507048807724470275")</f>
        <v>https://twitter.com/kallixia/status/1507048807724470275</v>
      </c>
      <c r="AA164" s="81"/>
      <c r="AB164" s="81"/>
      <c r="AC164" s="85" t="s">
        <v>1030</v>
      </c>
      <c r="AD164" s="81"/>
      <c r="AE164" s="81" t="b">
        <v>0</v>
      </c>
      <c r="AF164" s="81">
        <v>1</v>
      </c>
      <c r="AG164" s="85" t="s">
        <v>1162</v>
      </c>
      <c r="AH164" s="81" t="b">
        <v>1</v>
      </c>
      <c r="AI164" s="81" t="s">
        <v>1179</v>
      </c>
      <c r="AJ164" s="81"/>
      <c r="AK164" s="85" t="s">
        <v>1134</v>
      </c>
      <c r="AL164" s="81" t="b">
        <v>0</v>
      </c>
      <c r="AM164" s="81">
        <v>0</v>
      </c>
      <c r="AN164" s="85" t="s">
        <v>1162</v>
      </c>
      <c r="AO164" s="85" t="s">
        <v>1196</v>
      </c>
      <c r="AP164" s="81" t="b">
        <v>0</v>
      </c>
      <c r="AQ164" s="85" t="s">
        <v>1030</v>
      </c>
      <c r="AR164" s="81" t="s">
        <v>187</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3</v>
      </c>
      <c r="BF164" s="49">
        <v>0</v>
      </c>
      <c r="BG164" s="50">
        <v>0</v>
      </c>
      <c r="BH164" s="49">
        <v>0</v>
      </c>
      <c r="BI164" s="50">
        <v>0</v>
      </c>
      <c r="BJ164" s="49">
        <v>0</v>
      </c>
      <c r="BK164" s="50">
        <v>0</v>
      </c>
      <c r="BL164" s="49">
        <v>8</v>
      </c>
      <c r="BM164" s="50">
        <v>100</v>
      </c>
      <c r="BN164" s="49">
        <v>8</v>
      </c>
    </row>
    <row r="165" spans="1:66" ht="15">
      <c r="A165" s="65" t="s">
        <v>380</v>
      </c>
      <c r="B165" s="65" t="s">
        <v>479</v>
      </c>
      <c r="C165" s="66" t="s">
        <v>4392</v>
      </c>
      <c r="D165" s="67">
        <v>1</v>
      </c>
      <c r="E165" s="68" t="s">
        <v>132</v>
      </c>
      <c r="F165" s="69">
        <v>32</v>
      </c>
      <c r="G165" s="66" t="s">
        <v>51</v>
      </c>
      <c r="H165" s="70"/>
      <c r="I165" s="71"/>
      <c r="J165" s="71"/>
      <c r="K165" s="35" t="s">
        <v>65</v>
      </c>
      <c r="L165" s="79">
        <v>165</v>
      </c>
      <c r="M165" s="79"/>
      <c r="N165" s="73"/>
      <c r="O165" s="81" t="s">
        <v>504</v>
      </c>
      <c r="P165" s="83">
        <v>44644.7387962963</v>
      </c>
      <c r="Q165" s="81" t="s">
        <v>539</v>
      </c>
      <c r="R165" s="84" t="str">
        <f>HYPERLINK("https://www.hs.fi/talous/art-2000008704863.html")</f>
        <v>https://www.hs.fi/talous/art-2000008704863.html</v>
      </c>
      <c r="S165" s="81" t="s">
        <v>582</v>
      </c>
      <c r="T165" s="81"/>
      <c r="U165" s="81"/>
      <c r="V165" s="84" t="str">
        <f>HYPERLINK("https://pbs.twimg.com/profile_images/1461023138167377924/8gBQykdx_normal.jpg")</f>
        <v>https://pbs.twimg.com/profile_images/1461023138167377924/8gBQykdx_normal.jpg</v>
      </c>
      <c r="W165" s="83">
        <v>44644.7387962963</v>
      </c>
      <c r="X165" s="88">
        <v>44644</v>
      </c>
      <c r="Y165" s="85" t="s">
        <v>762</v>
      </c>
      <c r="Z165" s="84" t="str">
        <f>HYPERLINK("https://twitter.com/elinaruoppa/status/1507050581633941523")</f>
        <v>https://twitter.com/elinaruoppa/status/1507050581633941523</v>
      </c>
      <c r="AA165" s="81"/>
      <c r="AB165" s="81"/>
      <c r="AC165" s="85" t="s">
        <v>1031</v>
      </c>
      <c r="AD165" s="81"/>
      <c r="AE165" s="81" t="b">
        <v>0</v>
      </c>
      <c r="AF165" s="81">
        <v>0</v>
      </c>
      <c r="AG165" s="85" t="s">
        <v>1162</v>
      </c>
      <c r="AH165" s="81" t="b">
        <v>0</v>
      </c>
      <c r="AI165" s="81" t="s">
        <v>1179</v>
      </c>
      <c r="AJ165" s="81"/>
      <c r="AK165" s="85" t="s">
        <v>1162</v>
      </c>
      <c r="AL165" s="81" t="b">
        <v>0</v>
      </c>
      <c r="AM165" s="81">
        <v>103</v>
      </c>
      <c r="AN165" s="85" t="s">
        <v>1134</v>
      </c>
      <c r="AO165" s="85" t="s">
        <v>1190</v>
      </c>
      <c r="AP165" s="81" t="b">
        <v>0</v>
      </c>
      <c r="AQ165" s="85" t="s">
        <v>1134</v>
      </c>
      <c r="AR165" s="81" t="s">
        <v>187</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0</v>
      </c>
      <c r="BG165" s="50">
        <v>0</v>
      </c>
      <c r="BH165" s="49">
        <v>0</v>
      </c>
      <c r="BI165" s="50">
        <v>0</v>
      </c>
      <c r="BJ165" s="49">
        <v>0</v>
      </c>
      <c r="BK165" s="50">
        <v>0</v>
      </c>
      <c r="BL165" s="49">
        <v>33</v>
      </c>
      <c r="BM165" s="50">
        <v>100</v>
      </c>
      <c r="BN165" s="49">
        <v>33</v>
      </c>
    </row>
    <row r="166" spans="1:66" ht="15">
      <c r="A166" s="65" t="s">
        <v>381</v>
      </c>
      <c r="B166" s="65" t="s">
        <v>479</v>
      </c>
      <c r="C166" s="66" t="s">
        <v>4392</v>
      </c>
      <c r="D166" s="67">
        <v>1</v>
      </c>
      <c r="E166" s="68" t="s">
        <v>132</v>
      </c>
      <c r="F166" s="69">
        <v>32</v>
      </c>
      <c r="G166" s="66" t="s">
        <v>51</v>
      </c>
      <c r="H166" s="70"/>
      <c r="I166" s="71"/>
      <c r="J166" s="71"/>
      <c r="K166" s="35" t="s">
        <v>65</v>
      </c>
      <c r="L166" s="79">
        <v>166</v>
      </c>
      <c r="M166" s="79"/>
      <c r="N166" s="73"/>
      <c r="O166" s="81" t="s">
        <v>504</v>
      </c>
      <c r="P166" s="83">
        <v>44644.73997685185</v>
      </c>
      <c r="Q166" s="81" t="s">
        <v>539</v>
      </c>
      <c r="R166" s="84" t="str">
        <f>HYPERLINK("https://www.hs.fi/talous/art-2000008704863.html")</f>
        <v>https://www.hs.fi/talous/art-2000008704863.html</v>
      </c>
      <c r="S166" s="81" t="s">
        <v>582</v>
      </c>
      <c r="T166" s="81"/>
      <c r="U166" s="81"/>
      <c r="V166" s="84" t="str">
        <f>HYPERLINK("https://pbs.twimg.com/profile_images/1506256826999975946/F1CtkZF4_normal.jpg")</f>
        <v>https://pbs.twimg.com/profile_images/1506256826999975946/F1CtkZF4_normal.jpg</v>
      </c>
      <c r="W166" s="83">
        <v>44644.73997685185</v>
      </c>
      <c r="X166" s="88">
        <v>44644</v>
      </c>
      <c r="Y166" s="85" t="s">
        <v>763</v>
      </c>
      <c r="Z166" s="84" t="str">
        <f>HYPERLINK("https://twitter.com/therealjosefi/status/1507051006680576001")</f>
        <v>https://twitter.com/therealjosefi/status/1507051006680576001</v>
      </c>
      <c r="AA166" s="81"/>
      <c r="AB166" s="81"/>
      <c r="AC166" s="85" t="s">
        <v>1032</v>
      </c>
      <c r="AD166" s="81"/>
      <c r="AE166" s="81" t="b">
        <v>0</v>
      </c>
      <c r="AF166" s="81">
        <v>0</v>
      </c>
      <c r="AG166" s="85" t="s">
        <v>1162</v>
      </c>
      <c r="AH166" s="81" t="b">
        <v>0</v>
      </c>
      <c r="AI166" s="81" t="s">
        <v>1179</v>
      </c>
      <c r="AJ166" s="81"/>
      <c r="AK166" s="85" t="s">
        <v>1162</v>
      </c>
      <c r="AL166" s="81" t="b">
        <v>0</v>
      </c>
      <c r="AM166" s="81">
        <v>103</v>
      </c>
      <c r="AN166" s="85" t="s">
        <v>1134</v>
      </c>
      <c r="AO166" s="85" t="s">
        <v>1188</v>
      </c>
      <c r="AP166" s="81" t="b">
        <v>0</v>
      </c>
      <c r="AQ166" s="85" t="s">
        <v>1134</v>
      </c>
      <c r="AR166" s="81" t="s">
        <v>187</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v>0</v>
      </c>
      <c r="BG166" s="50">
        <v>0</v>
      </c>
      <c r="BH166" s="49">
        <v>0</v>
      </c>
      <c r="BI166" s="50">
        <v>0</v>
      </c>
      <c r="BJ166" s="49">
        <v>0</v>
      </c>
      <c r="BK166" s="50">
        <v>0</v>
      </c>
      <c r="BL166" s="49">
        <v>33</v>
      </c>
      <c r="BM166" s="50">
        <v>100</v>
      </c>
      <c r="BN166" s="49">
        <v>33</v>
      </c>
    </row>
    <row r="167" spans="1:66" ht="15">
      <c r="A167" s="65" t="s">
        <v>382</v>
      </c>
      <c r="B167" s="65" t="s">
        <v>479</v>
      </c>
      <c r="C167" s="66" t="s">
        <v>4392</v>
      </c>
      <c r="D167" s="67">
        <v>1</v>
      </c>
      <c r="E167" s="68" t="s">
        <v>132</v>
      </c>
      <c r="F167" s="69">
        <v>32</v>
      </c>
      <c r="G167" s="66" t="s">
        <v>51</v>
      </c>
      <c r="H167" s="70"/>
      <c r="I167" s="71"/>
      <c r="J167" s="71"/>
      <c r="K167" s="35" t="s">
        <v>65</v>
      </c>
      <c r="L167" s="79">
        <v>167</v>
      </c>
      <c r="M167" s="79"/>
      <c r="N167" s="73"/>
      <c r="O167" s="81" t="s">
        <v>504</v>
      </c>
      <c r="P167" s="83">
        <v>44644.74354166666</v>
      </c>
      <c r="Q167" s="81" t="s">
        <v>539</v>
      </c>
      <c r="R167" s="84" t="str">
        <f>HYPERLINK("https://www.hs.fi/talous/art-2000008704863.html")</f>
        <v>https://www.hs.fi/talous/art-2000008704863.html</v>
      </c>
      <c r="S167" s="81" t="s">
        <v>582</v>
      </c>
      <c r="T167" s="81"/>
      <c r="U167" s="81"/>
      <c r="V167" s="84" t="str">
        <f>HYPERLINK("https://pbs.twimg.com/profile_images/487172685181751296/tbcXrYko_normal.jpeg")</f>
        <v>https://pbs.twimg.com/profile_images/487172685181751296/tbcXrYko_normal.jpeg</v>
      </c>
      <c r="W167" s="83">
        <v>44644.74354166666</v>
      </c>
      <c r="X167" s="88">
        <v>44644</v>
      </c>
      <c r="Y167" s="85" t="s">
        <v>764</v>
      </c>
      <c r="Z167" s="84" t="str">
        <f>HYPERLINK("https://twitter.com/katriinapa/status/1507052298517762059")</f>
        <v>https://twitter.com/katriinapa/status/1507052298517762059</v>
      </c>
      <c r="AA167" s="81"/>
      <c r="AB167" s="81"/>
      <c r="AC167" s="85" t="s">
        <v>1033</v>
      </c>
      <c r="AD167" s="81"/>
      <c r="AE167" s="81" t="b">
        <v>0</v>
      </c>
      <c r="AF167" s="81">
        <v>0</v>
      </c>
      <c r="AG167" s="85" t="s">
        <v>1162</v>
      </c>
      <c r="AH167" s="81" t="b">
        <v>0</v>
      </c>
      <c r="AI167" s="81" t="s">
        <v>1179</v>
      </c>
      <c r="AJ167" s="81"/>
      <c r="AK167" s="85" t="s">
        <v>1162</v>
      </c>
      <c r="AL167" s="81" t="b">
        <v>0</v>
      </c>
      <c r="AM167" s="81">
        <v>103</v>
      </c>
      <c r="AN167" s="85" t="s">
        <v>1134</v>
      </c>
      <c r="AO167" s="85" t="s">
        <v>1190</v>
      </c>
      <c r="AP167" s="81" t="b">
        <v>0</v>
      </c>
      <c r="AQ167" s="85" t="s">
        <v>1134</v>
      </c>
      <c r="AR167" s="81" t="s">
        <v>187</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33</v>
      </c>
      <c r="BM167" s="50">
        <v>100</v>
      </c>
      <c r="BN167" s="49">
        <v>33</v>
      </c>
    </row>
    <row r="168" spans="1:66" ht="15">
      <c r="A168" s="65" t="s">
        <v>383</v>
      </c>
      <c r="B168" s="65" t="s">
        <v>479</v>
      </c>
      <c r="C168" s="66" t="s">
        <v>4392</v>
      </c>
      <c r="D168" s="67">
        <v>1</v>
      </c>
      <c r="E168" s="68" t="s">
        <v>132</v>
      </c>
      <c r="F168" s="69">
        <v>32</v>
      </c>
      <c r="G168" s="66" t="s">
        <v>51</v>
      </c>
      <c r="H168" s="70"/>
      <c r="I168" s="71"/>
      <c r="J168" s="71"/>
      <c r="K168" s="35" t="s">
        <v>65</v>
      </c>
      <c r="L168" s="79">
        <v>168</v>
      </c>
      <c r="M168" s="79"/>
      <c r="N168" s="73"/>
      <c r="O168" s="81" t="s">
        <v>504</v>
      </c>
      <c r="P168" s="83">
        <v>44644.74914351852</v>
      </c>
      <c r="Q168" s="81" t="s">
        <v>539</v>
      </c>
      <c r="R168" s="84" t="str">
        <f>HYPERLINK("https://www.hs.fi/talous/art-2000008704863.html")</f>
        <v>https://www.hs.fi/talous/art-2000008704863.html</v>
      </c>
      <c r="S168" s="81" t="s">
        <v>582</v>
      </c>
      <c r="T168" s="81"/>
      <c r="U168" s="81"/>
      <c r="V168" s="84" t="str">
        <f>HYPERLINK("https://pbs.twimg.com/profile_images/1216033639542206464/HhLeKeaw_normal.jpg")</f>
        <v>https://pbs.twimg.com/profile_images/1216033639542206464/HhLeKeaw_normal.jpg</v>
      </c>
      <c r="W168" s="83">
        <v>44644.74914351852</v>
      </c>
      <c r="X168" s="88">
        <v>44644</v>
      </c>
      <c r="Y168" s="85" t="s">
        <v>765</v>
      </c>
      <c r="Z168" s="84" t="str">
        <f>HYPERLINK("https://twitter.com/pikkuhoo/status/1507054328082751488")</f>
        <v>https://twitter.com/pikkuhoo/status/1507054328082751488</v>
      </c>
      <c r="AA168" s="81"/>
      <c r="AB168" s="81"/>
      <c r="AC168" s="85" t="s">
        <v>1034</v>
      </c>
      <c r="AD168" s="81"/>
      <c r="AE168" s="81" t="b">
        <v>0</v>
      </c>
      <c r="AF168" s="81">
        <v>0</v>
      </c>
      <c r="AG168" s="85" t="s">
        <v>1162</v>
      </c>
      <c r="AH168" s="81" t="b">
        <v>0</v>
      </c>
      <c r="AI168" s="81" t="s">
        <v>1179</v>
      </c>
      <c r="AJ168" s="81"/>
      <c r="AK168" s="85" t="s">
        <v>1162</v>
      </c>
      <c r="AL168" s="81" t="b">
        <v>0</v>
      </c>
      <c r="AM168" s="81">
        <v>103</v>
      </c>
      <c r="AN168" s="85" t="s">
        <v>1134</v>
      </c>
      <c r="AO168" s="85" t="s">
        <v>1188</v>
      </c>
      <c r="AP168" s="81" t="b">
        <v>0</v>
      </c>
      <c r="AQ168" s="85" t="s">
        <v>1134</v>
      </c>
      <c r="AR168" s="81" t="s">
        <v>187</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v>0</v>
      </c>
      <c r="BG168" s="50">
        <v>0</v>
      </c>
      <c r="BH168" s="49">
        <v>0</v>
      </c>
      <c r="BI168" s="50">
        <v>0</v>
      </c>
      <c r="BJ168" s="49">
        <v>0</v>
      </c>
      <c r="BK168" s="50">
        <v>0</v>
      </c>
      <c r="BL168" s="49">
        <v>33</v>
      </c>
      <c r="BM168" s="50">
        <v>100</v>
      </c>
      <c r="BN168" s="49">
        <v>33</v>
      </c>
    </row>
    <row r="169" spans="1:66" ht="15">
      <c r="A169" s="65" t="s">
        <v>384</v>
      </c>
      <c r="B169" s="65" t="s">
        <v>384</v>
      </c>
      <c r="C169" s="66" t="s">
        <v>4392</v>
      </c>
      <c r="D169" s="67">
        <v>1</v>
      </c>
      <c r="E169" s="68" t="s">
        <v>132</v>
      </c>
      <c r="F169" s="69">
        <v>32</v>
      </c>
      <c r="G169" s="66" t="s">
        <v>51</v>
      </c>
      <c r="H169" s="70"/>
      <c r="I169" s="71"/>
      <c r="J169" s="71"/>
      <c r="K169" s="35" t="s">
        <v>65</v>
      </c>
      <c r="L169" s="79">
        <v>169</v>
      </c>
      <c r="M169" s="79"/>
      <c r="N169" s="73"/>
      <c r="O169" s="81" t="s">
        <v>187</v>
      </c>
      <c r="P169" s="83">
        <v>44644.74967592592</v>
      </c>
      <c r="Q169" s="81" t="s">
        <v>552</v>
      </c>
      <c r="R169" s="81"/>
      <c r="S169" s="81"/>
      <c r="T169" s="85" t="s">
        <v>591</v>
      </c>
      <c r="U169" s="81"/>
      <c r="V169" s="84" t="str">
        <f>HYPERLINK("https://pbs.twimg.com/profile_images/1222093339878662144/mCmtKZYF_normal.jpg")</f>
        <v>https://pbs.twimg.com/profile_images/1222093339878662144/mCmtKZYF_normal.jpg</v>
      </c>
      <c r="W169" s="83">
        <v>44644.74967592592</v>
      </c>
      <c r="X169" s="88">
        <v>44644</v>
      </c>
      <c r="Y169" s="85" t="s">
        <v>766</v>
      </c>
      <c r="Z169" s="84" t="str">
        <f>HYPERLINK("https://twitter.com/lpyokari/status/1507054523432546327")</f>
        <v>https://twitter.com/lpyokari/status/1507054523432546327</v>
      </c>
      <c r="AA169" s="81"/>
      <c r="AB169" s="81"/>
      <c r="AC169" s="85" t="s">
        <v>1035</v>
      </c>
      <c r="AD169" s="81"/>
      <c r="AE169" s="81" t="b">
        <v>0</v>
      </c>
      <c r="AF169" s="81">
        <v>1</v>
      </c>
      <c r="AG169" s="85" t="s">
        <v>1162</v>
      </c>
      <c r="AH169" s="81" t="b">
        <v>0</v>
      </c>
      <c r="AI169" s="81" t="s">
        <v>1179</v>
      </c>
      <c r="AJ169" s="81"/>
      <c r="AK169" s="85" t="s">
        <v>1162</v>
      </c>
      <c r="AL169" s="81" t="b">
        <v>0</v>
      </c>
      <c r="AM169" s="81">
        <v>0</v>
      </c>
      <c r="AN169" s="85" t="s">
        <v>1162</v>
      </c>
      <c r="AO169" s="85" t="s">
        <v>1190</v>
      </c>
      <c r="AP169" s="81" t="b">
        <v>0</v>
      </c>
      <c r="AQ169" s="85" t="s">
        <v>1035</v>
      </c>
      <c r="AR169" s="81" t="s">
        <v>187</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3</v>
      </c>
      <c r="BF169" s="49">
        <v>0</v>
      </c>
      <c r="BG169" s="50">
        <v>0</v>
      </c>
      <c r="BH169" s="49">
        <v>0</v>
      </c>
      <c r="BI169" s="50">
        <v>0</v>
      </c>
      <c r="BJ169" s="49">
        <v>0</v>
      </c>
      <c r="BK169" s="50">
        <v>0</v>
      </c>
      <c r="BL169" s="49">
        <v>12</v>
      </c>
      <c r="BM169" s="50">
        <v>100</v>
      </c>
      <c r="BN169" s="49">
        <v>12</v>
      </c>
    </row>
    <row r="170" spans="1:66" ht="15">
      <c r="A170" s="65" t="s">
        <v>385</v>
      </c>
      <c r="B170" s="65" t="s">
        <v>479</v>
      </c>
      <c r="C170" s="66" t="s">
        <v>4392</v>
      </c>
      <c r="D170" s="67">
        <v>1</v>
      </c>
      <c r="E170" s="68" t="s">
        <v>132</v>
      </c>
      <c r="F170" s="69">
        <v>32</v>
      </c>
      <c r="G170" s="66" t="s">
        <v>51</v>
      </c>
      <c r="H170" s="70"/>
      <c r="I170" s="71"/>
      <c r="J170" s="71"/>
      <c r="K170" s="35" t="s">
        <v>65</v>
      </c>
      <c r="L170" s="79">
        <v>170</v>
      </c>
      <c r="M170" s="79"/>
      <c r="N170" s="73"/>
      <c r="O170" s="81" t="s">
        <v>504</v>
      </c>
      <c r="P170" s="83">
        <v>44644.750231481485</v>
      </c>
      <c r="Q170" s="81" t="s">
        <v>539</v>
      </c>
      <c r="R170" s="84" t="str">
        <f>HYPERLINK("https://www.hs.fi/talous/art-2000008704863.html")</f>
        <v>https://www.hs.fi/talous/art-2000008704863.html</v>
      </c>
      <c r="S170" s="81" t="s">
        <v>582</v>
      </c>
      <c r="T170" s="81"/>
      <c r="U170" s="81"/>
      <c r="V170" s="84" t="str">
        <f>HYPERLINK("https://pbs.twimg.com/profile_images/1443252717187698697/NOm0I97z_normal.jpg")</f>
        <v>https://pbs.twimg.com/profile_images/1443252717187698697/NOm0I97z_normal.jpg</v>
      </c>
      <c r="W170" s="83">
        <v>44644.750231481485</v>
      </c>
      <c r="X170" s="88">
        <v>44644</v>
      </c>
      <c r="Y170" s="85" t="s">
        <v>767</v>
      </c>
      <c r="Z170" s="84" t="str">
        <f>HYPERLINK("https://twitter.com/pilvialopaeus/status/1507054723735732232")</f>
        <v>https://twitter.com/pilvialopaeus/status/1507054723735732232</v>
      </c>
      <c r="AA170" s="81"/>
      <c r="AB170" s="81"/>
      <c r="AC170" s="85" t="s">
        <v>1036</v>
      </c>
      <c r="AD170" s="81"/>
      <c r="AE170" s="81" t="b">
        <v>0</v>
      </c>
      <c r="AF170" s="81">
        <v>0</v>
      </c>
      <c r="AG170" s="85" t="s">
        <v>1162</v>
      </c>
      <c r="AH170" s="81" t="b">
        <v>0</v>
      </c>
      <c r="AI170" s="81" t="s">
        <v>1179</v>
      </c>
      <c r="AJ170" s="81"/>
      <c r="AK170" s="85" t="s">
        <v>1162</v>
      </c>
      <c r="AL170" s="81" t="b">
        <v>0</v>
      </c>
      <c r="AM170" s="81">
        <v>103</v>
      </c>
      <c r="AN170" s="85" t="s">
        <v>1134</v>
      </c>
      <c r="AO170" s="85" t="s">
        <v>1190</v>
      </c>
      <c r="AP170" s="81" t="b">
        <v>0</v>
      </c>
      <c r="AQ170" s="85" t="s">
        <v>1134</v>
      </c>
      <c r="AR170" s="81" t="s">
        <v>187</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v>0</v>
      </c>
      <c r="BG170" s="50">
        <v>0</v>
      </c>
      <c r="BH170" s="49">
        <v>0</v>
      </c>
      <c r="BI170" s="50">
        <v>0</v>
      </c>
      <c r="BJ170" s="49">
        <v>0</v>
      </c>
      <c r="BK170" s="50">
        <v>0</v>
      </c>
      <c r="BL170" s="49">
        <v>33</v>
      </c>
      <c r="BM170" s="50">
        <v>100</v>
      </c>
      <c r="BN170" s="49">
        <v>33</v>
      </c>
    </row>
    <row r="171" spans="1:66" ht="15">
      <c r="A171" s="65" t="s">
        <v>386</v>
      </c>
      <c r="B171" s="65" t="s">
        <v>479</v>
      </c>
      <c r="C171" s="66" t="s">
        <v>4392</v>
      </c>
      <c r="D171" s="67">
        <v>1</v>
      </c>
      <c r="E171" s="68" t="s">
        <v>132</v>
      </c>
      <c r="F171" s="69">
        <v>32</v>
      </c>
      <c r="G171" s="66" t="s">
        <v>51</v>
      </c>
      <c r="H171" s="70"/>
      <c r="I171" s="71"/>
      <c r="J171" s="71"/>
      <c r="K171" s="35" t="s">
        <v>65</v>
      </c>
      <c r="L171" s="79">
        <v>171</v>
      </c>
      <c r="M171" s="79"/>
      <c r="N171" s="73"/>
      <c r="O171" s="81" t="s">
        <v>504</v>
      </c>
      <c r="P171" s="83">
        <v>44644.752280092594</v>
      </c>
      <c r="Q171" s="81" t="s">
        <v>539</v>
      </c>
      <c r="R171" s="84" t="str">
        <f>HYPERLINK("https://www.hs.fi/talous/art-2000008704863.html")</f>
        <v>https://www.hs.fi/talous/art-2000008704863.html</v>
      </c>
      <c r="S171" s="81" t="s">
        <v>582</v>
      </c>
      <c r="T171" s="81"/>
      <c r="U171" s="81"/>
      <c r="V171" s="84" t="str">
        <f>HYPERLINK("https://pbs.twimg.com/profile_images/1478406004861771788/3at8lG4z_normal.jpg")</f>
        <v>https://pbs.twimg.com/profile_images/1478406004861771788/3at8lG4z_normal.jpg</v>
      </c>
      <c r="W171" s="83">
        <v>44644.752280092594</v>
      </c>
      <c r="X171" s="88">
        <v>44644</v>
      </c>
      <c r="Y171" s="85" t="s">
        <v>768</v>
      </c>
      <c r="Z171" s="84" t="str">
        <f>HYPERLINK("https://twitter.com/airastuomas/status/1507055466718941194")</f>
        <v>https://twitter.com/airastuomas/status/1507055466718941194</v>
      </c>
      <c r="AA171" s="81"/>
      <c r="AB171" s="81"/>
      <c r="AC171" s="85" t="s">
        <v>1037</v>
      </c>
      <c r="AD171" s="81"/>
      <c r="AE171" s="81" t="b">
        <v>0</v>
      </c>
      <c r="AF171" s="81">
        <v>0</v>
      </c>
      <c r="AG171" s="85" t="s">
        <v>1162</v>
      </c>
      <c r="AH171" s="81" t="b">
        <v>0</v>
      </c>
      <c r="AI171" s="81" t="s">
        <v>1179</v>
      </c>
      <c r="AJ171" s="81"/>
      <c r="AK171" s="85" t="s">
        <v>1162</v>
      </c>
      <c r="AL171" s="81" t="b">
        <v>0</v>
      </c>
      <c r="AM171" s="81">
        <v>103</v>
      </c>
      <c r="AN171" s="85" t="s">
        <v>1134</v>
      </c>
      <c r="AO171" s="85" t="s">
        <v>1188</v>
      </c>
      <c r="AP171" s="81" t="b">
        <v>0</v>
      </c>
      <c r="AQ171" s="85" t="s">
        <v>1134</v>
      </c>
      <c r="AR171" s="81" t="s">
        <v>187</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0</v>
      </c>
      <c r="BG171" s="50">
        <v>0</v>
      </c>
      <c r="BH171" s="49">
        <v>0</v>
      </c>
      <c r="BI171" s="50">
        <v>0</v>
      </c>
      <c r="BJ171" s="49">
        <v>0</v>
      </c>
      <c r="BK171" s="50">
        <v>0</v>
      </c>
      <c r="BL171" s="49">
        <v>33</v>
      </c>
      <c r="BM171" s="50">
        <v>100</v>
      </c>
      <c r="BN171" s="49">
        <v>33</v>
      </c>
    </row>
    <row r="172" spans="1:66" ht="15">
      <c r="A172" s="65" t="s">
        <v>387</v>
      </c>
      <c r="B172" s="65" t="s">
        <v>479</v>
      </c>
      <c r="C172" s="66" t="s">
        <v>4392</v>
      </c>
      <c r="D172" s="67">
        <v>1</v>
      </c>
      <c r="E172" s="68" t="s">
        <v>132</v>
      </c>
      <c r="F172" s="69">
        <v>32</v>
      </c>
      <c r="G172" s="66" t="s">
        <v>51</v>
      </c>
      <c r="H172" s="70"/>
      <c r="I172" s="71"/>
      <c r="J172" s="71"/>
      <c r="K172" s="35" t="s">
        <v>65</v>
      </c>
      <c r="L172" s="79">
        <v>172</v>
      </c>
      <c r="M172" s="79"/>
      <c r="N172" s="73"/>
      <c r="O172" s="81" t="s">
        <v>504</v>
      </c>
      <c r="P172" s="83">
        <v>44644.75239583333</v>
      </c>
      <c r="Q172" s="81" t="s">
        <v>539</v>
      </c>
      <c r="R172" s="84" t="str">
        <f>HYPERLINK("https://www.hs.fi/talous/art-2000008704863.html")</f>
        <v>https://www.hs.fi/talous/art-2000008704863.html</v>
      </c>
      <c r="S172" s="81" t="s">
        <v>582</v>
      </c>
      <c r="T172" s="81"/>
      <c r="U172" s="81"/>
      <c r="V172" s="84" t="str">
        <f>HYPERLINK("https://pbs.twimg.com/profile_images/1366433537914773511/aZH10aQT_normal.jpg")</f>
        <v>https://pbs.twimg.com/profile_images/1366433537914773511/aZH10aQT_normal.jpg</v>
      </c>
      <c r="W172" s="83">
        <v>44644.75239583333</v>
      </c>
      <c r="X172" s="88">
        <v>44644</v>
      </c>
      <c r="Y172" s="85" t="s">
        <v>769</v>
      </c>
      <c r="Z172" s="84" t="str">
        <f>HYPERLINK("https://twitter.com/annkatarine/status/1507055507890184209")</f>
        <v>https://twitter.com/annkatarine/status/1507055507890184209</v>
      </c>
      <c r="AA172" s="81"/>
      <c r="AB172" s="81"/>
      <c r="AC172" s="85" t="s">
        <v>1038</v>
      </c>
      <c r="AD172" s="81"/>
      <c r="AE172" s="81" t="b">
        <v>0</v>
      </c>
      <c r="AF172" s="81">
        <v>0</v>
      </c>
      <c r="AG172" s="85" t="s">
        <v>1162</v>
      </c>
      <c r="AH172" s="81" t="b">
        <v>0</v>
      </c>
      <c r="AI172" s="81" t="s">
        <v>1179</v>
      </c>
      <c r="AJ172" s="81"/>
      <c r="AK172" s="85" t="s">
        <v>1162</v>
      </c>
      <c r="AL172" s="81" t="b">
        <v>0</v>
      </c>
      <c r="AM172" s="81">
        <v>103</v>
      </c>
      <c r="AN172" s="85" t="s">
        <v>1134</v>
      </c>
      <c r="AO172" s="85" t="s">
        <v>1188</v>
      </c>
      <c r="AP172" s="81" t="b">
        <v>0</v>
      </c>
      <c r="AQ172" s="85" t="s">
        <v>1134</v>
      </c>
      <c r="AR172" s="81" t="s">
        <v>187</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v>0</v>
      </c>
      <c r="BG172" s="50">
        <v>0</v>
      </c>
      <c r="BH172" s="49">
        <v>0</v>
      </c>
      <c r="BI172" s="50">
        <v>0</v>
      </c>
      <c r="BJ172" s="49">
        <v>0</v>
      </c>
      <c r="BK172" s="50">
        <v>0</v>
      </c>
      <c r="BL172" s="49">
        <v>33</v>
      </c>
      <c r="BM172" s="50">
        <v>100</v>
      </c>
      <c r="BN172" s="49">
        <v>33</v>
      </c>
    </row>
    <row r="173" spans="1:66" ht="15">
      <c r="A173" s="65" t="s">
        <v>388</v>
      </c>
      <c r="B173" s="65" t="s">
        <v>479</v>
      </c>
      <c r="C173" s="66" t="s">
        <v>4392</v>
      </c>
      <c r="D173" s="67">
        <v>1</v>
      </c>
      <c r="E173" s="68" t="s">
        <v>132</v>
      </c>
      <c r="F173" s="69">
        <v>32</v>
      </c>
      <c r="G173" s="66" t="s">
        <v>51</v>
      </c>
      <c r="H173" s="70"/>
      <c r="I173" s="71"/>
      <c r="J173" s="71"/>
      <c r="K173" s="35" t="s">
        <v>65</v>
      </c>
      <c r="L173" s="79">
        <v>173</v>
      </c>
      <c r="M173" s="79"/>
      <c r="N173" s="73"/>
      <c r="O173" s="81" t="s">
        <v>504</v>
      </c>
      <c r="P173" s="83">
        <v>44644.755428240744</v>
      </c>
      <c r="Q173" s="81" t="s">
        <v>539</v>
      </c>
      <c r="R173" s="84" t="str">
        <f>HYPERLINK("https://www.hs.fi/talous/art-2000008704863.html")</f>
        <v>https://www.hs.fi/talous/art-2000008704863.html</v>
      </c>
      <c r="S173" s="81" t="s">
        <v>582</v>
      </c>
      <c r="T173" s="81"/>
      <c r="U173" s="81"/>
      <c r="V173" s="84" t="str">
        <f>HYPERLINK("https://pbs.twimg.com/profile_images/2796629331/228f4a490950e7de276364723b48763f_normal.jpeg")</f>
        <v>https://pbs.twimg.com/profile_images/2796629331/228f4a490950e7de276364723b48763f_normal.jpeg</v>
      </c>
      <c r="W173" s="83">
        <v>44644.755428240744</v>
      </c>
      <c r="X173" s="88">
        <v>44644</v>
      </c>
      <c r="Y173" s="85" t="s">
        <v>770</v>
      </c>
      <c r="Z173" s="84" t="str">
        <f>HYPERLINK("https://twitter.com/jormakarvonen/status/1507056607292710917")</f>
        <v>https://twitter.com/jormakarvonen/status/1507056607292710917</v>
      </c>
      <c r="AA173" s="81"/>
      <c r="AB173" s="81"/>
      <c r="AC173" s="85" t="s">
        <v>1039</v>
      </c>
      <c r="AD173" s="81"/>
      <c r="AE173" s="81" t="b">
        <v>0</v>
      </c>
      <c r="AF173" s="81">
        <v>0</v>
      </c>
      <c r="AG173" s="85" t="s">
        <v>1162</v>
      </c>
      <c r="AH173" s="81" t="b">
        <v>0</v>
      </c>
      <c r="AI173" s="81" t="s">
        <v>1179</v>
      </c>
      <c r="AJ173" s="81"/>
      <c r="AK173" s="85" t="s">
        <v>1162</v>
      </c>
      <c r="AL173" s="81" t="b">
        <v>0</v>
      </c>
      <c r="AM173" s="81">
        <v>103</v>
      </c>
      <c r="AN173" s="85" t="s">
        <v>1134</v>
      </c>
      <c r="AO173" s="85" t="s">
        <v>1188</v>
      </c>
      <c r="AP173" s="81" t="b">
        <v>0</v>
      </c>
      <c r="AQ173" s="85" t="s">
        <v>1134</v>
      </c>
      <c r="AR173" s="81" t="s">
        <v>187</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v>0</v>
      </c>
      <c r="BG173" s="50">
        <v>0</v>
      </c>
      <c r="BH173" s="49">
        <v>0</v>
      </c>
      <c r="BI173" s="50">
        <v>0</v>
      </c>
      <c r="BJ173" s="49">
        <v>0</v>
      </c>
      <c r="BK173" s="50">
        <v>0</v>
      </c>
      <c r="BL173" s="49">
        <v>33</v>
      </c>
      <c r="BM173" s="50">
        <v>100</v>
      </c>
      <c r="BN173" s="49">
        <v>33</v>
      </c>
    </row>
    <row r="174" spans="1:66" ht="15">
      <c r="A174" s="65" t="s">
        <v>389</v>
      </c>
      <c r="B174" s="65" t="s">
        <v>479</v>
      </c>
      <c r="C174" s="66" t="s">
        <v>4392</v>
      </c>
      <c r="D174" s="67">
        <v>1</v>
      </c>
      <c r="E174" s="68" t="s">
        <v>132</v>
      </c>
      <c r="F174" s="69">
        <v>32</v>
      </c>
      <c r="G174" s="66" t="s">
        <v>51</v>
      </c>
      <c r="H174" s="70"/>
      <c r="I174" s="71"/>
      <c r="J174" s="71"/>
      <c r="K174" s="35" t="s">
        <v>65</v>
      </c>
      <c r="L174" s="79">
        <v>174</v>
      </c>
      <c r="M174" s="79"/>
      <c r="N174" s="73"/>
      <c r="O174" s="81" t="s">
        <v>504</v>
      </c>
      <c r="P174" s="83">
        <v>44644.75650462963</v>
      </c>
      <c r="Q174" s="81" t="s">
        <v>539</v>
      </c>
      <c r="R174" s="84" t="str">
        <f>HYPERLINK("https://www.hs.fi/talous/art-2000008704863.html")</f>
        <v>https://www.hs.fi/talous/art-2000008704863.html</v>
      </c>
      <c r="S174" s="81" t="s">
        <v>582</v>
      </c>
      <c r="T174" s="81"/>
      <c r="U174" s="81"/>
      <c r="V174" s="84" t="str">
        <f>HYPERLINK("https://pbs.twimg.com/profile_images/1224426667864723456/KRk9Np2r_normal.jpg")</f>
        <v>https://pbs.twimg.com/profile_images/1224426667864723456/KRk9Np2r_normal.jpg</v>
      </c>
      <c r="W174" s="83">
        <v>44644.75650462963</v>
      </c>
      <c r="X174" s="88">
        <v>44644</v>
      </c>
      <c r="Y174" s="85" t="s">
        <v>771</v>
      </c>
      <c r="Z174" s="84" t="str">
        <f>HYPERLINK("https://twitter.com/soilihietaniemi/status/1507056995542654976")</f>
        <v>https://twitter.com/soilihietaniemi/status/1507056995542654976</v>
      </c>
      <c r="AA174" s="81"/>
      <c r="AB174" s="81"/>
      <c r="AC174" s="85" t="s">
        <v>1040</v>
      </c>
      <c r="AD174" s="81"/>
      <c r="AE174" s="81" t="b">
        <v>0</v>
      </c>
      <c r="AF174" s="81">
        <v>0</v>
      </c>
      <c r="AG174" s="85" t="s">
        <v>1162</v>
      </c>
      <c r="AH174" s="81" t="b">
        <v>0</v>
      </c>
      <c r="AI174" s="81" t="s">
        <v>1179</v>
      </c>
      <c r="AJ174" s="81"/>
      <c r="AK174" s="85" t="s">
        <v>1162</v>
      </c>
      <c r="AL174" s="81" t="b">
        <v>0</v>
      </c>
      <c r="AM174" s="81">
        <v>103</v>
      </c>
      <c r="AN174" s="85" t="s">
        <v>1134</v>
      </c>
      <c r="AO174" s="85" t="s">
        <v>1188</v>
      </c>
      <c r="AP174" s="81" t="b">
        <v>0</v>
      </c>
      <c r="AQ174" s="85" t="s">
        <v>1134</v>
      </c>
      <c r="AR174" s="81" t="s">
        <v>187</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v>0</v>
      </c>
      <c r="BG174" s="50">
        <v>0</v>
      </c>
      <c r="BH174" s="49">
        <v>0</v>
      </c>
      <c r="BI174" s="50">
        <v>0</v>
      </c>
      <c r="BJ174" s="49">
        <v>0</v>
      </c>
      <c r="BK174" s="50">
        <v>0</v>
      </c>
      <c r="BL174" s="49">
        <v>33</v>
      </c>
      <c r="BM174" s="50">
        <v>100</v>
      </c>
      <c r="BN174" s="49">
        <v>33</v>
      </c>
    </row>
    <row r="175" spans="1:66" ht="15">
      <c r="A175" s="65" t="s">
        <v>390</v>
      </c>
      <c r="B175" s="65" t="s">
        <v>479</v>
      </c>
      <c r="C175" s="66" t="s">
        <v>4392</v>
      </c>
      <c r="D175" s="67">
        <v>1</v>
      </c>
      <c r="E175" s="68" t="s">
        <v>132</v>
      </c>
      <c r="F175" s="69">
        <v>32</v>
      </c>
      <c r="G175" s="66" t="s">
        <v>51</v>
      </c>
      <c r="H175" s="70"/>
      <c r="I175" s="71"/>
      <c r="J175" s="71"/>
      <c r="K175" s="35" t="s">
        <v>65</v>
      </c>
      <c r="L175" s="79">
        <v>175</v>
      </c>
      <c r="M175" s="79"/>
      <c r="N175" s="73"/>
      <c r="O175" s="81" t="s">
        <v>504</v>
      </c>
      <c r="P175" s="83">
        <v>44644.75751157408</v>
      </c>
      <c r="Q175" s="81" t="s">
        <v>539</v>
      </c>
      <c r="R175" s="84" t="str">
        <f>HYPERLINK("https://www.hs.fi/talous/art-2000008704863.html")</f>
        <v>https://www.hs.fi/talous/art-2000008704863.html</v>
      </c>
      <c r="S175" s="81" t="s">
        <v>582</v>
      </c>
      <c r="T175" s="81"/>
      <c r="U175" s="81"/>
      <c r="V175" s="84" t="str">
        <f>HYPERLINK("https://pbs.twimg.com/profile_images/1462695340365205504/p_Gl349t_normal.png")</f>
        <v>https://pbs.twimg.com/profile_images/1462695340365205504/p_Gl349t_normal.png</v>
      </c>
      <c r="W175" s="83">
        <v>44644.75751157408</v>
      </c>
      <c r="X175" s="88">
        <v>44644</v>
      </c>
      <c r="Y175" s="85" t="s">
        <v>772</v>
      </c>
      <c r="Z175" s="84" t="str">
        <f>HYPERLINK("https://twitter.com/sannaruoho/status/1507057363248889863")</f>
        <v>https://twitter.com/sannaruoho/status/1507057363248889863</v>
      </c>
      <c r="AA175" s="81"/>
      <c r="AB175" s="81"/>
      <c r="AC175" s="85" t="s">
        <v>1041</v>
      </c>
      <c r="AD175" s="81"/>
      <c r="AE175" s="81" t="b">
        <v>0</v>
      </c>
      <c r="AF175" s="81">
        <v>0</v>
      </c>
      <c r="AG175" s="85" t="s">
        <v>1162</v>
      </c>
      <c r="AH175" s="81" t="b">
        <v>0</v>
      </c>
      <c r="AI175" s="81" t="s">
        <v>1179</v>
      </c>
      <c r="AJ175" s="81"/>
      <c r="AK175" s="85" t="s">
        <v>1162</v>
      </c>
      <c r="AL175" s="81" t="b">
        <v>0</v>
      </c>
      <c r="AM175" s="81">
        <v>103</v>
      </c>
      <c r="AN175" s="85" t="s">
        <v>1134</v>
      </c>
      <c r="AO175" s="85" t="s">
        <v>1188</v>
      </c>
      <c r="AP175" s="81" t="b">
        <v>0</v>
      </c>
      <c r="AQ175" s="85" t="s">
        <v>1134</v>
      </c>
      <c r="AR175" s="81" t="s">
        <v>187</v>
      </c>
      <c r="AS175" s="81">
        <v>0</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9">
        <v>0</v>
      </c>
      <c r="BG175" s="50">
        <v>0</v>
      </c>
      <c r="BH175" s="49">
        <v>0</v>
      </c>
      <c r="BI175" s="50">
        <v>0</v>
      </c>
      <c r="BJ175" s="49">
        <v>0</v>
      </c>
      <c r="BK175" s="50">
        <v>0</v>
      </c>
      <c r="BL175" s="49">
        <v>33</v>
      </c>
      <c r="BM175" s="50">
        <v>100</v>
      </c>
      <c r="BN175" s="49">
        <v>33</v>
      </c>
    </row>
    <row r="176" spans="1:66" ht="15">
      <c r="A176" s="65" t="s">
        <v>391</v>
      </c>
      <c r="B176" s="65" t="s">
        <v>479</v>
      </c>
      <c r="C176" s="66" t="s">
        <v>4392</v>
      </c>
      <c r="D176" s="67">
        <v>1</v>
      </c>
      <c r="E176" s="68" t="s">
        <v>132</v>
      </c>
      <c r="F176" s="69">
        <v>32</v>
      </c>
      <c r="G176" s="66" t="s">
        <v>51</v>
      </c>
      <c r="H176" s="70"/>
      <c r="I176" s="71"/>
      <c r="J176" s="71"/>
      <c r="K176" s="35" t="s">
        <v>65</v>
      </c>
      <c r="L176" s="79">
        <v>176</v>
      </c>
      <c r="M176" s="79"/>
      <c r="N176" s="73"/>
      <c r="O176" s="81" t="s">
        <v>504</v>
      </c>
      <c r="P176" s="83">
        <v>44644.759930555556</v>
      </c>
      <c r="Q176" s="81" t="s">
        <v>539</v>
      </c>
      <c r="R176" s="84" t="str">
        <f>HYPERLINK("https://www.hs.fi/talous/art-2000008704863.html")</f>
        <v>https://www.hs.fi/talous/art-2000008704863.html</v>
      </c>
      <c r="S176" s="81" t="s">
        <v>582</v>
      </c>
      <c r="T176" s="81"/>
      <c r="U176" s="81"/>
      <c r="V176" s="84" t="str">
        <f>HYPERLINK("https://pbs.twimg.com/profile_images/1364534351472570368/93J7WXh-_normal.jpg")</f>
        <v>https://pbs.twimg.com/profile_images/1364534351472570368/93J7WXh-_normal.jpg</v>
      </c>
      <c r="W176" s="83">
        <v>44644.759930555556</v>
      </c>
      <c r="X176" s="88">
        <v>44644</v>
      </c>
      <c r="Y176" s="85" t="s">
        <v>773</v>
      </c>
      <c r="Z176" s="84" t="str">
        <f>HYPERLINK("https://twitter.com/slam70/status/1507058239925628942")</f>
        <v>https://twitter.com/slam70/status/1507058239925628942</v>
      </c>
      <c r="AA176" s="81"/>
      <c r="AB176" s="81"/>
      <c r="AC176" s="85" t="s">
        <v>1042</v>
      </c>
      <c r="AD176" s="81"/>
      <c r="AE176" s="81" t="b">
        <v>0</v>
      </c>
      <c r="AF176" s="81">
        <v>0</v>
      </c>
      <c r="AG176" s="85" t="s">
        <v>1162</v>
      </c>
      <c r="AH176" s="81" t="b">
        <v>0</v>
      </c>
      <c r="AI176" s="81" t="s">
        <v>1179</v>
      </c>
      <c r="AJ176" s="81"/>
      <c r="AK176" s="85" t="s">
        <v>1162</v>
      </c>
      <c r="AL176" s="81" t="b">
        <v>0</v>
      </c>
      <c r="AM176" s="81">
        <v>103</v>
      </c>
      <c r="AN176" s="85" t="s">
        <v>1134</v>
      </c>
      <c r="AO176" s="85" t="s">
        <v>1189</v>
      </c>
      <c r="AP176" s="81" t="b">
        <v>0</v>
      </c>
      <c r="AQ176" s="85" t="s">
        <v>1134</v>
      </c>
      <c r="AR176" s="81" t="s">
        <v>187</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v>0</v>
      </c>
      <c r="BG176" s="50">
        <v>0</v>
      </c>
      <c r="BH176" s="49">
        <v>0</v>
      </c>
      <c r="BI176" s="50">
        <v>0</v>
      </c>
      <c r="BJ176" s="49">
        <v>0</v>
      </c>
      <c r="BK176" s="50">
        <v>0</v>
      </c>
      <c r="BL176" s="49">
        <v>33</v>
      </c>
      <c r="BM176" s="50">
        <v>100</v>
      </c>
      <c r="BN176" s="49">
        <v>33</v>
      </c>
    </row>
    <row r="177" spans="1:66" ht="15">
      <c r="A177" s="65" t="s">
        <v>392</v>
      </c>
      <c r="B177" s="65" t="s">
        <v>479</v>
      </c>
      <c r="C177" s="66" t="s">
        <v>4392</v>
      </c>
      <c r="D177" s="67">
        <v>1</v>
      </c>
      <c r="E177" s="68" t="s">
        <v>132</v>
      </c>
      <c r="F177" s="69">
        <v>32</v>
      </c>
      <c r="G177" s="66" t="s">
        <v>51</v>
      </c>
      <c r="H177" s="70"/>
      <c r="I177" s="71"/>
      <c r="J177" s="71"/>
      <c r="K177" s="35" t="s">
        <v>65</v>
      </c>
      <c r="L177" s="79">
        <v>177</v>
      </c>
      <c r="M177" s="79"/>
      <c r="N177" s="73"/>
      <c r="O177" s="81" t="s">
        <v>501</v>
      </c>
      <c r="P177" s="83">
        <v>44644.76142361111</v>
      </c>
      <c r="Q177" s="81" t="s">
        <v>553</v>
      </c>
      <c r="R177" s="84" t="str">
        <f>HYPERLINK("https://www.linkedin.com/posts/riikka-wulff_onhan-se-hirmu-kivaa-olla-t%C3%A4m%C3%A4n-hetken-hesarin-activity-6912775396618907648-oqEF?utm_source=linkedin_share&amp;utm_medium=ios_app")</f>
        <v>https://www.linkedin.com/posts/riikka-wulff_onhan-se-hirmu-kivaa-olla-t%C3%A4m%C3%A4n-hetken-hesarin-activity-6912775396618907648-oqEF?utm_source=linkedin_share&amp;utm_medium=ios_app</v>
      </c>
      <c r="S177" s="81" t="s">
        <v>585</v>
      </c>
      <c r="T177" s="85" t="s">
        <v>591</v>
      </c>
      <c r="U177" s="81"/>
      <c r="V177" s="84" t="str">
        <f>HYPERLINK("https://pbs.twimg.com/profile_images/1196350175557623808/sBe6jxdd_normal.jpg")</f>
        <v>https://pbs.twimg.com/profile_images/1196350175557623808/sBe6jxdd_normal.jpg</v>
      </c>
      <c r="W177" s="83">
        <v>44644.76142361111</v>
      </c>
      <c r="X177" s="88">
        <v>44644</v>
      </c>
      <c r="Y177" s="85" t="s">
        <v>774</v>
      </c>
      <c r="Z177" s="84" t="str">
        <f>HYPERLINK("https://twitter.com/ellupaljarvi/status/1507058778109358088")</f>
        <v>https://twitter.com/ellupaljarvi/status/1507058778109358088</v>
      </c>
      <c r="AA177" s="81"/>
      <c r="AB177" s="81"/>
      <c r="AC177" s="85" t="s">
        <v>1043</v>
      </c>
      <c r="AD177" s="85" t="s">
        <v>1153</v>
      </c>
      <c r="AE177" s="81" t="b">
        <v>0</v>
      </c>
      <c r="AF177" s="81">
        <v>1</v>
      </c>
      <c r="AG177" s="85" t="s">
        <v>1171</v>
      </c>
      <c r="AH177" s="81" t="b">
        <v>0</v>
      </c>
      <c r="AI177" s="81" t="s">
        <v>1179</v>
      </c>
      <c r="AJ177" s="81"/>
      <c r="AK177" s="85" t="s">
        <v>1162</v>
      </c>
      <c r="AL177" s="81" t="b">
        <v>0</v>
      </c>
      <c r="AM177" s="81">
        <v>0</v>
      </c>
      <c r="AN177" s="85" t="s">
        <v>1162</v>
      </c>
      <c r="AO177" s="85" t="s">
        <v>1190</v>
      </c>
      <c r="AP177" s="81" t="b">
        <v>0</v>
      </c>
      <c r="AQ177" s="85" t="s">
        <v>1153</v>
      </c>
      <c r="AR177" s="81" t="s">
        <v>187</v>
      </c>
      <c r="AS177" s="81">
        <v>0</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1</v>
      </c>
      <c r="BF177" s="49">
        <v>0</v>
      </c>
      <c r="BG177" s="50">
        <v>0</v>
      </c>
      <c r="BH177" s="49">
        <v>0</v>
      </c>
      <c r="BI177" s="50">
        <v>0</v>
      </c>
      <c r="BJ177" s="49">
        <v>0</v>
      </c>
      <c r="BK177" s="50">
        <v>0</v>
      </c>
      <c r="BL177" s="49">
        <v>16</v>
      </c>
      <c r="BM177" s="50">
        <v>100</v>
      </c>
      <c r="BN177" s="49">
        <v>16</v>
      </c>
    </row>
    <row r="178" spans="1:66" ht="15">
      <c r="A178" s="65" t="s">
        <v>393</v>
      </c>
      <c r="B178" s="65" t="s">
        <v>479</v>
      </c>
      <c r="C178" s="66" t="s">
        <v>4392</v>
      </c>
      <c r="D178" s="67">
        <v>1</v>
      </c>
      <c r="E178" s="68" t="s">
        <v>132</v>
      </c>
      <c r="F178" s="69">
        <v>32</v>
      </c>
      <c r="G178" s="66" t="s">
        <v>51</v>
      </c>
      <c r="H178" s="70"/>
      <c r="I178" s="71"/>
      <c r="J178" s="71"/>
      <c r="K178" s="35" t="s">
        <v>65</v>
      </c>
      <c r="L178" s="79">
        <v>178</v>
      </c>
      <c r="M178" s="79"/>
      <c r="N178" s="73"/>
      <c r="O178" s="81" t="s">
        <v>504</v>
      </c>
      <c r="P178" s="83">
        <v>44644.7753125</v>
      </c>
      <c r="Q178" s="81" t="s">
        <v>539</v>
      </c>
      <c r="R178" s="84" t="str">
        <f>HYPERLINK("https://www.hs.fi/talous/art-2000008704863.html")</f>
        <v>https://www.hs.fi/talous/art-2000008704863.html</v>
      </c>
      <c r="S178" s="81" t="s">
        <v>582</v>
      </c>
      <c r="T178" s="81"/>
      <c r="U178" s="81"/>
      <c r="V178" s="84" t="str">
        <f>HYPERLINK("https://pbs.twimg.com/profile_images/1394634843653296129/LGowRRa1_normal.jpg")</f>
        <v>https://pbs.twimg.com/profile_images/1394634843653296129/LGowRRa1_normal.jpg</v>
      </c>
      <c r="W178" s="83">
        <v>44644.7753125</v>
      </c>
      <c r="X178" s="88">
        <v>44644</v>
      </c>
      <c r="Y178" s="85" t="s">
        <v>775</v>
      </c>
      <c r="Z178" s="84" t="str">
        <f>HYPERLINK("https://twitter.com/leinovil/status/1507063812540805129")</f>
        <v>https://twitter.com/leinovil/status/1507063812540805129</v>
      </c>
      <c r="AA178" s="81"/>
      <c r="AB178" s="81"/>
      <c r="AC178" s="85" t="s">
        <v>1044</v>
      </c>
      <c r="AD178" s="81"/>
      <c r="AE178" s="81" t="b">
        <v>0</v>
      </c>
      <c r="AF178" s="81">
        <v>0</v>
      </c>
      <c r="AG178" s="85" t="s">
        <v>1162</v>
      </c>
      <c r="AH178" s="81" t="b">
        <v>0</v>
      </c>
      <c r="AI178" s="81" t="s">
        <v>1179</v>
      </c>
      <c r="AJ178" s="81"/>
      <c r="AK178" s="85" t="s">
        <v>1162</v>
      </c>
      <c r="AL178" s="81" t="b">
        <v>0</v>
      </c>
      <c r="AM178" s="81">
        <v>103</v>
      </c>
      <c r="AN178" s="85" t="s">
        <v>1134</v>
      </c>
      <c r="AO178" s="85" t="s">
        <v>1188</v>
      </c>
      <c r="AP178" s="81" t="b">
        <v>0</v>
      </c>
      <c r="AQ178" s="85" t="s">
        <v>1134</v>
      </c>
      <c r="AR178" s="81" t="s">
        <v>187</v>
      </c>
      <c r="AS178" s="81">
        <v>0</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c r="BF178" s="49">
        <v>0</v>
      </c>
      <c r="BG178" s="50">
        <v>0</v>
      </c>
      <c r="BH178" s="49">
        <v>0</v>
      </c>
      <c r="BI178" s="50">
        <v>0</v>
      </c>
      <c r="BJ178" s="49">
        <v>0</v>
      </c>
      <c r="BK178" s="50">
        <v>0</v>
      </c>
      <c r="BL178" s="49">
        <v>33</v>
      </c>
      <c r="BM178" s="50">
        <v>100</v>
      </c>
      <c r="BN178" s="49">
        <v>33</v>
      </c>
    </row>
    <row r="179" spans="1:66" ht="15">
      <c r="A179" s="65" t="s">
        <v>394</v>
      </c>
      <c r="B179" s="65" t="s">
        <v>479</v>
      </c>
      <c r="C179" s="66" t="s">
        <v>4392</v>
      </c>
      <c r="D179" s="67">
        <v>1</v>
      </c>
      <c r="E179" s="68" t="s">
        <v>132</v>
      </c>
      <c r="F179" s="69">
        <v>32</v>
      </c>
      <c r="G179" s="66" t="s">
        <v>51</v>
      </c>
      <c r="H179" s="70"/>
      <c r="I179" s="71"/>
      <c r="J179" s="71"/>
      <c r="K179" s="35" t="s">
        <v>65</v>
      </c>
      <c r="L179" s="79">
        <v>179</v>
      </c>
      <c r="M179" s="79"/>
      <c r="N179" s="73"/>
      <c r="O179" s="81" t="s">
        <v>504</v>
      </c>
      <c r="P179" s="83">
        <v>44644.78689814815</v>
      </c>
      <c r="Q179" s="81" t="s">
        <v>539</v>
      </c>
      <c r="R179" s="84" t="str">
        <f>HYPERLINK("https://www.hs.fi/talous/art-2000008704863.html")</f>
        <v>https://www.hs.fi/talous/art-2000008704863.html</v>
      </c>
      <c r="S179" s="81" t="s">
        <v>582</v>
      </c>
      <c r="T179" s="81"/>
      <c r="U179" s="81"/>
      <c r="V179" s="84" t="str">
        <f>HYPERLINK("https://pbs.twimg.com/profile_images/1400008016133603329/dPdoUaoD_normal.jpg")</f>
        <v>https://pbs.twimg.com/profile_images/1400008016133603329/dPdoUaoD_normal.jpg</v>
      </c>
      <c r="W179" s="83">
        <v>44644.78689814815</v>
      </c>
      <c r="X179" s="88">
        <v>44644</v>
      </c>
      <c r="Y179" s="85" t="s">
        <v>776</v>
      </c>
      <c r="Z179" s="84" t="str">
        <f>HYPERLINK("https://twitter.com/juhokas/status/1507068009629851655")</f>
        <v>https://twitter.com/juhokas/status/1507068009629851655</v>
      </c>
      <c r="AA179" s="81"/>
      <c r="AB179" s="81"/>
      <c r="AC179" s="85" t="s">
        <v>1045</v>
      </c>
      <c r="AD179" s="81"/>
      <c r="AE179" s="81" t="b">
        <v>0</v>
      </c>
      <c r="AF179" s="81">
        <v>0</v>
      </c>
      <c r="AG179" s="85" t="s">
        <v>1162</v>
      </c>
      <c r="AH179" s="81" t="b">
        <v>0</v>
      </c>
      <c r="AI179" s="81" t="s">
        <v>1179</v>
      </c>
      <c r="AJ179" s="81"/>
      <c r="AK179" s="85" t="s">
        <v>1162</v>
      </c>
      <c r="AL179" s="81" t="b">
        <v>0</v>
      </c>
      <c r="AM179" s="81">
        <v>103</v>
      </c>
      <c r="AN179" s="85" t="s">
        <v>1134</v>
      </c>
      <c r="AO179" s="85" t="s">
        <v>1190</v>
      </c>
      <c r="AP179" s="81" t="b">
        <v>0</v>
      </c>
      <c r="AQ179" s="85" t="s">
        <v>1134</v>
      </c>
      <c r="AR179" s="81" t="s">
        <v>187</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0</v>
      </c>
      <c r="BG179" s="50">
        <v>0</v>
      </c>
      <c r="BH179" s="49">
        <v>0</v>
      </c>
      <c r="BI179" s="50">
        <v>0</v>
      </c>
      <c r="BJ179" s="49">
        <v>0</v>
      </c>
      <c r="BK179" s="50">
        <v>0</v>
      </c>
      <c r="BL179" s="49">
        <v>33</v>
      </c>
      <c r="BM179" s="50">
        <v>100</v>
      </c>
      <c r="BN179" s="49">
        <v>33</v>
      </c>
    </row>
    <row r="180" spans="1:66" ht="15">
      <c r="A180" s="65" t="s">
        <v>395</v>
      </c>
      <c r="B180" s="65" t="s">
        <v>479</v>
      </c>
      <c r="C180" s="66" t="s">
        <v>4392</v>
      </c>
      <c r="D180" s="67">
        <v>1</v>
      </c>
      <c r="E180" s="68" t="s">
        <v>132</v>
      </c>
      <c r="F180" s="69">
        <v>32</v>
      </c>
      <c r="G180" s="66" t="s">
        <v>51</v>
      </c>
      <c r="H180" s="70"/>
      <c r="I180" s="71"/>
      <c r="J180" s="71"/>
      <c r="K180" s="35" t="s">
        <v>65</v>
      </c>
      <c r="L180" s="79">
        <v>180</v>
      </c>
      <c r="M180" s="79"/>
      <c r="N180" s="73"/>
      <c r="O180" s="81" t="s">
        <v>504</v>
      </c>
      <c r="P180" s="83">
        <v>44644.788136574076</v>
      </c>
      <c r="Q180" s="81" t="s">
        <v>539</v>
      </c>
      <c r="R180" s="84" t="str">
        <f>HYPERLINK("https://www.hs.fi/talous/art-2000008704863.html")</f>
        <v>https://www.hs.fi/talous/art-2000008704863.html</v>
      </c>
      <c r="S180" s="81" t="s">
        <v>582</v>
      </c>
      <c r="T180" s="81"/>
      <c r="U180" s="81"/>
      <c r="V180" s="84" t="str">
        <f>HYPERLINK("https://pbs.twimg.com/profile_images/1262324917804175361/qXFV4Oxk_normal.jpg")</f>
        <v>https://pbs.twimg.com/profile_images/1262324917804175361/qXFV4Oxk_normal.jpg</v>
      </c>
      <c r="W180" s="83">
        <v>44644.788136574076</v>
      </c>
      <c r="X180" s="88">
        <v>44644</v>
      </c>
      <c r="Y180" s="85" t="s">
        <v>777</v>
      </c>
      <c r="Z180" s="84" t="str">
        <f>HYPERLINK("https://twitter.com/mapaavon/status/1507068458042802184")</f>
        <v>https://twitter.com/mapaavon/status/1507068458042802184</v>
      </c>
      <c r="AA180" s="81"/>
      <c r="AB180" s="81"/>
      <c r="AC180" s="85" t="s">
        <v>1046</v>
      </c>
      <c r="AD180" s="81"/>
      <c r="AE180" s="81" t="b">
        <v>0</v>
      </c>
      <c r="AF180" s="81">
        <v>0</v>
      </c>
      <c r="AG180" s="85" t="s">
        <v>1162</v>
      </c>
      <c r="AH180" s="81" t="b">
        <v>0</v>
      </c>
      <c r="AI180" s="81" t="s">
        <v>1179</v>
      </c>
      <c r="AJ180" s="81"/>
      <c r="AK180" s="85" t="s">
        <v>1162</v>
      </c>
      <c r="AL180" s="81" t="b">
        <v>0</v>
      </c>
      <c r="AM180" s="81">
        <v>103</v>
      </c>
      <c r="AN180" s="85" t="s">
        <v>1134</v>
      </c>
      <c r="AO180" s="85" t="s">
        <v>1188</v>
      </c>
      <c r="AP180" s="81" t="b">
        <v>0</v>
      </c>
      <c r="AQ180" s="85" t="s">
        <v>1134</v>
      </c>
      <c r="AR180" s="81" t="s">
        <v>187</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9">
        <v>0</v>
      </c>
      <c r="BG180" s="50">
        <v>0</v>
      </c>
      <c r="BH180" s="49">
        <v>0</v>
      </c>
      <c r="BI180" s="50">
        <v>0</v>
      </c>
      <c r="BJ180" s="49">
        <v>0</v>
      </c>
      <c r="BK180" s="50">
        <v>0</v>
      </c>
      <c r="BL180" s="49">
        <v>33</v>
      </c>
      <c r="BM180" s="50">
        <v>100</v>
      </c>
      <c r="BN180" s="49">
        <v>33</v>
      </c>
    </row>
    <row r="181" spans="1:66" ht="15">
      <c r="A181" s="65" t="s">
        <v>396</v>
      </c>
      <c r="B181" s="65" t="s">
        <v>479</v>
      </c>
      <c r="C181" s="66" t="s">
        <v>4392</v>
      </c>
      <c r="D181" s="67">
        <v>1</v>
      </c>
      <c r="E181" s="68" t="s">
        <v>132</v>
      </c>
      <c r="F181" s="69">
        <v>32</v>
      </c>
      <c r="G181" s="66" t="s">
        <v>51</v>
      </c>
      <c r="H181" s="70"/>
      <c r="I181" s="71"/>
      <c r="J181" s="71"/>
      <c r="K181" s="35" t="s">
        <v>65</v>
      </c>
      <c r="L181" s="79">
        <v>181</v>
      </c>
      <c r="M181" s="79"/>
      <c r="N181" s="73"/>
      <c r="O181" s="81" t="s">
        <v>504</v>
      </c>
      <c r="P181" s="83">
        <v>44644.79133101852</v>
      </c>
      <c r="Q181" s="81" t="s">
        <v>539</v>
      </c>
      <c r="R181" s="84" t="str">
        <f>HYPERLINK("https://www.hs.fi/talous/art-2000008704863.html")</f>
        <v>https://www.hs.fi/talous/art-2000008704863.html</v>
      </c>
      <c r="S181" s="81" t="s">
        <v>582</v>
      </c>
      <c r="T181" s="81"/>
      <c r="U181" s="81"/>
      <c r="V181" s="84" t="str">
        <f>HYPERLINK("https://pbs.twimg.com/profile_images/3027860416/13023b81d4ed99b712aa2da8156eb41d_normal.jpeg")</f>
        <v>https://pbs.twimg.com/profile_images/3027860416/13023b81d4ed99b712aa2da8156eb41d_normal.jpeg</v>
      </c>
      <c r="W181" s="83">
        <v>44644.79133101852</v>
      </c>
      <c r="X181" s="88">
        <v>44644</v>
      </c>
      <c r="Y181" s="85" t="s">
        <v>778</v>
      </c>
      <c r="Z181" s="84" t="str">
        <f>HYPERLINK("https://twitter.com/katjalappi/status/1507069616543215617")</f>
        <v>https://twitter.com/katjalappi/status/1507069616543215617</v>
      </c>
      <c r="AA181" s="81"/>
      <c r="AB181" s="81"/>
      <c r="AC181" s="85" t="s">
        <v>1047</v>
      </c>
      <c r="AD181" s="81"/>
      <c r="AE181" s="81" t="b">
        <v>0</v>
      </c>
      <c r="AF181" s="81">
        <v>0</v>
      </c>
      <c r="AG181" s="85" t="s">
        <v>1162</v>
      </c>
      <c r="AH181" s="81" t="b">
        <v>0</v>
      </c>
      <c r="AI181" s="81" t="s">
        <v>1179</v>
      </c>
      <c r="AJ181" s="81"/>
      <c r="AK181" s="85" t="s">
        <v>1162</v>
      </c>
      <c r="AL181" s="81" t="b">
        <v>0</v>
      </c>
      <c r="AM181" s="81">
        <v>103</v>
      </c>
      <c r="AN181" s="85" t="s">
        <v>1134</v>
      </c>
      <c r="AO181" s="85" t="s">
        <v>1190</v>
      </c>
      <c r="AP181" s="81" t="b">
        <v>0</v>
      </c>
      <c r="AQ181" s="85" t="s">
        <v>1134</v>
      </c>
      <c r="AR181" s="81" t="s">
        <v>187</v>
      </c>
      <c r="AS181" s="81">
        <v>0</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c r="BF181" s="49">
        <v>0</v>
      </c>
      <c r="BG181" s="50">
        <v>0</v>
      </c>
      <c r="BH181" s="49">
        <v>0</v>
      </c>
      <c r="BI181" s="50">
        <v>0</v>
      </c>
      <c r="BJ181" s="49">
        <v>0</v>
      </c>
      <c r="BK181" s="50">
        <v>0</v>
      </c>
      <c r="BL181" s="49">
        <v>33</v>
      </c>
      <c r="BM181" s="50">
        <v>100</v>
      </c>
      <c r="BN181" s="49">
        <v>33</v>
      </c>
    </row>
    <row r="182" spans="1:66" ht="15">
      <c r="A182" s="65" t="s">
        <v>397</v>
      </c>
      <c r="B182" s="65" t="s">
        <v>479</v>
      </c>
      <c r="C182" s="66" t="s">
        <v>4392</v>
      </c>
      <c r="D182" s="67">
        <v>1</v>
      </c>
      <c r="E182" s="68" t="s">
        <v>132</v>
      </c>
      <c r="F182" s="69">
        <v>32</v>
      </c>
      <c r="G182" s="66" t="s">
        <v>51</v>
      </c>
      <c r="H182" s="70"/>
      <c r="I182" s="71"/>
      <c r="J182" s="71"/>
      <c r="K182" s="35" t="s">
        <v>65</v>
      </c>
      <c r="L182" s="79">
        <v>182</v>
      </c>
      <c r="M182" s="79"/>
      <c r="N182" s="73"/>
      <c r="O182" s="81" t="s">
        <v>504</v>
      </c>
      <c r="P182" s="83">
        <v>44644.80158564815</v>
      </c>
      <c r="Q182" s="81" t="s">
        <v>539</v>
      </c>
      <c r="R182" s="84" t="str">
        <f>HYPERLINK("https://www.hs.fi/talous/art-2000008704863.html")</f>
        <v>https://www.hs.fi/talous/art-2000008704863.html</v>
      </c>
      <c r="S182" s="81" t="s">
        <v>582</v>
      </c>
      <c r="T182" s="81"/>
      <c r="U182" s="81"/>
      <c r="V182" s="84" t="str">
        <f>HYPERLINK("https://pbs.twimg.com/profile_images/414399845604925442/KRoKKe0N_normal.jpeg")</f>
        <v>https://pbs.twimg.com/profile_images/414399845604925442/KRoKKe0N_normal.jpeg</v>
      </c>
      <c r="W182" s="83">
        <v>44644.80158564815</v>
      </c>
      <c r="X182" s="88">
        <v>44644</v>
      </c>
      <c r="Y182" s="85" t="s">
        <v>779</v>
      </c>
      <c r="Z182" s="84" t="str">
        <f>HYPERLINK("https://twitter.com/tolkkitimo/status/1507073333787041797")</f>
        <v>https://twitter.com/tolkkitimo/status/1507073333787041797</v>
      </c>
      <c r="AA182" s="81"/>
      <c r="AB182" s="81"/>
      <c r="AC182" s="85" t="s">
        <v>1048</v>
      </c>
      <c r="AD182" s="81"/>
      <c r="AE182" s="81" t="b">
        <v>0</v>
      </c>
      <c r="AF182" s="81">
        <v>0</v>
      </c>
      <c r="AG182" s="85" t="s">
        <v>1162</v>
      </c>
      <c r="AH182" s="81" t="b">
        <v>0</v>
      </c>
      <c r="AI182" s="81" t="s">
        <v>1179</v>
      </c>
      <c r="AJ182" s="81"/>
      <c r="AK182" s="85" t="s">
        <v>1162</v>
      </c>
      <c r="AL182" s="81" t="b">
        <v>0</v>
      </c>
      <c r="AM182" s="81">
        <v>103</v>
      </c>
      <c r="AN182" s="85" t="s">
        <v>1134</v>
      </c>
      <c r="AO182" s="85" t="s">
        <v>1188</v>
      </c>
      <c r="AP182" s="81" t="b">
        <v>0</v>
      </c>
      <c r="AQ182" s="85" t="s">
        <v>1134</v>
      </c>
      <c r="AR182" s="81" t="s">
        <v>187</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v>0</v>
      </c>
      <c r="BG182" s="50">
        <v>0</v>
      </c>
      <c r="BH182" s="49">
        <v>0</v>
      </c>
      <c r="BI182" s="50">
        <v>0</v>
      </c>
      <c r="BJ182" s="49">
        <v>0</v>
      </c>
      <c r="BK182" s="50">
        <v>0</v>
      </c>
      <c r="BL182" s="49">
        <v>33</v>
      </c>
      <c r="BM182" s="50">
        <v>100</v>
      </c>
      <c r="BN182" s="49">
        <v>33</v>
      </c>
    </row>
    <row r="183" spans="1:66" ht="15">
      <c r="A183" s="65" t="s">
        <v>398</v>
      </c>
      <c r="B183" s="65" t="s">
        <v>479</v>
      </c>
      <c r="C183" s="66" t="s">
        <v>4392</v>
      </c>
      <c r="D183" s="67">
        <v>1</v>
      </c>
      <c r="E183" s="68" t="s">
        <v>132</v>
      </c>
      <c r="F183" s="69">
        <v>32</v>
      </c>
      <c r="G183" s="66" t="s">
        <v>51</v>
      </c>
      <c r="H183" s="70"/>
      <c r="I183" s="71"/>
      <c r="J183" s="71"/>
      <c r="K183" s="35" t="s">
        <v>65</v>
      </c>
      <c r="L183" s="79">
        <v>183</v>
      </c>
      <c r="M183" s="79"/>
      <c r="N183" s="73"/>
      <c r="O183" s="81" t="s">
        <v>504</v>
      </c>
      <c r="P183" s="83">
        <v>44644.80296296296</v>
      </c>
      <c r="Q183" s="81" t="s">
        <v>539</v>
      </c>
      <c r="R183" s="84" t="str">
        <f>HYPERLINK("https://www.hs.fi/talous/art-2000008704863.html")</f>
        <v>https://www.hs.fi/talous/art-2000008704863.html</v>
      </c>
      <c r="S183" s="81" t="s">
        <v>582</v>
      </c>
      <c r="T183" s="81"/>
      <c r="U183" s="81"/>
      <c r="V183" s="84" t="str">
        <f>HYPERLINK("https://pbs.twimg.com/profile_images/1483544644604633091/9KXBYuBA_normal.jpg")</f>
        <v>https://pbs.twimg.com/profile_images/1483544644604633091/9KXBYuBA_normal.jpg</v>
      </c>
      <c r="W183" s="83">
        <v>44644.80296296296</v>
      </c>
      <c r="X183" s="88">
        <v>44644</v>
      </c>
      <c r="Y183" s="85" t="s">
        <v>780</v>
      </c>
      <c r="Z183" s="84" t="str">
        <f>HYPERLINK("https://twitter.com/muumiainen/status/1507073832003293187")</f>
        <v>https://twitter.com/muumiainen/status/1507073832003293187</v>
      </c>
      <c r="AA183" s="81"/>
      <c r="AB183" s="81"/>
      <c r="AC183" s="85" t="s">
        <v>1049</v>
      </c>
      <c r="AD183" s="81"/>
      <c r="AE183" s="81" t="b">
        <v>0</v>
      </c>
      <c r="AF183" s="81">
        <v>0</v>
      </c>
      <c r="AG183" s="85" t="s">
        <v>1162</v>
      </c>
      <c r="AH183" s="81" t="b">
        <v>0</v>
      </c>
      <c r="AI183" s="81" t="s">
        <v>1179</v>
      </c>
      <c r="AJ183" s="81"/>
      <c r="AK183" s="85" t="s">
        <v>1162</v>
      </c>
      <c r="AL183" s="81" t="b">
        <v>0</v>
      </c>
      <c r="AM183" s="81">
        <v>103</v>
      </c>
      <c r="AN183" s="85" t="s">
        <v>1134</v>
      </c>
      <c r="AO183" s="85" t="s">
        <v>1190</v>
      </c>
      <c r="AP183" s="81" t="b">
        <v>0</v>
      </c>
      <c r="AQ183" s="85" t="s">
        <v>1134</v>
      </c>
      <c r="AR183" s="81" t="s">
        <v>187</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0</v>
      </c>
      <c r="BG183" s="50">
        <v>0</v>
      </c>
      <c r="BH183" s="49">
        <v>0</v>
      </c>
      <c r="BI183" s="50">
        <v>0</v>
      </c>
      <c r="BJ183" s="49">
        <v>0</v>
      </c>
      <c r="BK183" s="50">
        <v>0</v>
      </c>
      <c r="BL183" s="49">
        <v>33</v>
      </c>
      <c r="BM183" s="50">
        <v>100</v>
      </c>
      <c r="BN183" s="49">
        <v>33</v>
      </c>
    </row>
    <row r="184" spans="1:66" ht="15">
      <c r="A184" s="65" t="s">
        <v>399</v>
      </c>
      <c r="B184" s="65" t="s">
        <v>479</v>
      </c>
      <c r="C184" s="66" t="s">
        <v>4392</v>
      </c>
      <c r="D184" s="67">
        <v>1</v>
      </c>
      <c r="E184" s="68" t="s">
        <v>132</v>
      </c>
      <c r="F184" s="69">
        <v>32</v>
      </c>
      <c r="G184" s="66" t="s">
        <v>51</v>
      </c>
      <c r="H184" s="70"/>
      <c r="I184" s="71"/>
      <c r="J184" s="71"/>
      <c r="K184" s="35" t="s">
        <v>65</v>
      </c>
      <c r="L184" s="79">
        <v>184</v>
      </c>
      <c r="M184" s="79"/>
      <c r="N184" s="73"/>
      <c r="O184" s="81" t="s">
        <v>504</v>
      </c>
      <c r="P184" s="83">
        <v>44644.80703703704</v>
      </c>
      <c r="Q184" s="81" t="s">
        <v>539</v>
      </c>
      <c r="R184" s="84" t="str">
        <f>HYPERLINK("https://www.hs.fi/talous/art-2000008704863.html")</f>
        <v>https://www.hs.fi/talous/art-2000008704863.html</v>
      </c>
      <c r="S184" s="81" t="s">
        <v>582</v>
      </c>
      <c r="T184" s="81"/>
      <c r="U184" s="81"/>
      <c r="V184" s="84" t="str">
        <f>HYPERLINK("https://pbs.twimg.com/profile_images/1489244885068570625/Lshpr7LQ_normal.jpg")</f>
        <v>https://pbs.twimg.com/profile_images/1489244885068570625/Lshpr7LQ_normal.jpg</v>
      </c>
      <c r="W184" s="83">
        <v>44644.80703703704</v>
      </c>
      <c r="X184" s="88">
        <v>44644</v>
      </c>
      <c r="Y184" s="85" t="s">
        <v>781</v>
      </c>
      <c r="Z184" s="84" t="str">
        <f>HYPERLINK("https://twitter.com/auraotto/status/1507075307207069700")</f>
        <v>https://twitter.com/auraotto/status/1507075307207069700</v>
      </c>
      <c r="AA184" s="81"/>
      <c r="AB184" s="81"/>
      <c r="AC184" s="85" t="s">
        <v>1050</v>
      </c>
      <c r="AD184" s="81"/>
      <c r="AE184" s="81" t="b">
        <v>0</v>
      </c>
      <c r="AF184" s="81">
        <v>0</v>
      </c>
      <c r="AG184" s="85" t="s">
        <v>1162</v>
      </c>
      <c r="AH184" s="81" t="b">
        <v>0</v>
      </c>
      <c r="AI184" s="81" t="s">
        <v>1179</v>
      </c>
      <c r="AJ184" s="81"/>
      <c r="AK184" s="85" t="s">
        <v>1162</v>
      </c>
      <c r="AL184" s="81" t="b">
        <v>0</v>
      </c>
      <c r="AM184" s="81">
        <v>103</v>
      </c>
      <c r="AN184" s="85" t="s">
        <v>1134</v>
      </c>
      <c r="AO184" s="85" t="s">
        <v>1190</v>
      </c>
      <c r="AP184" s="81" t="b">
        <v>0</v>
      </c>
      <c r="AQ184" s="85" t="s">
        <v>1134</v>
      </c>
      <c r="AR184" s="81" t="s">
        <v>187</v>
      </c>
      <c r="AS184" s="81">
        <v>0</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v>0</v>
      </c>
      <c r="BG184" s="50">
        <v>0</v>
      </c>
      <c r="BH184" s="49">
        <v>0</v>
      </c>
      <c r="BI184" s="50">
        <v>0</v>
      </c>
      <c r="BJ184" s="49">
        <v>0</v>
      </c>
      <c r="BK184" s="50">
        <v>0</v>
      </c>
      <c r="BL184" s="49">
        <v>33</v>
      </c>
      <c r="BM184" s="50">
        <v>100</v>
      </c>
      <c r="BN184" s="49">
        <v>33</v>
      </c>
    </row>
    <row r="185" spans="1:66" ht="15">
      <c r="A185" s="65" t="s">
        <v>400</v>
      </c>
      <c r="B185" s="65" t="s">
        <v>479</v>
      </c>
      <c r="C185" s="66" t="s">
        <v>4392</v>
      </c>
      <c r="D185" s="67">
        <v>1</v>
      </c>
      <c r="E185" s="68" t="s">
        <v>132</v>
      </c>
      <c r="F185" s="69">
        <v>32</v>
      </c>
      <c r="G185" s="66" t="s">
        <v>51</v>
      </c>
      <c r="H185" s="70"/>
      <c r="I185" s="71"/>
      <c r="J185" s="71"/>
      <c r="K185" s="35" t="s">
        <v>65</v>
      </c>
      <c r="L185" s="79">
        <v>185</v>
      </c>
      <c r="M185" s="79"/>
      <c r="N185" s="73"/>
      <c r="O185" s="81" t="s">
        <v>504</v>
      </c>
      <c r="P185" s="83">
        <v>44644.81290509259</v>
      </c>
      <c r="Q185" s="81" t="s">
        <v>539</v>
      </c>
      <c r="R185" s="84" t="str">
        <f>HYPERLINK("https://www.hs.fi/talous/art-2000008704863.html")</f>
        <v>https://www.hs.fi/talous/art-2000008704863.html</v>
      </c>
      <c r="S185" s="81" t="s">
        <v>582</v>
      </c>
      <c r="T185" s="81"/>
      <c r="U185" s="81"/>
      <c r="V185" s="84" t="str">
        <f>HYPERLINK("https://pbs.twimg.com/profile_images/719840346079948800/o0ci_6Pz_normal.jpg")</f>
        <v>https://pbs.twimg.com/profile_images/719840346079948800/o0ci_6Pz_normal.jpg</v>
      </c>
      <c r="W185" s="83">
        <v>44644.81290509259</v>
      </c>
      <c r="X185" s="88">
        <v>44644</v>
      </c>
      <c r="Y185" s="85" t="s">
        <v>782</v>
      </c>
      <c r="Z185" s="84" t="str">
        <f>HYPERLINK("https://twitter.com/petriwanner/status/1507077434339958790")</f>
        <v>https://twitter.com/petriwanner/status/1507077434339958790</v>
      </c>
      <c r="AA185" s="81"/>
      <c r="AB185" s="81"/>
      <c r="AC185" s="85" t="s">
        <v>1051</v>
      </c>
      <c r="AD185" s="81"/>
      <c r="AE185" s="81" t="b">
        <v>0</v>
      </c>
      <c r="AF185" s="81">
        <v>0</v>
      </c>
      <c r="AG185" s="85" t="s">
        <v>1162</v>
      </c>
      <c r="AH185" s="81" t="b">
        <v>0</v>
      </c>
      <c r="AI185" s="81" t="s">
        <v>1179</v>
      </c>
      <c r="AJ185" s="81"/>
      <c r="AK185" s="85" t="s">
        <v>1162</v>
      </c>
      <c r="AL185" s="81" t="b">
        <v>0</v>
      </c>
      <c r="AM185" s="81">
        <v>103</v>
      </c>
      <c r="AN185" s="85" t="s">
        <v>1134</v>
      </c>
      <c r="AO185" s="85" t="s">
        <v>1188</v>
      </c>
      <c r="AP185" s="81" t="b">
        <v>0</v>
      </c>
      <c r="AQ185" s="85" t="s">
        <v>1134</v>
      </c>
      <c r="AR185" s="81" t="s">
        <v>187</v>
      </c>
      <c r="AS185" s="81">
        <v>0</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1</v>
      </c>
      <c r="BF185" s="49">
        <v>0</v>
      </c>
      <c r="BG185" s="50">
        <v>0</v>
      </c>
      <c r="BH185" s="49">
        <v>0</v>
      </c>
      <c r="BI185" s="50">
        <v>0</v>
      </c>
      <c r="BJ185" s="49">
        <v>0</v>
      </c>
      <c r="BK185" s="50">
        <v>0</v>
      </c>
      <c r="BL185" s="49">
        <v>33</v>
      </c>
      <c r="BM185" s="50">
        <v>100</v>
      </c>
      <c r="BN185" s="49">
        <v>33</v>
      </c>
    </row>
    <row r="186" spans="1:66" ht="15">
      <c r="A186" s="65" t="s">
        <v>401</v>
      </c>
      <c r="B186" s="65" t="s">
        <v>479</v>
      </c>
      <c r="C186" s="66" t="s">
        <v>4392</v>
      </c>
      <c r="D186" s="67">
        <v>1</v>
      </c>
      <c r="E186" s="68" t="s">
        <v>132</v>
      </c>
      <c r="F186" s="69">
        <v>32</v>
      </c>
      <c r="G186" s="66" t="s">
        <v>51</v>
      </c>
      <c r="H186" s="70"/>
      <c r="I186" s="71"/>
      <c r="J186" s="71"/>
      <c r="K186" s="35" t="s">
        <v>65</v>
      </c>
      <c r="L186" s="79">
        <v>186</v>
      </c>
      <c r="M186" s="79"/>
      <c r="N186" s="73"/>
      <c r="O186" s="81" t="s">
        <v>504</v>
      </c>
      <c r="P186" s="83">
        <v>44644.822164351855</v>
      </c>
      <c r="Q186" s="81" t="s">
        <v>539</v>
      </c>
      <c r="R186" s="84" t="str">
        <f>HYPERLINK("https://www.hs.fi/talous/art-2000008704863.html")</f>
        <v>https://www.hs.fi/talous/art-2000008704863.html</v>
      </c>
      <c r="S186" s="81" t="s">
        <v>582</v>
      </c>
      <c r="T186" s="81"/>
      <c r="U186" s="81"/>
      <c r="V186" s="84" t="str">
        <f>HYPERLINK("https://pbs.twimg.com/profile_images/986880876058501121/UBpvBCnM_normal.jpg")</f>
        <v>https://pbs.twimg.com/profile_images/986880876058501121/UBpvBCnM_normal.jpg</v>
      </c>
      <c r="W186" s="83">
        <v>44644.822164351855</v>
      </c>
      <c r="X186" s="88">
        <v>44644</v>
      </c>
      <c r="Y186" s="85" t="s">
        <v>783</v>
      </c>
      <c r="Z186" s="84" t="str">
        <f>HYPERLINK("https://twitter.com/laineaki/status/1507080790580121600")</f>
        <v>https://twitter.com/laineaki/status/1507080790580121600</v>
      </c>
      <c r="AA186" s="81"/>
      <c r="AB186" s="81"/>
      <c r="AC186" s="85" t="s">
        <v>1052</v>
      </c>
      <c r="AD186" s="81"/>
      <c r="AE186" s="81" t="b">
        <v>0</v>
      </c>
      <c r="AF186" s="81">
        <v>0</v>
      </c>
      <c r="AG186" s="85" t="s">
        <v>1162</v>
      </c>
      <c r="AH186" s="81" t="b">
        <v>0</v>
      </c>
      <c r="AI186" s="81" t="s">
        <v>1179</v>
      </c>
      <c r="AJ186" s="81"/>
      <c r="AK186" s="85" t="s">
        <v>1162</v>
      </c>
      <c r="AL186" s="81" t="b">
        <v>0</v>
      </c>
      <c r="AM186" s="81">
        <v>103</v>
      </c>
      <c r="AN186" s="85" t="s">
        <v>1134</v>
      </c>
      <c r="AO186" s="85" t="s">
        <v>1190</v>
      </c>
      <c r="AP186" s="81" t="b">
        <v>0</v>
      </c>
      <c r="AQ186" s="85" t="s">
        <v>1134</v>
      </c>
      <c r="AR186" s="81" t="s">
        <v>187</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1</v>
      </c>
      <c r="BF186" s="49">
        <v>0</v>
      </c>
      <c r="BG186" s="50">
        <v>0</v>
      </c>
      <c r="BH186" s="49">
        <v>0</v>
      </c>
      <c r="BI186" s="50">
        <v>0</v>
      </c>
      <c r="BJ186" s="49">
        <v>0</v>
      </c>
      <c r="BK186" s="50">
        <v>0</v>
      </c>
      <c r="BL186" s="49">
        <v>33</v>
      </c>
      <c r="BM186" s="50">
        <v>100</v>
      </c>
      <c r="BN186" s="49">
        <v>33</v>
      </c>
    </row>
    <row r="187" spans="1:66" ht="15">
      <c r="A187" s="65" t="s">
        <v>402</v>
      </c>
      <c r="B187" s="65" t="s">
        <v>402</v>
      </c>
      <c r="C187" s="66" t="s">
        <v>4392</v>
      </c>
      <c r="D187" s="67">
        <v>1</v>
      </c>
      <c r="E187" s="68" t="s">
        <v>132</v>
      </c>
      <c r="F187" s="69">
        <v>32</v>
      </c>
      <c r="G187" s="66" t="s">
        <v>51</v>
      </c>
      <c r="H187" s="70"/>
      <c r="I187" s="71"/>
      <c r="J187" s="71"/>
      <c r="K187" s="35" t="s">
        <v>65</v>
      </c>
      <c r="L187" s="79">
        <v>187</v>
      </c>
      <c r="M187" s="79"/>
      <c r="N187" s="73"/>
      <c r="O187" s="81" t="s">
        <v>187</v>
      </c>
      <c r="P187" s="83">
        <v>44644.82884259259</v>
      </c>
      <c r="Q187" s="81" t="s">
        <v>554</v>
      </c>
      <c r="R187" s="84" t="str">
        <f>HYPERLINK("https://twitter.com/jmkorhonen/status/1506985820456108033")</f>
        <v>https://twitter.com/jmkorhonen/status/1506985820456108033</v>
      </c>
      <c r="S187" s="81" t="s">
        <v>580</v>
      </c>
      <c r="T187" s="81"/>
      <c r="U187" s="81"/>
      <c r="V187" s="84" t="str">
        <f>HYPERLINK("https://pbs.twimg.com/profile_images/1233461544454893568/Uk_xnkji_normal.jpg")</f>
        <v>https://pbs.twimg.com/profile_images/1233461544454893568/Uk_xnkji_normal.jpg</v>
      </c>
      <c r="W187" s="83">
        <v>44644.82884259259</v>
      </c>
      <c r="X187" s="88">
        <v>44644</v>
      </c>
      <c r="Y187" s="85" t="s">
        <v>784</v>
      </c>
      <c r="Z187" s="84" t="str">
        <f>HYPERLINK("https://twitter.com/jkoskenkorva/status/1507083212383682560")</f>
        <v>https://twitter.com/jkoskenkorva/status/1507083212383682560</v>
      </c>
      <c r="AA187" s="81"/>
      <c r="AB187" s="81"/>
      <c r="AC187" s="85" t="s">
        <v>1053</v>
      </c>
      <c r="AD187" s="81"/>
      <c r="AE187" s="81" t="b">
        <v>0</v>
      </c>
      <c r="AF187" s="81">
        <v>4</v>
      </c>
      <c r="AG187" s="85" t="s">
        <v>1162</v>
      </c>
      <c r="AH187" s="81" t="b">
        <v>1</v>
      </c>
      <c r="AI187" s="81" t="s">
        <v>1179</v>
      </c>
      <c r="AJ187" s="81"/>
      <c r="AK187" s="85" t="s">
        <v>1185</v>
      </c>
      <c r="AL187" s="81" t="b">
        <v>0</v>
      </c>
      <c r="AM187" s="81">
        <v>0</v>
      </c>
      <c r="AN187" s="85" t="s">
        <v>1162</v>
      </c>
      <c r="AO187" s="85" t="s">
        <v>1188</v>
      </c>
      <c r="AP187" s="81" t="b">
        <v>0</v>
      </c>
      <c r="AQ187" s="85" t="s">
        <v>1053</v>
      </c>
      <c r="AR187" s="81" t="s">
        <v>187</v>
      </c>
      <c r="AS187" s="81">
        <v>0</v>
      </c>
      <c r="AT187" s="81">
        <v>0</v>
      </c>
      <c r="AU187" s="81"/>
      <c r="AV187" s="81"/>
      <c r="AW187" s="81"/>
      <c r="AX187" s="81"/>
      <c r="AY187" s="81"/>
      <c r="AZ187" s="81"/>
      <c r="BA187" s="81"/>
      <c r="BB187" s="81"/>
      <c r="BC187">
        <v>1</v>
      </c>
      <c r="BD187" s="80" t="str">
        <f>REPLACE(INDEX(GroupVertices[Group],MATCH(Edges[[#This Row],[Vertex 1]],GroupVertices[Vertex],0)),1,1,"")</f>
        <v>3</v>
      </c>
      <c r="BE187" s="80" t="str">
        <f>REPLACE(INDEX(GroupVertices[Group],MATCH(Edges[[#This Row],[Vertex 2]],GroupVertices[Vertex],0)),1,1,"")</f>
        <v>3</v>
      </c>
      <c r="BF187" s="49">
        <v>0</v>
      </c>
      <c r="BG187" s="50">
        <v>0</v>
      </c>
      <c r="BH187" s="49">
        <v>0</v>
      </c>
      <c r="BI187" s="50">
        <v>0</v>
      </c>
      <c r="BJ187" s="49">
        <v>0</v>
      </c>
      <c r="BK187" s="50">
        <v>0</v>
      </c>
      <c r="BL187" s="49">
        <v>13</v>
      </c>
      <c r="BM187" s="50">
        <v>100</v>
      </c>
      <c r="BN187" s="49">
        <v>13</v>
      </c>
    </row>
    <row r="188" spans="1:66" ht="15">
      <c r="A188" s="65" t="s">
        <v>403</v>
      </c>
      <c r="B188" s="65" t="s">
        <v>479</v>
      </c>
      <c r="C188" s="66" t="s">
        <v>4392</v>
      </c>
      <c r="D188" s="67">
        <v>1</v>
      </c>
      <c r="E188" s="68" t="s">
        <v>132</v>
      </c>
      <c r="F188" s="69">
        <v>32</v>
      </c>
      <c r="G188" s="66" t="s">
        <v>51</v>
      </c>
      <c r="H188" s="70"/>
      <c r="I188" s="71"/>
      <c r="J188" s="71"/>
      <c r="K188" s="35" t="s">
        <v>65</v>
      </c>
      <c r="L188" s="79">
        <v>188</v>
      </c>
      <c r="M188" s="79"/>
      <c r="N188" s="73"/>
      <c r="O188" s="81" t="s">
        <v>504</v>
      </c>
      <c r="P188" s="83">
        <v>44644.834398148145</v>
      </c>
      <c r="Q188" s="81" t="s">
        <v>539</v>
      </c>
      <c r="R188" s="84" t="str">
        <f>HYPERLINK("https://www.hs.fi/talous/art-2000008704863.html")</f>
        <v>https://www.hs.fi/talous/art-2000008704863.html</v>
      </c>
      <c r="S188" s="81" t="s">
        <v>582</v>
      </c>
      <c r="T188" s="81"/>
      <c r="U188" s="81"/>
      <c r="V188" s="84" t="str">
        <f>HYPERLINK("https://pbs.twimg.com/profile_images/1313162474095603712/8AA0QCZH_normal.jpg")</f>
        <v>https://pbs.twimg.com/profile_images/1313162474095603712/8AA0QCZH_normal.jpg</v>
      </c>
      <c r="W188" s="83">
        <v>44644.834398148145</v>
      </c>
      <c r="X188" s="88">
        <v>44644</v>
      </c>
      <c r="Y188" s="85" t="s">
        <v>785</v>
      </c>
      <c r="Z188" s="84" t="str">
        <f>HYPERLINK("https://twitter.com/miianfaksi/status/1507085226626928641")</f>
        <v>https://twitter.com/miianfaksi/status/1507085226626928641</v>
      </c>
      <c r="AA188" s="81"/>
      <c r="AB188" s="81"/>
      <c r="AC188" s="85" t="s">
        <v>1054</v>
      </c>
      <c r="AD188" s="81"/>
      <c r="AE188" s="81" t="b">
        <v>0</v>
      </c>
      <c r="AF188" s="81">
        <v>0</v>
      </c>
      <c r="AG188" s="85" t="s">
        <v>1162</v>
      </c>
      <c r="AH188" s="81" t="b">
        <v>0</v>
      </c>
      <c r="AI188" s="81" t="s">
        <v>1179</v>
      </c>
      <c r="AJ188" s="81"/>
      <c r="AK188" s="85" t="s">
        <v>1162</v>
      </c>
      <c r="AL188" s="81" t="b">
        <v>0</v>
      </c>
      <c r="AM188" s="81">
        <v>103</v>
      </c>
      <c r="AN188" s="85" t="s">
        <v>1134</v>
      </c>
      <c r="AO188" s="85" t="s">
        <v>1188</v>
      </c>
      <c r="AP188" s="81" t="b">
        <v>0</v>
      </c>
      <c r="AQ188" s="85" t="s">
        <v>1134</v>
      </c>
      <c r="AR188" s="81" t="s">
        <v>187</v>
      </c>
      <c r="AS188" s="81">
        <v>0</v>
      </c>
      <c r="AT188" s="81">
        <v>0</v>
      </c>
      <c r="AU188" s="81"/>
      <c r="AV188" s="81"/>
      <c r="AW188" s="81"/>
      <c r="AX188" s="81"/>
      <c r="AY188" s="81"/>
      <c r="AZ188" s="81"/>
      <c r="BA188" s="81"/>
      <c r="BB188" s="81"/>
      <c r="BC188">
        <v>1</v>
      </c>
      <c r="BD188" s="80" t="str">
        <f>REPLACE(INDEX(GroupVertices[Group],MATCH(Edges[[#This Row],[Vertex 1]],GroupVertices[Vertex],0)),1,1,"")</f>
        <v>1</v>
      </c>
      <c r="BE188" s="80" t="str">
        <f>REPLACE(INDEX(GroupVertices[Group],MATCH(Edges[[#This Row],[Vertex 2]],GroupVertices[Vertex],0)),1,1,"")</f>
        <v>1</v>
      </c>
      <c r="BF188" s="49">
        <v>0</v>
      </c>
      <c r="BG188" s="50">
        <v>0</v>
      </c>
      <c r="BH188" s="49">
        <v>0</v>
      </c>
      <c r="BI188" s="50">
        <v>0</v>
      </c>
      <c r="BJ188" s="49">
        <v>0</v>
      </c>
      <c r="BK188" s="50">
        <v>0</v>
      </c>
      <c r="BL188" s="49">
        <v>33</v>
      </c>
      <c r="BM188" s="50">
        <v>100</v>
      </c>
      <c r="BN188" s="49">
        <v>33</v>
      </c>
    </row>
    <row r="189" spans="1:66" ht="15">
      <c r="A189" s="65" t="s">
        <v>404</v>
      </c>
      <c r="B189" s="65" t="s">
        <v>479</v>
      </c>
      <c r="C189" s="66" t="s">
        <v>4392</v>
      </c>
      <c r="D189" s="67">
        <v>1</v>
      </c>
      <c r="E189" s="68" t="s">
        <v>132</v>
      </c>
      <c r="F189" s="69">
        <v>32</v>
      </c>
      <c r="G189" s="66" t="s">
        <v>51</v>
      </c>
      <c r="H189" s="70"/>
      <c r="I189" s="71"/>
      <c r="J189" s="71"/>
      <c r="K189" s="35" t="s">
        <v>65</v>
      </c>
      <c r="L189" s="79">
        <v>189</v>
      </c>
      <c r="M189" s="79"/>
      <c r="N189" s="73"/>
      <c r="O189" s="81" t="s">
        <v>504</v>
      </c>
      <c r="P189" s="83">
        <v>44644.835543981484</v>
      </c>
      <c r="Q189" s="81" t="s">
        <v>539</v>
      </c>
      <c r="R189" s="84" t="str">
        <f>HYPERLINK("https://www.hs.fi/talous/art-2000008704863.html")</f>
        <v>https://www.hs.fi/talous/art-2000008704863.html</v>
      </c>
      <c r="S189" s="81" t="s">
        <v>582</v>
      </c>
      <c r="T189" s="81"/>
      <c r="U189" s="81"/>
      <c r="V189" s="84" t="str">
        <f>HYPERLINK("https://pbs.twimg.com/profile_images/1163319074354552834/p5mNSohc_normal.jpg")</f>
        <v>https://pbs.twimg.com/profile_images/1163319074354552834/p5mNSohc_normal.jpg</v>
      </c>
      <c r="W189" s="83">
        <v>44644.835543981484</v>
      </c>
      <c r="X189" s="88">
        <v>44644</v>
      </c>
      <c r="Y189" s="85" t="s">
        <v>786</v>
      </c>
      <c r="Z189" s="84" t="str">
        <f>HYPERLINK("https://twitter.com/mariannejuntu/status/1507085640164335619")</f>
        <v>https://twitter.com/mariannejuntu/status/1507085640164335619</v>
      </c>
      <c r="AA189" s="81"/>
      <c r="AB189" s="81"/>
      <c r="AC189" s="85" t="s">
        <v>1055</v>
      </c>
      <c r="AD189" s="81"/>
      <c r="AE189" s="81" t="b">
        <v>0</v>
      </c>
      <c r="AF189" s="81">
        <v>0</v>
      </c>
      <c r="AG189" s="85" t="s">
        <v>1162</v>
      </c>
      <c r="AH189" s="81" t="b">
        <v>0</v>
      </c>
      <c r="AI189" s="81" t="s">
        <v>1179</v>
      </c>
      <c r="AJ189" s="81"/>
      <c r="AK189" s="85" t="s">
        <v>1162</v>
      </c>
      <c r="AL189" s="81" t="b">
        <v>0</v>
      </c>
      <c r="AM189" s="81">
        <v>103</v>
      </c>
      <c r="AN189" s="85" t="s">
        <v>1134</v>
      </c>
      <c r="AO189" s="85" t="s">
        <v>1190</v>
      </c>
      <c r="AP189" s="81" t="b">
        <v>0</v>
      </c>
      <c r="AQ189" s="85" t="s">
        <v>1134</v>
      </c>
      <c r="AR189" s="81" t="s">
        <v>187</v>
      </c>
      <c r="AS189" s="81">
        <v>0</v>
      </c>
      <c r="AT189" s="81">
        <v>0</v>
      </c>
      <c r="AU189" s="81"/>
      <c r="AV189" s="81"/>
      <c r="AW189" s="81"/>
      <c r="AX189" s="81"/>
      <c r="AY189" s="81"/>
      <c r="AZ189" s="81"/>
      <c r="BA189" s="81"/>
      <c r="BB189" s="81"/>
      <c r="BC189">
        <v>1</v>
      </c>
      <c r="BD189" s="80" t="str">
        <f>REPLACE(INDEX(GroupVertices[Group],MATCH(Edges[[#This Row],[Vertex 1]],GroupVertices[Vertex],0)),1,1,"")</f>
        <v>1</v>
      </c>
      <c r="BE189" s="80" t="str">
        <f>REPLACE(INDEX(GroupVertices[Group],MATCH(Edges[[#This Row],[Vertex 2]],GroupVertices[Vertex],0)),1,1,"")</f>
        <v>1</v>
      </c>
      <c r="BF189" s="49">
        <v>0</v>
      </c>
      <c r="BG189" s="50">
        <v>0</v>
      </c>
      <c r="BH189" s="49">
        <v>0</v>
      </c>
      <c r="BI189" s="50">
        <v>0</v>
      </c>
      <c r="BJ189" s="49">
        <v>0</v>
      </c>
      <c r="BK189" s="50">
        <v>0</v>
      </c>
      <c r="BL189" s="49">
        <v>33</v>
      </c>
      <c r="BM189" s="50">
        <v>100</v>
      </c>
      <c r="BN189" s="49">
        <v>33</v>
      </c>
    </row>
    <row r="190" spans="1:66" ht="15">
      <c r="A190" s="65" t="s">
        <v>405</v>
      </c>
      <c r="B190" s="65" t="s">
        <v>430</v>
      </c>
      <c r="C190" s="66" t="s">
        <v>4392</v>
      </c>
      <c r="D190" s="67">
        <v>1</v>
      </c>
      <c r="E190" s="68" t="s">
        <v>132</v>
      </c>
      <c r="F190" s="69">
        <v>32</v>
      </c>
      <c r="G190" s="66" t="s">
        <v>51</v>
      </c>
      <c r="H190" s="70"/>
      <c r="I190" s="71"/>
      <c r="J190" s="71"/>
      <c r="K190" s="35" t="s">
        <v>65</v>
      </c>
      <c r="L190" s="79">
        <v>190</v>
      </c>
      <c r="M190" s="79"/>
      <c r="N190" s="73"/>
      <c r="O190" s="81" t="s">
        <v>504</v>
      </c>
      <c r="P190" s="83">
        <v>44644.844201388885</v>
      </c>
      <c r="Q190" s="81" t="s">
        <v>512</v>
      </c>
      <c r="R190" s="81"/>
      <c r="S190" s="81"/>
      <c r="T190" s="81"/>
      <c r="U190" s="84" t="str">
        <f>HYPERLINK("https://pbs.twimg.com/media/FOiWtSbWYAkulkw.jpg")</f>
        <v>https://pbs.twimg.com/media/FOiWtSbWYAkulkw.jpg</v>
      </c>
      <c r="V190" s="84" t="str">
        <f>HYPERLINK("https://pbs.twimg.com/media/FOiWtSbWYAkulkw.jpg")</f>
        <v>https://pbs.twimg.com/media/FOiWtSbWYAkulkw.jpg</v>
      </c>
      <c r="W190" s="83">
        <v>44644.844201388885</v>
      </c>
      <c r="X190" s="88">
        <v>44644</v>
      </c>
      <c r="Y190" s="85" t="s">
        <v>787</v>
      </c>
      <c r="Z190" s="84" t="str">
        <f>HYPERLINK("https://twitter.com/m_simo/status/1507088778862673932")</f>
        <v>https://twitter.com/m_simo/status/1507088778862673932</v>
      </c>
      <c r="AA190" s="81"/>
      <c r="AB190" s="81"/>
      <c r="AC190" s="85" t="s">
        <v>1056</v>
      </c>
      <c r="AD190" s="81"/>
      <c r="AE190" s="81" t="b">
        <v>0</v>
      </c>
      <c r="AF190" s="81">
        <v>0</v>
      </c>
      <c r="AG190" s="85" t="s">
        <v>1162</v>
      </c>
      <c r="AH190" s="81" t="b">
        <v>0</v>
      </c>
      <c r="AI190" s="81" t="s">
        <v>1179</v>
      </c>
      <c r="AJ190" s="81"/>
      <c r="AK190" s="85" t="s">
        <v>1162</v>
      </c>
      <c r="AL190" s="81" t="b">
        <v>0</v>
      </c>
      <c r="AM190" s="81">
        <v>68</v>
      </c>
      <c r="AN190" s="85" t="s">
        <v>1081</v>
      </c>
      <c r="AO190" s="85" t="s">
        <v>1197</v>
      </c>
      <c r="AP190" s="81" t="b">
        <v>0</v>
      </c>
      <c r="AQ190" s="85" t="s">
        <v>1081</v>
      </c>
      <c r="AR190" s="81" t="s">
        <v>187</v>
      </c>
      <c r="AS190" s="81">
        <v>0</v>
      </c>
      <c r="AT190" s="81">
        <v>0</v>
      </c>
      <c r="AU190" s="81"/>
      <c r="AV190" s="81"/>
      <c r="AW190" s="81"/>
      <c r="AX190" s="81"/>
      <c r="AY190" s="81"/>
      <c r="AZ190" s="81"/>
      <c r="BA190" s="81"/>
      <c r="BB190" s="81"/>
      <c r="BC190">
        <v>1</v>
      </c>
      <c r="BD190" s="80" t="str">
        <f>REPLACE(INDEX(GroupVertices[Group],MATCH(Edges[[#This Row],[Vertex 1]],GroupVertices[Vertex],0)),1,1,"")</f>
        <v>2</v>
      </c>
      <c r="BE190" s="80" t="str">
        <f>REPLACE(INDEX(GroupVertices[Group],MATCH(Edges[[#This Row],[Vertex 2]],GroupVertices[Vertex],0)),1,1,"")</f>
        <v>2</v>
      </c>
      <c r="BF190" s="49">
        <v>0</v>
      </c>
      <c r="BG190" s="50">
        <v>0</v>
      </c>
      <c r="BH190" s="49">
        <v>0</v>
      </c>
      <c r="BI190" s="50">
        <v>0</v>
      </c>
      <c r="BJ190" s="49">
        <v>0</v>
      </c>
      <c r="BK190" s="50">
        <v>0</v>
      </c>
      <c r="BL190" s="49">
        <v>6</v>
      </c>
      <c r="BM190" s="50">
        <v>100</v>
      </c>
      <c r="BN190" s="49">
        <v>6</v>
      </c>
    </row>
    <row r="191" spans="1:66" ht="15">
      <c r="A191" s="65" t="s">
        <v>406</v>
      </c>
      <c r="B191" s="65" t="s">
        <v>406</v>
      </c>
      <c r="C191" s="66" t="s">
        <v>4392</v>
      </c>
      <c r="D191" s="67">
        <v>1</v>
      </c>
      <c r="E191" s="68" t="s">
        <v>132</v>
      </c>
      <c r="F191" s="69">
        <v>32</v>
      </c>
      <c r="G191" s="66" t="s">
        <v>51</v>
      </c>
      <c r="H191" s="70"/>
      <c r="I191" s="71"/>
      <c r="J191" s="71"/>
      <c r="K191" s="35" t="s">
        <v>65</v>
      </c>
      <c r="L191" s="79">
        <v>191</v>
      </c>
      <c r="M191" s="79"/>
      <c r="N191" s="73"/>
      <c r="O191" s="81" t="s">
        <v>187</v>
      </c>
      <c r="P191" s="83">
        <v>44641.61185185185</v>
      </c>
      <c r="Q191" s="81" t="s">
        <v>555</v>
      </c>
      <c r="R191" s="84" t="str">
        <f>HYPERLINK("https://www.pentik.com/collections/anis?gclid=CjwKCAjwxOCRBhA8EiwA0X8hi9Gk80gFEnaj3jQNsvfA4dxl6tXhZA4BiJyx_lKeygCqudYr6q_vDhoC5SMQAvD_BwE")</f>
        <v>https://www.pentik.com/collections/anis?gclid=CjwKCAjwxOCRBhA8EiwA0X8hi9Gk80gFEnaj3jQNsvfA4dxl6tXhZA4BiJyx_lKeygCqudYr6q_vDhoC5SMQAvD_BwE</v>
      </c>
      <c r="S191" s="81" t="s">
        <v>584</v>
      </c>
      <c r="T191" s="81"/>
      <c r="U191" s="81"/>
      <c r="V191" s="84" t="str">
        <f>HYPERLINK("https://pbs.twimg.com/profile_images/1199561765597700096/Hp6WT8Ge_normal.jpg")</f>
        <v>https://pbs.twimg.com/profile_images/1199561765597700096/Hp6WT8Ge_normal.jpg</v>
      </c>
      <c r="W191" s="83">
        <v>44641.61185185185</v>
      </c>
      <c r="X191" s="88">
        <v>44641</v>
      </c>
      <c r="Y191" s="85" t="s">
        <v>788</v>
      </c>
      <c r="Z191" s="84" t="str">
        <f>HYPERLINK("https://twitter.com/jonnemi/status/1505917411349909506")</f>
        <v>https://twitter.com/jonnemi/status/1505917411349909506</v>
      </c>
      <c r="AA191" s="81"/>
      <c r="AB191" s="81"/>
      <c r="AC191" s="85" t="s">
        <v>1057</v>
      </c>
      <c r="AD191" s="81"/>
      <c r="AE191" s="81" t="b">
        <v>0</v>
      </c>
      <c r="AF191" s="81">
        <v>7</v>
      </c>
      <c r="AG191" s="85" t="s">
        <v>1162</v>
      </c>
      <c r="AH191" s="81" t="b">
        <v>0</v>
      </c>
      <c r="AI191" s="81" t="s">
        <v>1179</v>
      </c>
      <c r="AJ191" s="81"/>
      <c r="AK191" s="85" t="s">
        <v>1162</v>
      </c>
      <c r="AL191" s="81" t="b">
        <v>0</v>
      </c>
      <c r="AM191" s="81">
        <v>1</v>
      </c>
      <c r="AN191" s="85" t="s">
        <v>1162</v>
      </c>
      <c r="AO191" s="85" t="s">
        <v>1188</v>
      </c>
      <c r="AP191" s="81" t="b">
        <v>0</v>
      </c>
      <c r="AQ191" s="85" t="s">
        <v>1057</v>
      </c>
      <c r="AR191" s="81" t="s">
        <v>187</v>
      </c>
      <c r="AS191" s="81">
        <v>0</v>
      </c>
      <c r="AT191" s="81">
        <v>0</v>
      </c>
      <c r="AU191" s="81"/>
      <c r="AV191" s="81"/>
      <c r="AW191" s="81"/>
      <c r="AX191" s="81"/>
      <c r="AY191" s="81"/>
      <c r="AZ191" s="81"/>
      <c r="BA191" s="81"/>
      <c r="BB191" s="81"/>
      <c r="BC191">
        <v>1</v>
      </c>
      <c r="BD191" s="80" t="str">
        <f>REPLACE(INDEX(GroupVertices[Group],MATCH(Edges[[#This Row],[Vertex 1]],GroupVertices[Vertex],0)),1,1,"")</f>
        <v>13</v>
      </c>
      <c r="BE191" s="80" t="str">
        <f>REPLACE(INDEX(GroupVertices[Group],MATCH(Edges[[#This Row],[Vertex 2]],GroupVertices[Vertex],0)),1,1,"")</f>
        <v>13</v>
      </c>
      <c r="BF191" s="49">
        <v>0</v>
      </c>
      <c r="BG191" s="50">
        <v>0</v>
      </c>
      <c r="BH191" s="49">
        <v>0</v>
      </c>
      <c r="BI191" s="50">
        <v>0</v>
      </c>
      <c r="BJ191" s="49">
        <v>0</v>
      </c>
      <c r="BK191" s="50">
        <v>0</v>
      </c>
      <c r="BL191" s="49">
        <v>10</v>
      </c>
      <c r="BM191" s="50">
        <v>100</v>
      </c>
      <c r="BN191" s="49">
        <v>10</v>
      </c>
    </row>
    <row r="192" spans="1:66" ht="15">
      <c r="A192" s="65" t="s">
        <v>407</v>
      </c>
      <c r="B192" s="65" t="s">
        <v>406</v>
      </c>
      <c r="C192" s="66" t="s">
        <v>4392</v>
      </c>
      <c r="D192" s="67">
        <v>1</v>
      </c>
      <c r="E192" s="68" t="s">
        <v>132</v>
      </c>
      <c r="F192" s="69">
        <v>32</v>
      </c>
      <c r="G192" s="66" t="s">
        <v>51</v>
      </c>
      <c r="H192" s="70"/>
      <c r="I192" s="71"/>
      <c r="J192" s="71"/>
      <c r="K192" s="35" t="s">
        <v>65</v>
      </c>
      <c r="L192" s="79">
        <v>192</v>
      </c>
      <c r="M192" s="79"/>
      <c r="N192" s="73"/>
      <c r="O192" s="81" t="s">
        <v>504</v>
      </c>
      <c r="P192" s="83">
        <v>44644.84868055556</v>
      </c>
      <c r="Q192" s="81" t="s">
        <v>555</v>
      </c>
      <c r="R192" s="84" t="str">
        <f>HYPERLINK("https://www.pentik.com/collections/anis?gclid=CjwKCAjwxOCRBhA8EiwA0X8hi9Gk80gFEnaj3jQNsvfA4dxl6tXhZA4BiJyx_lKeygCqudYr6q_vDhoC5SMQAvD_BwE")</f>
        <v>https://www.pentik.com/collections/anis?gclid=CjwKCAjwxOCRBhA8EiwA0X8hi9Gk80gFEnaj3jQNsvfA4dxl6tXhZA4BiJyx_lKeygCqudYr6q_vDhoC5SMQAvD_BwE</v>
      </c>
      <c r="S192" s="81" t="s">
        <v>584</v>
      </c>
      <c r="T192" s="81"/>
      <c r="U192" s="81"/>
      <c r="V192" s="84" t="str">
        <f>HYPERLINK("https://pbs.twimg.com/profile_images/938470745008693248/28hwBaiT_normal.jpg")</f>
        <v>https://pbs.twimg.com/profile_images/938470745008693248/28hwBaiT_normal.jpg</v>
      </c>
      <c r="W192" s="83">
        <v>44644.84868055556</v>
      </c>
      <c r="X192" s="88">
        <v>44644</v>
      </c>
      <c r="Y192" s="85" t="s">
        <v>789</v>
      </c>
      <c r="Z192" s="84" t="str">
        <f>HYPERLINK("https://twitter.com/hannuverronen/status/1507090400061894656")</f>
        <v>https://twitter.com/hannuverronen/status/1507090400061894656</v>
      </c>
      <c r="AA192" s="81"/>
      <c r="AB192" s="81"/>
      <c r="AC192" s="85" t="s">
        <v>1058</v>
      </c>
      <c r="AD192" s="81"/>
      <c r="AE192" s="81" t="b">
        <v>0</v>
      </c>
      <c r="AF192" s="81">
        <v>0</v>
      </c>
      <c r="AG192" s="85" t="s">
        <v>1162</v>
      </c>
      <c r="AH192" s="81" t="b">
        <v>0</v>
      </c>
      <c r="AI192" s="81" t="s">
        <v>1179</v>
      </c>
      <c r="AJ192" s="81"/>
      <c r="AK192" s="85" t="s">
        <v>1162</v>
      </c>
      <c r="AL192" s="81" t="b">
        <v>0</v>
      </c>
      <c r="AM192" s="81">
        <v>1</v>
      </c>
      <c r="AN192" s="85" t="s">
        <v>1057</v>
      </c>
      <c r="AO192" s="85" t="s">
        <v>1188</v>
      </c>
      <c r="AP192" s="81" t="b">
        <v>0</v>
      </c>
      <c r="AQ192" s="85" t="s">
        <v>1057</v>
      </c>
      <c r="AR192" s="81" t="s">
        <v>187</v>
      </c>
      <c r="AS192" s="81">
        <v>0</v>
      </c>
      <c r="AT192" s="81">
        <v>0</v>
      </c>
      <c r="AU192" s="81"/>
      <c r="AV192" s="81"/>
      <c r="AW192" s="81"/>
      <c r="AX192" s="81"/>
      <c r="AY192" s="81"/>
      <c r="AZ192" s="81"/>
      <c r="BA192" s="81"/>
      <c r="BB192" s="81"/>
      <c r="BC192">
        <v>1</v>
      </c>
      <c r="BD192" s="80" t="str">
        <f>REPLACE(INDEX(GroupVertices[Group],MATCH(Edges[[#This Row],[Vertex 1]],GroupVertices[Vertex],0)),1,1,"")</f>
        <v>13</v>
      </c>
      <c r="BE192" s="80" t="str">
        <f>REPLACE(INDEX(GroupVertices[Group],MATCH(Edges[[#This Row],[Vertex 2]],GroupVertices[Vertex],0)),1,1,"")</f>
        <v>13</v>
      </c>
      <c r="BF192" s="49">
        <v>0</v>
      </c>
      <c r="BG192" s="50">
        <v>0</v>
      </c>
      <c r="BH192" s="49">
        <v>0</v>
      </c>
      <c r="BI192" s="50">
        <v>0</v>
      </c>
      <c r="BJ192" s="49">
        <v>0</v>
      </c>
      <c r="BK192" s="50">
        <v>0</v>
      </c>
      <c r="BL192" s="49">
        <v>10</v>
      </c>
      <c r="BM192" s="50">
        <v>100</v>
      </c>
      <c r="BN192" s="49">
        <v>10</v>
      </c>
    </row>
    <row r="193" spans="1:66" ht="15">
      <c r="A193" s="65" t="s">
        <v>408</v>
      </c>
      <c r="B193" s="65" t="s">
        <v>479</v>
      </c>
      <c r="C193" s="66" t="s">
        <v>4392</v>
      </c>
      <c r="D193" s="67">
        <v>1</v>
      </c>
      <c r="E193" s="68" t="s">
        <v>132</v>
      </c>
      <c r="F193" s="69">
        <v>32</v>
      </c>
      <c r="G193" s="66" t="s">
        <v>51</v>
      </c>
      <c r="H193" s="70"/>
      <c r="I193" s="71"/>
      <c r="J193" s="71"/>
      <c r="K193" s="35" t="s">
        <v>65</v>
      </c>
      <c r="L193" s="79">
        <v>193</v>
      </c>
      <c r="M193" s="79"/>
      <c r="N193" s="73"/>
      <c r="O193" s="81" t="s">
        <v>503</v>
      </c>
      <c r="P193" s="83">
        <v>44644.85134259259</v>
      </c>
      <c r="Q193" s="81" t="s">
        <v>556</v>
      </c>
      <c r="R193" s="84" t="str">
        <f>HYPERLINK("https://twitter.com/DarthPutinKGB/status/1507079035528126470")</f>
        <v>https://twitter.com/DarthPutinKGB/status/1507079035528126470</v>
      </c>
      <c r="S193" s="81" t="s">
        <v>580</v>
      </c>
      <c r="T193" s="85" t="s">
        <v>591</v>
      </c>
      <c r="U193" s="81"/>
      <c r="V193" s="84" t="str">
        <f>HYPERLINK("https://pbs.twimg.com/profile_images/2749579108/2aac7f6038d98246f9762b5fb87b2e01_normal.png")</f>
        <v>https://pbs.twimg.com/profile_images/2749579108/2aac7f6038d98246f9762b5fb87b2e01_normal.png</v>
      </c>
      <c r="W193" s="83">
        <v>44644.85134259259</v>
      </c>
      <c r="X193" s="88">
        <v>44644</v>
      </c>
      <c r="Y193" s="85" t="s">
        <v>790</v>
      </c>
      <c r="Z193" s="84" t="str">
        <f>HYPERLINK("https://twitter.com/pave_ko/status/1507091366815358980")</f>
        <v>https://twitter.com/pave_ko/status/1507091366815358980</v>
      </c>
      <c r="AA193" s="81"/>
      <c r="AB193" s="81"/>
      <c r="AC193" s="85" t="s">
        <v>1059</v>
      </c>
      <c r="AD193" s="81"/>
      <c r="AE193" s="81" t="b">
        <v>0</v>
      </c>
      <c r="AF193" s="81">
        <v>0</v>
      </c>
      <c r="AG193" s="85" t="s">
        <v>1162</v>
      </c>
      <c r="AH193" s="81" t="b">
        <v>1</v>
      </c>
      <c r="AI193" s="81" t="s">
        <v>1179</v>
      </c>
      <c r="AJ193" s="81"/>
      <c r="AK193" s="85" t="s">
        <v>1186</v>
      </c>
      <c r="AL193" s="81" t="b">
        <v>0</v>
      </c>
      <c r="AM193" s="81">
        <v>3</v>
      </c>
      <c r="AN193" s="85" t="s">
        <v>1079</v>
      </c>
      <c r="AO193" s="85" t="s">
        <v>1188</v>
      </c>
      <c r="AP193" s="81" t="b">
        <v>0</v>
      </c>
      <c r="AQ193" s="85" t="s">
        <v>1079</v>
      </c>
      <c r="AR193" s="81" t="s">
        <v>187</v>
      </c>
      <c r="AS193" s="81">
        <v>0</v>
      </c>
      <c r="AT193" s="81">
        <v>0</v>
      </c>
      <c r="AU193" s="81"/>
      <c r="AV193" s="81"/>
      <c r="AW193" s="81"/>
      <c r="AX193" s="81"/>
      <c r="AY193" s="81"/>
      <c r="AZ193" s="81"/>
      <c r="BA193" s="81"/>
      <c r="BB193" s="81"/>
      <c r="BC193">
        <v>1</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5" t="s">
        <v>408</v>
      </c>
      <c r="B194" s="65" t="s">
        <v>428</v>
      </c>
      <c r="C194" s="66" t="s">
        <v>4392</v>
      </c>
      <c r="D194" s="67">
        <v>1</v>
      </c>
      <c r="E194" s="68" t="s">
        <v>132</v>
      </c>
      <c r="F194" s="69">
        <v>32</v>
      </c>
      <c r="G194" s="66" t="s">
        <v>51</v>
      </c>
      <c r="H194" s="70"/>
      <c r="I194" s="71"/>
      <c r="J194" s="71"/>
      <c r="K194" s="35" t="s">
        <v>65</v>
      </c>
      <c r="L194" s="79">
        <v>194</v>
      </c>
      <c r="M194" s="79"/>
      <c r="N194" s="73"/>
      <c r="O194" s="81" t="s">
        <v>504</v>
      </c>
      <c r="P194" s="83">
        <v>44644.85134259259</v>
      </c>
      <c r="Q194" s="81" t="s">
        <v>556</v>
      </c>
      <c r="R194" s="84" t="str">
        <f>HYPERLINK("https://twitter.com/DarthPutinKGB/status/1507079035528126470")</f>
        <v>https://twitter.com/DarthPutinKGB/status/1507079035528126470</v>
      </c>
      <c r="S194" s="81" t="s">
        <v>580</v>
      </c>
      <c r="T194" s="85" t="s">
        <v>591</v>
      </c>
      <c r="U194" s="81"/>
      <c r="V194" s="84" t="str">
        <f>HYPERLINK("https://pbs.twimg.com/profile_images/2749579108/2aac7f6038d98246f9762b5fb87b2e01_normal.png")</f>
        <v>https://pbs.twimg.com/profile_images/2749579108/2aac7f6038d98246f9762b5fb87b2e01_normal.png</v>
      </c>
      <c r="W194" s="83">
        <v>44644.85134259259</v>
      </c>
      <c r="X194" s="88">
        <v>44644</v>
      </c>
      <c r="Y194" s="85" t="s">
        <v>790</v>
      </c>
      <c r="Z194" s="84" t="str">
        <f>HYPERLINK("https://twitter.com/pave_ko/status/1507091366815358980")</f>
        <v>https://twitter.com/pave_ko/status/1507091366815358980</v>
      </c>
      <c r="AA194" s="81"/>
      <c r="AB194" s="81"/>
      <c r="AC194" s="85" t="s">
        <v>1059</v>
      </c>
      <c r="AD194" s="81"/>
      <c r="AE194" s="81" t="b">
        <v>0</v>
      </c>
      <c r="AF194" s="81">
        <v>0</v>
      </c>
      <c r="AG194" s="85" t="s">
        <v>1162</v>
      </c>
      <c r="AH194" s="81" t="b">
        <v>1</v>
      </c>
      <c r="AI194" s="81" t="s">
        <v>1179</v>
      </c>
      <c r="AJ194" s="81"/>
      <c r="AK194" s="85" t="s">
        <v>1186</v>
      </c>
      <c r="AL194" s="81" t="b">
        <v>0</v>
      </c>
      <c r="AM194" s="81">
        <v>3</v>
      </c>
      <c r="AN194" s="85" t="s">
        <v>1079</v>
      </c>
      <c r="AO194" s="85" t="s">
        <v>1188</v>
      </c>
      <c r="AP194" s="81" t="b">
        <v>0</v>
      </c>
      <c r="AQ194" s="85" t="s">
        <v>1079</v>
      </c>
      <c r="AR194" s="81" t="s">
        <v>187</v>
      </c>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v>0</v>
      </c>
      <c r="BG194" s="50">
        <v>0</v>
      </c>
      <c r="BH194" s="49">
        <v>0</v>
      </c>
      <c r="BI194" s="50">
        <v>0</v>
      </c>
      <c r="BJ194" s="49">
        <v>0</v>
      </c>
      <c r="BK194" s="50">
        <v>0</v>
      </c>
      <c r="BL194" s="49">
        <v>22</v>
      </c>
      <c r="BM194" s="50">
        <v>100</v>
      </c>
      <c r="BN194" s="49">
        <v>22</v>
      </c>
    </row>
    <row r="195" spans="1:66" ht="15">
      <c r="A195" s="65" t="s">
        <v>409</v>
      </c>
      <c r="B195" s="65" t="s">
        <v>479</v>
      </c>
      <c r="C195" s="66" t="s">
        <v>4392</v>
      </c>
      <c r="D195" s="67">
        <v>1</v>
      </c>
      <c r="E195" s="68" t="s">
        <v>132</v>
      </c>
      <c r="F195" s="69">
        <v>32</v>
      </c>
      <c r="G195" s="66" t="s">
        <v>51</v>
      </c>
      <c r="H195" s="70"/>
      <c r="I195" s="71"/>
      <c r="J195" s="71"/>
      <c r="K195" s="35" t="s">
        <v>65</v>
      </c>
      <c r="L195" s="79">
        <v>195</v>
      </c>
      <c r="M195" s="79"/>
      <c r="N195" s="73"/>
      <c r="O195" s="81" t="s">
        <v>504</v>
      </c>
      <c r="P195" s="83">
        <v>44644.8516087963</v>
      </c>
      <c r="Q195" s="81" t="s">
        <v>539</v>
      </c>
      <c r="R195" s="84" t="str">
        <f>HYPERLINK("https://www.hs.fi/talous/art-2000008704863.html")</f>
        <v>https://www.hs.fi/talous/art-2000008704863.html</v>
      </c>
      <c r="S195" s="81" t="s">
        <v>582</v>
      </c>
      <c r="T195" s="81"/>
      <c r="U195" s="81"/>
      <c r="V195" s="84" t="str">
        <f>HYPERLINK("https://pbs.twimg.com/profile_images/1152851481227341831/vWJb0f42_normal.jpg")</f>
        <v>https://pbs.twimg.com/profile_images/1152851481227341831/vWJb0f42_normal.jpg</v>
      </c>
      <c r="W195" s="83">
        <v>44644.8516087963</v>
      </c>
      <c r="X195" s="88">
        <v>44644</v>
      </c>
      <c r="Y195" s="85" t="s">
        <v>791</v>
      </c>
      <c r="Z195" s="84" t="str">
        <f>HYPERLINK("https://twitter.com/sammyrajala/status/1507091461455683598")</f>
        <v>https://twitter.com/sammyrajala/status/1507091461455683598</v>
      </c>
      <c r="AA195" s="81"/>
      <c r="AB195" s="81"/>
      <c r="AC195" s="85" t="s">
        <v>1060</v>
      </c>
      <c r="AD195" s="81"/>
      <c r="AE195" s="81" t="b">
        <v>0</v>
      </c>
      <c r="AF195" s="81">
        <v>0</v>
      </c>
      <c r="AG195" s="85" t="s">
        <v>1162</v>
      </c>
      <c r="AH195" s="81" t="b">
        <v>0</v>
      </c>
      <c r="AI195" s="81" t="s">
        <v>1179</v>
      </c>
      <c r="AJ195" s="81"/>
      <c r="AK195" s="85" t="s">
        <v>1162</v>
      </c>
      <c r="AL195" s="81" t="b">
        <v>0</v>
      </c>
      <c r="AM195" s="81">
        <v>103</v>
      </c>
      <c r="AN195" s="85" t="s">
        <v>1134</v>
      </c>
      <c r="AO195" s="85" t="s">
        <v>1190</v>
      </c>
      <c r="AP195" s="81" t="b">
        <v>0</v>
      </c>
      <c r="AQ195" s="85" t="s">
        <v>1134</v>
      </c>
      <c r="AR195" s="81" t="s">
        <v>187</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33</v>
      </c>
      <c r="BM195" s="50">
        <v>100</v>
      </c>
      <c r="BN195" s="49">
        <v>33</v>
      </c>
    </row>
    <row r="196" spans="1:66" ht="15">
      <c r="A196" s="65" t="s">
        <v>410</v>
      </c>
      <c r="B196" s="65" t="s">
        <v>479</v>
      </c>
      <c r="C196" s="66" t="s">
        <v>4392</v>
      </c>
      <c r="D196" s="67">
        <v>1</v>
      </c>
      <c r="E196" s="68" t="s">
        <v>132</v>
      </c>
      <c r="F196" s="69">
        <v>32</v>
      </c>
      <c r="G196" s="66" t="s">
        <v>51</v>
      </c>
      <c r="H196" s="70"/>
      <c r="I196" s="71"/>
      <c r="J196" s="71"/>
      <c r="K196" s="35" t="s">
        <v>65</v>
      </c>
      <c r="L196" s="79">
        <v>196</v>
      </c>
      <c r="M196" s="79"/>
      <c r="N196" s="73"/>
      <c r="O196" s="81" t="s">
        <v>504</v>
      </c>
      <c r="P196" s="83">
        <v>44644.85193287037</v>
      </c>
      <c r="Q196" s="81" t="s">
        <v>539</v>
      </c>
      <c r="R196" s="84" t="str">
        <f>HYPERLINK("https://www.hs.fi/talous/art-2000008704863.html")</f>
        <v>https://www.hs.fi/talous/art-2000008704863.html</v>
      </c>
      <c r="S196" s="81" t="s">
        <v>582</v>
      </c>
      <c r="T196" s="81"/>
      <c r="U196" s="81"/>
      <c r="V196" s="84" t="str">
        <f>HYPERLINK("https://pbs.twimg.com/profile_images/1071482727675891712/6Reekj13_normal.jpg")</f>
        <v>https://pbs.twimg.com/profile_images/1071482727675891712/6Reekj13_normal.jpg</v>
      </c>
      <c r="W196" s="83">
        <v>44644.85193287037</v>
      </c>
      <c r="X196" s="88">
        <v>44644</v>
      </c>
      <c r="Y196" s="85" t="s">
        <v>792</v>
      </c>
      <c r="Z196" s="84" t="str">
        <f>HYPERLINK("https://twitter.com/kestinen/status/1507091579105955843")</f>
        <v>https://twitter.com/kestinen/status/1507091579105955843</v>
      </c>
      <c r="AA196" s="81"/>
      <c r="AB196" s="81"/>
      <c r="AC196" s="85" t="s">
        <v>1061</v>
      </c>
      <c r="AD196" s="81"/>
      <c r="AE196" s="81" t="b">
        <v>0</v>
      </c>
      <c r="AF196" s="81">
        <v>0</v>
      </c>
      <c r="AG196" s="85" t="s">
        <v>1162</v>
      </c>
      <c r="AH196" s="81" t="b">
        <v>0</v>
      </c>
      <c r="AI196" s="81" t="s">
        <v>1179</v>
      </c>
      <c r="AJ196" s="81"/>
      <c r="AK196" s="85" t="s">
        <v>1162</v>
      </c>
      <c r="AL196" s="81" t="b">
        <v>0</v>
      </c>
      <c r="AM196" s="81">
        <v>103</v>
      </c>
      <c r="AN196" s="85" t="s">
        <v>1134</v>
      </c>
      <c r="AO196" s="85" t="s">
        <v>1190</v>
      </c>
      <c r="AP196" s="81" t="b">
        <v>0</v>
      </c>
      <c r="AQ196" s="85" t="s">
        <v>1134</v>
      </c>
      <c r="AR196" s="81" t="s">
        <v>187</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1</v>
      </c>
      <c r="BF196" s="49">
        <v>0</v>
      </c>
      <c r="BG196" s="50">
        <v>0</v>
      </c>
      <c r="BH196" s="49">
        <v>0</v>
      </c>
      <c r="BI196" s="50">
        <v>0</v>
      </c>
      <c r="BJ196" s="49">
        <v>0</v>
      </c>
      <c r="BK196" s="50">
        <v>0</v>
      </c>
      <c r="BL196" s="49">
        <v>33</v>
      </c>
      <c r="BM196" s="50">
        <v>100</v>
      </c>
      <c r="BN196" s="49">
        <v>33</v>
      </c>
    </row>
    <row r="197" spans="1:66" ht="15">
      <c r="A197" s="65" t="s">
        <v>411</v>
      </c>
      <c r="B197" s="65" t="s">
        <v>479</v>
      </c>
      <c r="C197" s="66" t="s">
        <v>4392</v>
      </c>
      <c r="D197" s="67">
        <v>1</v>
      </c>
      <c r="E197" s="68" t="s">
        <v>132</v>
      </c>
      <c r="F197" s="69">
        <v>32</v>
      </c>
      <c r="G197" s="66" t="s">
        <v>51</v>
      </c>
      <c r="H197" s="70"/>
      <c r="I197" s="71"/>
      <c r="J197" s="71"/>
      <c r="K197" s="35" t="s">
        <v>65</v>
      </c>
      <c r="L197" s="79">
        <v>197</v>
      </c>
      <c r="M197" s="79"/>
      <c r="N197" s="73"/>
      <c r="O197" s="81" t="s">
        <v>504</v>
      </c>
      <c r="P197" s="83">
        <v>44644.85895833333</v>
      </c>
      <c r="Q197" s="81" t="s">
        <v>539</v>
      </c>
      <c r="R197" s="84" t="str">
        <f>HYPERLINK("https://www.hs.fi/talous/art-2000008704863.html")</f>
        <v>https://www.hs.fi/talous/art-2000008704863.html</v>
      </c>
      <c r="S197" s="81" t="s">
        <v>582</v>
      </c>
      <c r="T197" s="81"/>
      <c r="U197" s="81"/>
      <c r="V197" s="84" t="str">
        <f>HYPERLINK("https://pbs.twimg.com/profile_images/1497519653698031616/u6HZUVly_normal.jpg")</f>
        <v>https://pbs.twimg.com/profile_images/1497519653698031616/u6HZUVly_normal.jpg</v>
      </c>
      <c r="W197" s="83">
        <v>44644.85895833333</v>
      </c>
      <c r="X197" s="88">
        <v>44644</v>
      </c>
      <c r="Y197" s="85" t="s">
        <v>793</v>
      </c>
      <c r="Z197" s="84" t="str">
        <f>HYPERLINK("https://twitter.com/pursiainenolli/status/1507094123135881218")</f>
        <v>https://twitter.com/pursiainenolli/status/1507094123135881218</v>
      </c>
      <c r="AA197" s="81"/>
      <c r="AB197" s="81"/>
      <c r="AC197" s="85" t="s">
        <v>1062</v>
      </c>
      <c r="AD197" s="81"/>
      <c r="AE197" s="81" t="b">
        <v>0</v>
      </c>
      <c r="AF197" s="81">
        <v>0</v>
      </c>
      <c r="AG197" s="85" t="s">
        <v>1162</v>
      </c>
      <c r="AH197" s="81" t="b">
        <v>0</v>
      </c>
      <c r="AI197" s="81" t="s">
        <v>1179</v>
      </c>
      <c r="AJ197" s="81"/>
      <c r="AK197" s="85" t="s">
        <v>1162</v>
      </c>
      <c r="AL197" s="81" t="b">
        <v>0</v>
      </c>
      <c r="AM197" s="81">
        <v>103</v>
      </c>
      <c r="AN197" s="85" t="s">
        <v>1134</v>
      </c>
      <c r="AO197" s="85" t="s">
        <v>1188</v>
      </c>
      <c r="AP197" s="81" t="b">
        <v>0</v>
      </c>
      <c r="AQ197" s="85" t="s">
        <v>1134</v>
      </c>
      <c r="AR197" s="81" t="s">
        <v>187</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1</v>
      </c>
      <c r="BF197" s="49">
        <v>0</v>
      </c>
      <c r="BG197" s="50">
        <v>0</v>
      </c>
      <c r="BH197" s="49">
        <v>0</v>
      </c>
      <c r="BI197" s="50">
        <v>0</v>
      </c>
      <c r="BJ197" s="49">
        <v>0</v>
      </c>
      <c r="BK197" s="50">
        <v>0</v>
      </c>
      <c r="BL197" s="49">
        <v>33</v>
      </c>
      <c r="BM197" s="50">
        <v>100</v>
      </c>
      <c r="BN197" s="49">
        <v>33</v>
      </c>
    </row>
    <row r="198" spans="1:66" ht="15">
      <c r="A198" s="65" t="s">
        <v>412</v>
      </c>
      <c r="B198" s="65" t="s">
        <v>479</v>
      </c>
      <c r="C198" s="66" t="s">
        <v>4392</v>
      </c>
      <c r="D198" s="67">
        <v>1</v>
      </c>
      <c r="E198" s="68" t="s">
        <v>132</v>
      </c>
      <c r="F198" s="69">
        <v>32</v>
      </c>
      <c r="G198" s="66" t="s">
        <v>51</v>
      </c>
      <c r="H198" s="70"/>
      <c r="I198" s="71"/>
      <c r="J198" s="71"/>
      <c r="K198" s="35" t="s">
        <v>65</v>
      </c>
      <c r="L198" s="79">
        <v>198</v>
      </c>
      <c r="M198" s="79"/>
      <c r="N198" s="73"/>
      <c r="O198" s="81" t="s">
        <v>504</v>
      </c>
      <c r="P198" s="83">
        <v>44644.86356481481</v>
      </c>
      <c r="Q198" s="81" t="s">
        <v>539</v>
      </c>
      <c r="R198" s="84" t="str">
        <f>HYPERLINK("https://www.hs.fi/talous/art-2000008704863.html")</f>
        <v>https://www.hs.fi/talous/art-2000008704863.html</v>
      </c>
      <c r="S198" s="81" t="s">
        <v>582</v>
      </c>
      <c r="T198" s="81"/>
      <c r="U198" s="81"/>
      <c r="V198" s="84" t="str">
        <f>HYPERLINK("https://pbs.twimg.com/profile_images/1490817185161359361/kyTkYE8__normal.jpg")</f>
        <v>https://pbs.twimg.com/profile_images/1490817185161359361/kyTkYE8__normal.jpg</v>
      </c>
      <c r="W198" s="83">
        <v>44644.86356481481</v>
      </c>
      <c r="X198" s="88">
        <v>44644</v>
      </c>
      <c r="Y198" s="85" t="s">
        <v>794</v>
      </c>
      <c r="Z198" s="84" t="str">
        <f>HYPERLINK("https://twitter.com/korrud/status/1507095795207659532")</f>
        <v>https://twitter.com/korrud/status/1507095795207659532</v>
      </c>
      <c r="AA198" s="81"/>
      <c r="AB198" s="81"/>
      <c r="AC198" s="85" t="s">
        <v>1063</v>
      </c>
      <c r="AD198" s="81"/>
      <c r="AE198" s="81" t="b">
        <v>0</v>
      </c>
      <c r="AF198" s="81">
        <v>0</v>
      </c>
      <c r="AG198" s="85" t="s">
        <v>1162</v>
      </c>
      <c r="AH198" s="81" t="b">
        <v>0</v>
      </c>
      <c r="AI198" s="81" t="s">
        <v>1179</v>
      </c>
      <c r="AJ198" s="81"/>
      <c r="AK198" s="85" t="s">
        <v>1162</v>
      </c>
      <c r="AL198" s="81" t="b">
        <v>0</v>
      </c>
      <c r="AM198" s="81">
        <v>103</v>
      </c>
      <c r="AN198" s="85" t="s">
        <v>1134</v>
      </c>
      <c r="AO198" s="85" t="s">
        <v>1188</v>
      </c>
      <c r="AP198" s="81" t="b">
        <v>0</v>
      </c>
      <c r="AQ198" s="85" t="s">
        <v>1134</v>
      </c>
      <c r="AR198" s="81" t="s">
        <v>187</v>
      </c>
      <c r="AS198" s="81">
        <v>0</v>
      </c>
      <c r="AT198" s="81">
        <v>0</v>
      </c>
      <c r="AU198" s="81"/>
      <c r="AV198" s="81"/>
      <c r="AW198" s="81"/>
      <c r="AX198" s="81"/>
      <c r="AY198" s="81"/>
      <c r="AZ198" s="81"/>
      <c r="BA198" s="81"/>
      <c r="BB198" s="81"/>
      <c r="BC198">
        <v>1</v>
      </c>
      <c r="BD198" s="80" t="str">
        <f>REPLACE(INDEX(GroupVertices[Group],MATCH(Edges[[#This Row],[Vertex 1]],GroupVertices[Vertex],0)),1,1,"")</f>
        <v>1</v>
      </c>
      <c r="BE198" s="80" t="str">
        <f>REPLACE(INDEX(GroupVertices[Group],MATCH(Edges[[#This Row],[Vertex 2]],GroupVertices[Vertex],0)),1,1,"")</f>
        <v>1</v>
      </c>
      <c r="BF198" s="49">
        <v>0</v>
      </c>
      <c r="BG198" s="50">
        <v>0</v>
      </c>
      <c r="BH198" s="49">
        <v>0</v>
      </c>
      <c r="BI198" s="50">
        <v>0</v>
      </c>
      <c r="BJ198" s="49">
        <v>0</v>
      </c>
      <c r="BK198" s="50">
        <v>0</v>
      </c>
      <c r="BL198" s="49">
        <v>33</v>
      </c>
      <c r="BM198" s="50">
        <v>100</v>
      </c>
      <c r="BN198" s="49">
        <v>33</v>
      </c>
    </row>
    <row r="199" spans="1:66" ht="15">
      <c r="A199" s="65" t="s">
        <v>413</v>
      </c>
      <c r="B199" s="65" t="s">
        <v>479</v>
      </c>
      <c r="C199" s="66" t="s">
        <v>4392</v>
      </c>
      <c r="D199" s="67">
        <v>1</v>
      </c>
      <c r="E199" s="68" t="s">
        <v>132</v>
      </c>
      <c r="F199" s="69">
        <v>32</v>
      </c>
      <c r="G199" s="66" t="s">
        <v>51</v>
      </c>
      <c r="H199" s="70"/>
      <c r="I199" s="71"/>
      <c r="J199" s="71"/>
      <c r="K199" s="35" t="s">
        <v>65</v>
      </c>
      <c r="L199" s="79">
        <v>199</v>
      </c>
      <c r="M199" s="79"/>
      <c r="N199" s="73"/>
      <c r="O199" s="81" t="s">
        <v>504</v>
      </c>
      <c r="P199" s="83">
        <v>44644.86775462963</v>
      </c>
      <c r="Q199" s="81" t="s">
        <v>539</v>
      </c>
      <c r="R199" s="84" t="str">
        <f>HYPERLINK("https://www.hs.fi/talous/art-2000008704863.html")</f>
        <v>https://www.hs.fi/talous/art-2000008704863.html</v>
      </c>
      <c r="S199" s="81" t="s">
        <v>582</v>
      </c>
      <c r="T199" s="81"/>
      <c r="U199" s="81"/>
      <c r="V199" s="84" t="str">
        <f>HYPERLINK("https://pbs.twimg.com/profile_images/1490322032139059201/CK0IVjn5_normal.jpg")</f>
        <v>https://pbs.twimg.com/profile_images/1490322032139059201/CK0IVjn5_normal.jpg</v>
      </c>
      <c r="W199" s="83">
        <v>44644.86775462963</v>
      </c>
      <c r="X199" s="88">
        <v>44644</v>
      </c>
      <c r="Y199" s="85" t="s">
        <v>795</v>
      </c>
      <c r="Z199" s="84" t="str">
        <f>HYPERLINK("https://twitter.com/ctikerpuu/status/1507097314124603393")</f>
        <v>https://twitter.com/ctikerpuu/status/1507097314124603393</v>
      </c>
      <c r="AA199" s="81"/>
      <c r="AB199" s="81"/>
      <c r="AC199" s="85" t="s">
        <v>1064</v>
      </c>
      <c r="AD199" s="81"/>
      <c r="AE199" s="81" t="b">
        <v>0</v>
      </c>
      <c r="AF199" s="81">
        <v>0</v>
      </c>
      <c r="AG199" s="85" t="s">
        <v>1162</v>
      </c>
      <c r="AH199" s="81" t="b">
        <v>0</v>
      </c>
      <c r="AI199" s="81" t="s">
        <v>1179</v>
      </c>
      <c r="AJ199" s="81"/>
      <c r="AK199" s="85" t="s">
        <v>1162</v>
      </c>
      <c r="AL199" s="81" t="b">
        <v>0</v>
      </c>
      <c r="AM199" s="81">
        <v>103</v>
      </c>
      <c r="AN199" s="85" t="s">
        <v>1134</v>
      </c>
      <c r="AO199" s="85" t="s">
        <v>1190</v>
      </c>
      <c r="AP199" s="81" t="b">
        <v>0</v>
      </c>
      <c r="AQ199" s="85" t="s">
        <v>1134</v>
      </c>
      <c r="AR199" s="81" t="s">
        <v>187</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v>0</v>
      </c>
      <c r="BG199" s="50">
        <v>0</v>
      </c>
      <c r="BH199" s="49">
        <v>0</v>
      </c>
      <c r="BI199" s="50">
        <v>0</v>
      </c>
      <c r="BJ199" s="49">
        <v>0</v>
      </c>
      <c r="BK199" s="50">
        <v>0</v>
      </c>
      <c r="BL199" s="49">
        <v>33</v>
      </c>
      <c r="BM199" s="50">
        <v>100</v>
      </c>
      <c r="BN199" s="49">
        <v>33</v>
      </c>
    </row>
    <row r="200" spans="1:66" ht="15">
      <c r="A200" s="65" t="s">
        <v>414</v>
      </c>
      <c r="B200" s="65" t="s">
        <v>479</v>
      </c>
      <c r="C200" s="66" t="s">
        <v>4392</v>
      </c>
      <c r="D200" s="67">
        <v>1</v>
      </c>
      <c r="E200" s="68" t="s">
        <v>132</v>
      </c>
      <c r="F200" s="69">
        <v>32</v>
      </c>
      <c r="G200" s="66" t="s">
        <v>51</v>
      </c>
      <c r="H200" s="70"/>
      <c r="I200" s="71"/>
      <c r="J200" s="71"/>
      <c r="K200" s="35" t="s">
        <v>65</v>
      </c>
      <c r="L200" s="79">
        <v>200</v>
      </c>
      <c r="M200" s="79"/>
      <c r="N200" s="73"/>
      <c r="O200" s="81" t="s">
        <v>504</v>
      </c>
      <c r="P200" s="83">
        <v>44644.87366898148</v>
      </c>
      <c r="Q200" s="81" t="s">
        <v>539</v>
      </c>
      <c r="R200" s="84" t="str">
        <f>HYPERLINK("https://www.hs.fi/talous/art-2000008704863.html")</f>
        <v>https://www.hs.fi/talous/art-2000008704863.html</v>
      </c>
      <c r="S200" s="81" t="s">
        <v>582</v>
      </c>
      <c r="T200" s="81"/>
      <c r="U200" s="81"/>
      <c r="V200" s="84" t="str">
        <f>HYPERLINK("https://pbs.twimg.com/profile_images/1383746473393725442/lDUAwDP4_normal.jpg")</f>
        <v>https://pbs.twimg.com/profile_images/1383746473393725442/lDUAwDP4_normal.jpg</v>
      </c>
      <c r="W200" s="83">
        <v>44644.87366898148</v>
      </c>
      <c r="X200" s="88">
        <v>44644</v>
      </c>
      <c r="Y200" s="85" t="s">
        <v>796</v>
      </c>
      <c r="Z200" s="84" t="str">
        <f>HYPERLINK("https://twitter.com/tarjuccia/status/1507099455316766722")</f>
        <v>https://twitter.com/tarjuccia/status/1507099455316766722</v>
      </c>
      <c r="AA200" s="81"/>
      <c r="AB200" s="81"/>
      <c r="AC200" s="85" t="s">
        <v>1065</v>
      </c>
      <c r="AD200" s="81"/>
      <c r="AE200" s="81" t="b">
        <v>0</v>
      </c>
      <c r="AF200" s="81">
        <v>0</v>
      </c>
      <c r="AG200" s="85" t="s">
        <v>1162</v>
      </c>
      <c r="AH200" s="81" t="b">
        <v>0</v>
      </c>
      <c r="AI200" s="81" t="s">
        <v>1179</v>
      </c>
      <c r="AJ200" s="81"/>
      <c r="AK200" s="85" t="s">
        <v>1162</v>
      </c>
      <c r="AL200" s="81" t="b">
        <v>0</v>
      </c>
      <c r="AM200" s="81">
        <v>103</v>
      </c>
      <c r="AN200" s="85" t="s">
        <v>1134</v>
      </c>
      <c r="AO200" s="85" t="s">
        <v>1188</v>
      </c>
      <c r="AP200" s="81" t="b">
        <v>0</v>
      </c>
      <c r="AQ200" s="85" t="s">
        <v>1134</v>
      </c>
      <c r="AR200" s="81" t="s">
        <v>187</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v>0</v>
      </c>
      <c r="BG200" s="50">
        <v>0</v>
      </c>
      <c r="BH200" s="49">
        <v>0</v>
      </c>
      <c r="BI200" s="50">
        <v>0</v>
      </c>
      <c r="BJ200" s="49">
        <v>0</v>
      </c>
      <c r="BK200" s="50">
        <v>0</v>
      </c>
      <c r="BL200" s="49">
        <v>33</v>
      </c>
      <c r="BM200" s="50">
        <v>100</v>
      </c>
      <c r="BN200" s="49">
        <v>33</v>
      </c>
    </row>
    <row r="201" spans="1:66" ht="15">
      <c r="A201" s="65" t="s">
        <v>415</v>
      </c>
      <c r="B201" s="65" t="s">
        <v>479</v>
      </c>
      <c r="C201" s="66" t="s">
        <v>4392</v>
      </c>
      <c r="D201" s="67">
        <v>1</v>
      </c>
      <c r="E201" s="68" t="s">
        <v>132</v>
      </c>
      <c r="F201" s="69">
        <v>32</v>
      </c>
      <c r="G201" s="66" t="s">
        <v>51</v>
      </c>
      <c r="H201" s="70"/>
      <c r="I201" s="71"/>
      <c r="J201" s="71"/>
      <c r="K201" s="35" t="s">
        <v>65</v>
      </c>
      <c r="L201" s="79">
        <v>201</v>
      </c>
      <c r="M201" s="79"/>
      <c r="N201" s="73"/>
      <c r="O201" s="81" t="s">
        <v>504</v>
      </c>
      <c r="P201" s="83">
        <v>44644.87383101852</v>
      </c>
      <c r="Q201" s="81" t="s">
        <v>539</v>
      </c>
      <c r="R201" s="84" t="str">
        <f>HYPERLINK("https://www.hs.fi/talous/art-2000008704863.html")</f>
        <v>https://www.hs.fi/talous/art-2000008704863.html</v>
      </c>
      <c r="S201" s="81" t="s">
        <v>582</v>
      </c>
      <c r="T201" s="81"/>
      <c r="U201" s="81"/>
      <c r="V201" s="84" t="str">
        <f>HYPERLINK("https://pbs.twimg.com/profile_images/1494567197368373259/jONG5Ty0_normal.jpg")</f>
        <v>https://pbs.twimg.com/profile_images/1494567197368373259/jONG5Ty0_normal.jpg</v>
      </c>
      <c r="W201" s="83">
        <v>44644.87383101852</v>
      </c>
      <c r="X201" s="88">
        <v>44644</v>
      </c>
      <c r="Y201" s="85" t="s">
        <v>797</v>
      </c>
      <c r="Z201" s="84" t="str">
        <f>HYPERLINK("https://twitter.com/harhanuoli/status/1507099512761901056")</f>
        <v>https://twitter.com/harhanuoli/status/1507099512761901056</v>
      </c>
      <c r="AA201" s="81"/>
      <c r="AB201" s="81"/>
      <c r="AC201" s="85" t="s">
        <v>1066</v>
      </c>
      <c r="AD201" s="81"/>
      <c r="AE201" s="81" t="b">
        <v>0</v>
      </c>
      <c r="AF201" s="81">
        <v>0</v>
      </c>
      <c r="AG201" s="85" t="s">
        <v>1162</v>
      </c>
      <c r="AH201" s="81" t="b">
        <v>0</v>
      </c>
      <c r="AI201" s="81" t="s">
        <v>1179</v>
      </c>
      <c r="AJ201" s="81"/>
      <c r="AK201" s="85" t="s">
        <v>1162</v>
      </c>
      <c r="AL201" s="81" t="b">
        <v>0</v>
      </c>
      <c r="AM201" s="81">
        <v>103</v>
      </c>
      <c r="AN201" s="85" t="s">
        <v>1134</v>
      </c>
      <c r="AO201" s="85" t="s">
        <v>1188</v>
      </c>
      <c r="AP201" s="81" t="b">
        <v>0</v>
      </c>
      <c r="AQ201" s="85" t="s">
        <v>1134</v>
      </c>
      <c r="AR201" s="81" t="s">
        <v>187</v>
      </c>
      <c r="AS201" s="81">
        <v>0</v>
      </c>
      <c r="AT201" s="81">
        <v>0</v>
      </c>
      <c r="AU201" s="81"/>
      <c r="AV201" s="81"/>
      <c r="AW201" s="81"/>
      <c r="AX201" s="81"/>
      <c r="AY201" s="81"/>
      <c r="AZ201" s="81"/>
      <c r="BA201" s="81"/>
      <c r="BB201" s="81"/>
      <c r="BC201">
        <v>1</v>
      </c>
      <c r="BD201" s="80" t="str">
        <f>REPLACE(INDEX(GroupVertices[Group],MATCH(Edges[[#This Row],[Vertex 1]],GroupVertices[Vertex],0)),1,1,"")</f>
        <v>1</v>
      </c>
      <c r="BE201" s="80" t="str">
        <f>REPLACE(INDEX(GroupVertices[Group],MATCH(Edges[[#This Row],[Vertex 2]],GroupVertices[Vertex],0)),1,1,"")</f>
        <v>1</v>
      </c>
      <c r="BF201" s="49">
        <v>0</v>
      </c>
      <c r="BG201" s="50">
        <v>0</v>
      </c>
      <c r="BH201" s="49">
        <v>0</v>
      </c>
      <c r="BI201" s="50">
        <v>0</v>
      </c>
      <c r="BJ201" s="49">
        <v>0</v>
      </c>
      <c r="BK201" s="50">
        <v>0</v>
      </c>
      <c r="BL201" s="49">
        <v>33</v>
      </c>
      <c r="BM201" s="50">
        <v>100</v>
      </c>
      <c r="BN201" s="49">
        <v>33</v>
      </c>
    </row>
    <row r="202" spans="1:66" ht="15">
      <c r="A202" s="65" t="s">
        <v>416</v>
      </c>
      <c r="B202" s="65" t="s">
        <v>479</v>
      </c>
      <c r="C202" s="66" t="s">
        <v>4392</v>
      </c>
      <c r="D202" s="67">
        <v>1</v>
      </c>
      <c r="E202" s="68" t="s">
        <v>132</v>
      </c>
      <c r="F202" s="69">
        <v>32</v>
      </c>
      <c r="G202" s="66" t="s">
        <v>51</v>
      </c>
      <c r="H202" s="70"/>
      <c r="I202" s="71"/>
      <c r="J202" s="71"/>
      <c r="K202" s="35" t="s">
        <v>65</v>
      </c>
      <c r="L202" s="79">
        <v>202</v>
      </c>
      <c r="M202" s="79"/>
      <c r="N202" s="73"/>
      <c r="O202" s="81" t="s">
        <v>504</v>
      </c>
      <c r="P202" s="83">
        <v>44644.87887731481</v>
      </c>
      <c r="Q202" s="81" t="s">
        <v>539</v>
      </c>
      <c r="R202" s="84" t="str">
        <f>HYPERLINK("https://www.hs.fi/talous/art-2000008704863.html")</f>
        <v>https://www.hs.fi/talous/art-2000008704863.html</v>
      </c>
      <c r="S202" s="81" t="s">
        <v>582</v>
      </c>
      <c r="T202" s="81"/>
      <c r="U202" s="81"/>
      <c r="V202" s="84" t="str">
        <f>HYPERLINK("https://pbs.twimg.com/profile_images/446925740592742400/GtC-m7bf_normal.jpeg")</f>
        <v>https://pbs.twimg.com/profile_images/446925740592742400/GtC-m7bf_normal.jpeg</v>
      </c>
      <c r="W202" s="83">
        <v>44644.87887731481</v>
      </c>
      <c r="X202" s="88">
        <v>44644</v>
      </c>
      <c r="Y202" s="85" t="s">
        <v>798</v>
      </c>
      <c r="Z202" s="84" t="str">
        <f>HYPERLINK("https://twitter.com/hvorne/status/1507101341990150155")</f>
        <v>https://twitter.com/hvorne/status/1507101341990150155</v>
      </c>
      <c r="AA202" s="81"/>
      <c r="AB202" s="81"/>
      <c r="AC202" s="85" t="s">
        <v>1067</v>
      </c>
      <c r="AD202" s="81"/>
      <c r="AE202" s="81" t="b">
        <v>0</v>
      </c>
      <c r="AF202" s="81">
        <v>0</v>
      </c>
      <c r="AG202" s="85" t="s">
        <v>1162</v>
      </c>
      <c r="AH202" s="81" t="b">
        <v>0</v>
      </c>
      <c r="AI202" s="81" t="s">
        <v>1179</v>
      </c>
      <c r="AJ202" s="81"/>
      <c r="AK202" s="85" t="s">
        <v>1162</v>
      </c>
      <c r="AL202" s="81" t="b">
        <v>0</v>
      </c>
      <c r="AM202" s="81">
        <v>103</v>
      </c>
      <c r="AN202" s="85" t="s">
        <v>1134</v>
      </c>
      <c r="AO202" s="85" t="s">
        <v>1188</v>
      </c>
      <c r="AP202" s="81" t="b">
        <v>0</v>
      </c>
      <c r="AQ202" s="85" t="s">
        <v>1134</v>
      </c>
      <c r="AR202" s="81" t="s">
        <v>187</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1</v>
      </c>
      <c r="BF202" s="49">
        <v>0</v>
      </c>
      <c r="BG202" s="50">
        <v>0</v>
      </c>
      <c r="BH202" s="49">
        <v>0</v>
      </c>
      <c r="BI202" s="50">
        <v>0</v>
      </c>
      <c r="BJ202" s="49">
        <v>0</v>
      </c>
      <c r="BK202" s="50">
        <v>0</v>
      </c>
      <c r="BL202" s="49">
        <v>33</v>
      </c>
      <c r="BM202" s="50">
        <v>100</v>
      </c>
      <c r="BN202" s="49">
        <v>33</v>
      </c>
    </row>
    <row r="203" spans="1:66" ht="15">
      <c r="A203" s="65" t="s">
        <v>417</v>
      </c>
      <c r="B203" s="65" t="s">
        <v>479</v>
      </c>
      <c r="C203" s="66" t="s">
        <v>4392</v>
      </c>
      <c r="D203" s="67">
        <v>1</v>
      </c>
      <c r="E203" s="68" t="s">
        <v>132</v>
      </c>
      <c r="F203" s="69">
        <v>32</v>
      </c>
      <c r="G203" s="66" t="s">
        <v>51</v>
      </c>
      <c r="H203" s="70"/>
      <c r="I203" s="71"/>
      <c r="J203" s="71"/>
      <c r="K203" s="35" t="s">
        <v>65</v>
      </c>
      <c r="L203" s="79">
        <v>203</v>
      </c>
      <c r="M203" s="79"/>
      <c r="N203" s="73"/>
      <c r="O203" s="81" t="s">
        <v>504</v>
      </c>
      <c r="P203" s="83">
        <v>44644.88112268518</v>
      </c>
      <c r="Q203" s="81" t="s">
        <v>539</v>
      </c>
      <c r="R203" s="84" t="str">
        <f>HYPERLINK("https://www.hs.fi/talous/art-2000008704863.html")</f>
        <v>https://www.hs.fi/talous/art-2000008704863.html</v>
      </c>
      <c r="S203" s="81" t="s">
        <v>582</v>
      </c>
      <c r="T203" s="81"/>
      <c r="U203" s="81"/>
      <c r="V203" s="84" t="str">
        <f>HYPERLINK("https://pbs.twimg.com/profile_images/1474484489179045891/2I5gxE0m_normal.jpg")</f>
        <v>https://pbs.twimg.com/profile_images/1474484489179045891/2I5gxE0m_normal.jpg</v>
      </c>
      <c r="W203" s="83">
        <v>44644.88112268518</v>
      </c>
      <c r="X203" s="88">
        <v>44644</v>
      </c>
      <c r="Y203" s="85" t="s">
        <v>799</v>
      </c>
      <c r="Z203" s="84" t="str">
        <f>HYPERLINK("https://twitter.com/ninnu_n/status/1507102158638002183")</f>
        <v>https://twitter.com/ninnu_n/status/1507102158638002183</v>
      </c>
      <c r="AA203" s="81"/>
      <c r="AB203" s="81"/>
      <c r="AC203" s="85" t="s">
        <v>1068</v>
      </c>
      <c r="AD203" s="81"/>
      <c r="AE203" s="81" t="b">
        <v>0</v>
      </c>
      <c r="AF203" s="81">
        <v>0</v>
      </c>
      <c r="AG203" s="85" t="s">
        <v>1162</v>
      </c>
      <c r="AH203" s="81" t="b">
        <v>0</v>
      </c>
      <c r="AI203" s="81" t="s">
        <v>1179</v>
      </c>
      <c r="AJ203" s="81"/>
      <c r="AK203" s="85" t="s">
        <v>1162</v>
      </c>
      <c r="AL203" s="81" t="b">
        <v>0</v>
      </c>
      <c r="AM203" s="81">
        <v>103</v>
      </c>
      <c r="AN203" s="85" t="s">
        <v>1134</v>
      </c>
      <c r="AO203" s="85" t="s">
        <v>1188</v>
      </c>
      <c r="AP203" s="81" t="b">
        <v>0</v>
      </c>
      <c r="AQ203" s="85" t="s">
        <v>1134</v>
      </c>
      <c r="AR203" s="81" t="s">
        <v>187</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v>0</v>
      </c>
      <c r="BG203" s="50">
        <v>0</v>
      </c>
      <c r="BH203" s="49">
        <v>0</v>
      </c>
      <c r="BI203" s="50">
        <v>0</v>
      </c>
      <c r="BJ203" s="49">
        <v>0</v>
      </c>
      <c r="BK203" s="50">
        <v>0</v>
      </c>
      <c r="BL203" s="49">
        <v>33</v>
      </c>
      <c r="BM203" s="50">
        <v>100</v>
      </c>
      <c r="BN203" s="49">
        <v>33</v>
      </c>
    </row>
    <row r="204" spans="1:66" ht="15">
      <c r="A204" s="65" t="s">
        <v>418</v>
      </c>
      <c r="B204" s="65" t="s">
        <v>479</v>
      </c>
      <c r="C204" s="66" t="s">
        <v>4392</v>
      </c>
      <c r="D204" s="67">
        <v>1</v>
      </c>
      <c r="E204" s="68" t="s">
        <v>132</v>
      </c>
      <c r="F204" s="69">
        <v>32</v>
      </c>
      <c r="G204" s="66" t="s">
        <v>51</v>
      </c>
      <c r="H204" s="70"/>
      <c r="I204" s="71"/>
      <c r="J204" s="71"/>
      <c r="K204" s="35" t="s">
        <v>65</v>
      </c>
      <c r="L204" s="79">
        <v>204</v>
      </c>
      <c r="M204" s="79"/>
      <c r="N204" s="73"/>
      <c r="O204" s="81" t="s">
        <v>504</v>
      </c>
      <c r="P204" s="83">
        <v>44644.88178240741</v>
      </c>
      <c r="Q204" s="81" t="s">
        <v>539</v>
      </c>
      <c r="R204" s="84" t="str">
        <f>HYPERLINK("https://www.hs.fi/talous/art-2000008704863.html")</f>
        <v>https://www.hs.fi/talous/art-2000008704863.html</v>
      </c>
      <c r="S204" s="81" t="s">
        <v>582</v>
      </c>
      <c r="T204" s="81"/>
      <c r="U204" s="81"/>
      <c r="V204" s="84" t="str">
        <f>HYPERLINK("https://pbs.twimg.com/profile_images/779805251243212804/jS9s_ajc_normal.jpg")</f>
        <v>https://pbs.twimg.com/profile_images/779805251243212804/jS9s_ajc_normal.jpg</v>
      </c>
      <c r="W204" s="83">
        <v>44644.88178240741</v>
      </c>
      <c r="X204" s="88">
        <v>44644</v>
      </c>
      <c r="Y204" s="85" t="s">
        <v>800</v>
      </c>
      <c r="Z204" s="84" t="str">
        <f>HYPERLINK("https://twitter.com/tiinarytky/status/1507102397755273222")</f>
        <v>https://twitter.com/tiinarytky/status/1507102397755273222</v>
      </c>
      <c r="AA204" s="81"/>
      <c r="AB204" s="81"/>
      <c r="AC204" s="85" t="s">
        <v>1069</v>
      </c>
      <c r="AD204" s="81"/>
      <c r="AE204" s="81" t="b">
        <v>0</v>
      </c>
      <c r="AF204" s="81">
        <v>0</v>
      </c>
      <c r="AG204" s="85" t="s">
        <v>1162</v>
      </c>
      <c r="AH204" s="81" t="b">
        <v>0</v>
      </c>
      <c r="AI204" s="81" t="s">
        <v>1179</v>
      </c>
      <c r="AJ204" s="81"/>
      <c r="AK204" s="85" t="s">
        <v>1162</v>
      </c>
      <c r="AL204" s="81" t="b">
        <v>0</v>
      </c>
      <c r="AM204" s="81">
        <v>103</v>
      </c>
      <c r="AN204" s="85" t="s">
        <v>1134</v>
      </c>
      <c r="AO204" s="85" t="s">
        <v>1190</v>
      </c>
      <c r="AP204" s="81" t="b">
        <v>0</v>
      </c>
      <c r="AQ204" s="85" t="s">
        <v>1134</v>
      </c>
      <c r="AR204" s="81" t="s">
        <v>187</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1</v>
      </c>
      <c r="BF204" s="49">
        <v>0</v>
      </c>
      <c r="BG204" s="50">
        <v>0</v>
      </c>
      <c r="BH204" s="49">
        <v>0</v>
      </c>
      <c r="BI204" s="50">
        <v>0</v>
      </c>
      <c r="BJ204" s="49">
        <v>0</v>
      </c>
      <c r="BK204" s="50">
        <v>0</v>
      </c>
      <c r="BL204" s="49">
        <v>33</v>
      </c>
      <c r="BM204" s="50">
        <v>100</v>
      </c>
      <c r="BN204" s="49">
        <v>33</v>
      </c>
    </row>
    <row r="205" spans="1:66" ht="15">
      <c r="A205" s="65" t="s">
        <v>419</v>
      </c>
      <c r="B205" s="65" t="s">
        <v>479</v>
      </c>
      <c r="C205" s="66" t="s">
        <v>4392</v>
      </c>
      <c r="D205" s="67">
        <v>1</v>
      </c>
      <c r="E205" s="68" t="s">
        <v>132</v>
      </c>
      <c r="F205" s="69">
        <v>32</v>
      </c>
      <c r="G205" s="66" t="s">
        <v>51</v>
      </c>
      <c r="H205" s="70"/>
      <c r="I205" s="71"/>
      <c r="J205" s="71"/>
      <c r="K205" s="35" t="s">
        <v>65</v>
      </c>
      <c r="L205" s="79">
        <v>205</v>
      </c>
      <c r="M205" s="79"/>
      <c r="N205" s="73"/>
      <c r="O205" s="81" t="s">
        <v>504</v>
      </c>
      <c r="P205" s="83">
        <v>44644.89072916667</v>
      </c>
      <c r="Q205" s="81" t="s">
        <v>539</v>
      </c>
      <c r="R205" s="84" t="str">
        <f>HYPERLINK("https://www.hs.fi/talous/art-2000008704863.html")</f>
        <v>https://www.hs.fi/talous/art-2000008704863.html</v>
      </c>
      <c r="S205" s="81" t="s">
        <v>582</v>
      </c>
      <c r="T205" s="81"/>
      <c r="U205" s="81"/>
      <c r="V205" s="84" t="str">
        <f>HYPERLINK("https://pbs.twimg.com/profile_images/1477746807174225931/5ZEH0SHQ_normal.jpg")</f>
        <v>https://pbs.twimg.com/profile_images/1477746807174225931/5ZEH0SHQ_normal.jpg</v>
      </c>
      <c r="W205" s="83">
        <v>44644.89072916667</v>
      </c>
      <c r="X205" s="88">
        <v>44644</v>
      </c>
      <c r="Y205" s="85" t="s">
        <v>801</v>
      </c>
      <c r="Z205" s="84" t="str">
        <f>HYPERLINK("https://twitter.com/anniilaugh/status/1507105637561421834")</f>
        <v>https://twitter.com/anniilaugh/status/1507105637561421834</v>
      </c>
      <c r="AA205" s="81"/>
      <c r="AB205" s="81"/>
      <c r="AC205" s="85" t="s">
        <v>1070</v>
      </c>
      <c r="AD205" s="81"/>
      <c r="AE205" s="81" t="b">
        <v>0</v>
      </c>
      <c r="AF205" s="81">
        <v>0</v>
      </c>
      <c r="AG205" s="85" t="s">
        <v>1162</v>
      </c>
      <c r="AH205" s="81" t="b">
        <v>0</v>
      </c>
      <c r="AI205" s="81" t="s">
        <v>1179</v>
      </c>
      <c r="AJ205" s="81"/>
      <c r="AK205" s="85" t="s">
        <v>1162</v>
      </c>
      <c r="AL205" s="81" t="b">
        <v>0</v>
      </c>
      <c r="AM205" s="81">
        <v>103</v>
      </c>
      <c r="AN205" s="85" t="s">
        <v>1134</v>
      </c>
      <c r="AO205" s="85" t="s">
        <v>1189</v>
      </c>
      <c r="AP205" s="81" t="b">
        <v>0</v>
      </c>
      <c r="AQ205" s="85" t="s">
        <v>1134</v>
      </c>
      <c r="AR205" s="81" t="s">
        <v>187</v>
      </c>
      <c r="AS205" s="81">
        <v>0</v>
      </c>
      <c r="AT205" s="81">
        <v>0</v>
      </c>
      <c r="AU205" s="81"/>
      <c r="AV205" s="81"/>
      <c r="AW205" s="81"/>
      <c r="AX205" s="81"/>
      <c r="AY205" s="81"/>
      <c r="AZ205" s="81"/>
      <c r="BA205" s="81"/>
      <c r="BB205" s="81"/>
      <c r="BC205">
        <v>1</v>
      </c>
      <c r="BD205" s="80" t="str">
        <f>REPLACE(INDEX(GroupVertices[Group],MATCH(Edges[[#This Row],[Vertex 1]],GroupVertices[Vertex],0)),1,1,"")</f>
        <v>1</v>
      </c>
      <c r="BE205" s="80" t="str">
        <f>REPLACE(INDEX(GroupVertices[Group],MATCH(Edges[[#This Row],[Vertex 2]],GroupVertices[Vertex],0)),1,1,"")</f>
        <v>1</v>
      </c>
      <c r="BF205" s="49">
        <v>0</v>
      </c>
      <c r="BG205" s="50">
        <v>0</v>
      </c>
      <c r="BH205" s="49">
        <v>0</v>
      </c>
      <c r="BI205" s="50">
        <v>0</v>
      </c>
      <c r="BJ205" s="49">
        <v>0</v>
      </c>
      <c r="BK205" s="50">
        <v>0</v>
      </c>
      <c r="BL205" s="49">
        <v>33</v>
      </c>
      <c r="BM205" s="50">
        <v>100</v>
      </c>
      <c r="BN205" s="49">
        <v>33</v>
      </c>
    </row>
    <row r="206" spans="1:66" ht="15">
      <c r="A206" s="65" t="s">
        <v>420</v>
      </c>
      <c r="B206" s="65" t="s">
        <v>479</v>
      </c>
      <c r="C206" s="66" t="s">
        <v>4392</v>
      </c>
      <c r="D206" s="67">
        <v>1</v>
      </c>
      <c r="E206" s="68" t="s">
        <v>132</v>
      </c>
      <c r="F206" s="69">
        <v>32</v>
      </c>
      <c r="G206" s="66" t="s">
        <v>51</v>
      </c>
      <c r="H206" s="70"/>
      <c r="I206" s="71"/>
      <c r="J206" s="71"/>
      <c r="K206" s="35" t="s">
        <v>65</v>
      </c>
      <c r="L206" s="79">
        <v>206</v>
      </c>
      <c r="M206" s="79"/>
      <c r="N206" s="73"/>
      <c r="O206" s="81" t="s">
        <v>504</v>
      </c>
      <c r="P206" s="83">
        <v>44644.893587962964</v>
      </c>
      <c r="Q206" s="81" t="s">
        <v>539</v>
      </c>
      <c r="R206" s="84" t="str">
        <f>HYPERLINK("https://www.hs.fi/talous/art-2000008704863.html")</f>
        <v>https://www.hs.fi/talous/art-2000008704863.html</v>
      </c>
      <c r="S206" s="81" t="s">
        <v>582</v>
      </c>
      <c r="T206" s="81"/>
      <c r="U206" s="81"/>
      <c r="V206" s="84" t="str">
        <f>HYPERLINK("https://pbs.twimg.com/profile_images/1447954525206290432/BKQfqhJE_normal.jpg")</f>
        <v>https://pbs.twimg.com/profile_images/1447954525206290432/BKQfqhJE_normal.jpg</v>
      </c>
      <c r="W206" s="83">
        <v>44644.893587962964</v>
      </c>
      <c r="X206" s="88">
        <v>44644</v>
      </c>
      <c r="Y206" s="85" t="s">
        <v>802</v>
      </c>
      <c r="Z206" s="84" t="str">
        <f>HYPERLINK("https://twitter.com/janileinospr/status/1507106673348919300")</f>
        <v>https://twitter.com/janileinospr/status/1507106673348919300</v>
      </c>
      <c r="AA206" s="81"/>
      <c r="AB206" s="81"/>
      <c r="AC206" s="85" t="s">
        <v>1071</v>
      </c>
      <c r="AD206" s="81"/>
      <c r="AE206" s="81" t="b">
        <v>0</v>
      </c>
      <c r="AF206" s="81">
        <v>0</v>
      </c>
      <c r="AG206" s="85" t="s">
        <v>1162</v>
      </c>
      <c r="AH206" s="81" t="b">
        <v>0</v>
      </c>
      <c r="AI206" s="81" t="s">
        <v>1179</v>
      </c>
      <c r="AJ206" s="81"/>
      <c r="AK206" s="85" t="s">
        <v>1162</v>
      </c>
      <c r="AL206" s="81" t="b">
        <v>0</v>
      </c>
      <c r="AM206" s="81">
        <v>103</v>
      </c>
      <c r="AN206" s="85" t="s">
        <v>1134</v>
      </c>
      <c r="AO206" s="85" t="s">
        <v>1188</v>
      </c>
      <c r="AP206" s="81" t="b">
        <v>0</v>
      </c>
      <c r="AQ206" s="85" t="s">
        <v>1134</v>
      </c>
      <c r="AR206" s="81" t="s">
        <v>187</v>
      </c>
      <c r="AS206" s="81">
        <v>0</v>
      </c>
      <c r="AT206" s="81">
        <v>0</v>
      </c>
      <c r="AU206" s="81"/>
      <c r="AV206" s="81"/>
      <c r="AW206" s="81"/>
      <c r="AX206" s="81"/>
      <c r="AY206" s="81"/>
      <c r="AZ206" s="81"/>
      <c r="BA206" s="81"/>
      <c r="BB206" s="81"/>
      <c r="BC206">
        <v>1</v>
      </c>
      <c r="BD206" s="80" t="str">
        <f>REPLACE(INDEX(GroupVertices[Group],MATCH(Edges[[#This Row],[Vertex 1]],GroupVertices[Vertex],0)),1,1,"")</f>
        <v>1</v>
      </c>
      <c r="BE206" s="80" t="str">
        <f>REPLACE(INDEX(GroupVertices[Group],MATCH(Edges[[#This Row],[Vertex 2]],GroupVertices[Vertex],0)),1,1,"")</f>
        <v>1</v>
      </c>
      <c r="BF206" s="49">
        <v>0</v>
      </c>
      <c r="BG206" s="50">
        <v>0</v>
      </c>
      <c r="BH206" s="49">
        <v>0</v>
      </c>
      <c r="BI206" s="50">
        <v>0</v>
      </c>
      <c r="BJ206" s="49">
        <v>0</v>
      </c>
      <c r="BK206" s="50">
        <v>0</v>
      </c>
      <c r="BL206" s="49">
        <v>33</v>
      </c>
      <c r="BM206" s="50">
        <v>100</v>
      </c>
      <c r="BN206" s="49">
        <v>33</v>
      </c>
    </row>
    <row r="207" spans="1:66" ht="15">
      <c r="A207" s="65" t="s">
        <v>421</v>
      </c>
      <c r="B207" s="65" t="s">
        <v>479</v>
      </c>
      <c r="C207" s="66" t="s">
        <v>4392</v>
      </c>
      <c r="D207" s="67">
        <v>1</v>
      </c>
      <c r="E207" s="68" t="s">
        <v>132</v>
      </c>
      <c r="F207" s="69">
        <v>32</v>
      </c>
      <c r="G207" s="66" t="s">
        <v>51</v>
      </c>
      <c r="H207" s="70"/>
      <c r="I207" s="71"/>
      <c r="J207" s="71"/>
      <c r="K207" s="35" t="s">
        <v>65</v>
      </c>
      <c r="L207" s="79">
        <v>207</v>
      </c>
      <c r="M207" s="79"/>
      <c r="N207" s="73"/>
      <c r="O207" s="81" t="s">
        <v>503</v>
      </c>
      <c r="P207" s="83">
        <v>44644.895844907405</v>
      </c>
      <c r="Q207" s="81" t="s">
        <v>556</v>
      </c>
      <c r="R207" s="84" t="str">
        <f>HYPERLINK("https://twitter.com/DarthPutinKGB/status/1507079035528126470")</f>
        <v>https://twitter.com/DarthPutinKGB/status/1507079035528126470</v>
      </c>
      <c r="S207" s="81" t="s">
        <v>580</v>
      </c>
      <c r="T207" s="85" t="s">
        <v>591</v>
      </c>
      <c r="U207" s="81"/>
      <c r="V207" s="84" t="str">
        <f>HYPERLINK("https://pbs.twimg.com/profile_images/1095651909623599104/rz1c1FB__normal.png")</f>
        <v>https://pbs.twimg.com/profile_images/1095651909623599104/rz1c1FB__normal.png</v>
      </c>
      <c r="W207" s="83">
        <v>44644.895844907405</v>
      </c>
      <c r="X207" s="88">
        <v>44644</v>
      </c>
      <c r="Y207" s="85" t="s">
        <v>803</v>
      </c>
      <c r="Z207" s="84" t="str">
        <f>HYPERLINK("https://twitter.com/teuvo_moisa/status/1507107492098154500")</f>
        <v>https://twitter.com/teuvo_moisa/status/1507107492098154500</v>
      </c>
      <c r="AA207" s="81"/>
      <c r="AB207" s="81"/>
      <c r="AC207" s="85" t="s">
        <v>1072</v>
      </c>
      <c r="AD207" s="81"/>
      <c r="AE207" s="81" t="b">
        <v>0</v>
      </c>
      <c r="AF207" s="81">
        <v>0</v>
      </c>
      <c r="AG207" s="85" t="s">
        <v>1162</v>
      </c>
      <c r="AH207" s="81" t="b">
        <v>1</v>
      </c>
      <c r="AI207" s="81" t="s">
        <v>1179</v>
      </c>
      <c r="AJ207" s="81"/>
      <c r="AK207" s="85" t="s">
        <v>1186</v>
      </c>
      <c r="AL207" s="81" t="b">
        <v>0</v>
      </c>
      <c r="AM207" s="81">
        <v>3</v>
      </c>
      <c r="AN207" s="85" t="s">
        <v>1079</v>
      </c>
      <c r="AO207" s="85" t="s">
        <v>1188</v>
      </c>
      <c r="AP207" s="81" t="b">
        <v>0</v>
      </c>
      <c r="AQ207" s="85" t="s">
        <v>1079</v>
      </c>
      <c r="AR207" s="81" t="s">
        <v>187</v>
      </c>
      <c r="AS207" s="81">
        <v>0</v>
      </c>
      <c r="AT207" s="81">
        <v>0</v>
      </c>
      <c r="AU207" s="81"/>
      <c r="AV207" s="81"/>
      <c r="AW207" s="81"/>
      <c r="AX207" s="81"/>
      <c r="AY207" s="81"/>
      <c r="AZ207" s="81"/>
      <c r="BA207" s="81"/>
      <c r="BB207" s="81"/>
      <c r="BC207">
        <v>1</v>
      </c>
      <c r="BD207" s="80" t="str">
        <f>REPLACE(INDEX(GroupVertices[Group],MATCH(Edges[[#This Row],[Vertex 1]],GroupVertices[Vertex],0)),1,1,"")</f>
        <v>1</v>
      </c>
      <c r="BE207" s="80" t="str">
        <f>REPLACE(INDEX(GroupVertices[Group],MATCH(Edges[[#This Row],[Vertex 2]],GroupVertices[Vertex],0)),1,1,"")</f>
        <v>1</v>
      </c>
      <c r="BF207" s="49"/>
      <c r="BG207" s="50"/>
      <c r="BH207" s="49"/>
      <c r="BI207" s="50"/>
      <c r="BJ207" s="49"/>
      <c r="BK207" s="50"/>
      <c r="BL207" s="49"/>
      <c r="BM207" s="50"/>
      <c r="BN207" s="49"/>
    </row>
    <row r="208" spans="1:66" ht="15">
      <c r="A208" s="65" t="s">
        <v>421</v>
      </c>
      <c r="B208" s="65" t="s">
        <v>428</v>
      </c>
      <c r="C208" s="66" t="s">
        <v>4392</v>
      </c>
      <c r="D208" s="67">
        <v>1</v>
      </c>
      <c r="E208" s="68" t="s">
        <v>132</v>
      </c>
      <c r="F208" s="69">
        <v>32</v>
      </c>
      <c r="G208" s="66" t="s">
        <v>51</v>
      </c>
      <c r="H208" s="70"/>
      <c r="I208" s="71"/>
      <c r="J208" s="71"/>
      <c r="K208" s="35" t="s">
        <v>65</v>
      </c>
      <c r="L208" s="79">
        <v>208</v>
      </c>
      <c r="M208" s="79"/>
      <c r="N208" s="73"/>
      <c r="O208" s="81" t="s">
        <v>504</v>
      </c>
      <c r="P208" s="83">
        <v>44644.895844907405</v>
      </c>
      <c r="Q208" s="81" t="s">
        <v>556</v>
      </c>
      <c r="R208" s="84" t="str">
        <f>HYPERLINK("https://twitter.com/DarthPutinKGB/status/1507079035528126470")</f>
        <v>https://twitter.com/DarthPutinKGB/status/1507079035528126470</v>
      </c>
      <c r="S208" s="81" t="s">
        <v>580</v>
      </c>
      <c r="T208" s="85" t="s">
        <v>591</v>
      </c>
      <c r="U208" s="81"/>
      <c r="V208" s="84" t="str">
        <f>HYPERLINK("https://pbs.twimg.com/profile_images/1095651909623599104/rz1c1FB__normal.png")</f>
        <v>https://pbs.twimg.com/profile_images/1095651909623599104/rz1c1FB__normal.png</v>
      </c>
      <c r="W208" s="83">
        <v>44644.895844907405</v>
      </c>
      <c r="X208" s="88">
        <v>44644</v>
      </c>
      <c r="Y208" s="85" t="s">
        <v>803</v>
      </c>
      <c r="Z208" s="84" t="str">
        <f>HYPERLINK("https://twitter.com/teuvo_moisa/status/1507107492098154500")</f>
        <v>https://twitter.com/teuvo_moisa/status/1507107492098154500</v>
      </c>
      <c r="AA208" s="81"/>
      <c r="AB208" s="81"/>
      <c r="AC208" s="85" t="s">
        <v>1072</v>
      </c>
      <c r="AD208" s="81"/>
      <c r="AE208" s="81" t="b">
        <v>0</v>
      </c>
      <c r="AF208" s="81">
        <v>0</v>
      </c>
      <c r="AG208" s="85" t="s">
        <v>1162</v>
      </c>
      <c r="AH208" s="81" t="b">
        <v>1</v>
      </c>
      <c r="AI208" s="81" t="s">
        <v>1179</v>
      </c>
      <c r="AJ208" s="81"/>
      <c r="AK208" s="85" t="s">
        <v>1186</v>
      </c>
      <c r="AL208" s="81" t="b">
        <v>0</v>
      </c>
      <c r="AM208" s="81">
        <v>3</v>
      </c>
      <c r="AN208" s="85" t="s">
        <v>1079</v>
      </c>
      <c r="AO208" s="85" t="s">
        <v>1188</v>
      </c>
      <c r="AP208" s="81" t="b">
        <v>0</v>
      </c>
      <c r="AQ208" s="85" t="s">
        <v>1079</v>
      </c>
      <c r="AR208" s="81" t="s">
        <v>187</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1</v>
      </c>
      <c r="BF208" s="49">
        <v>0</v>
      </c>
      <c r="BG208" s="50">
        <v>0</v>
      </c>
      <c r="BH208" s="49">
        <v>0</v>
      </c>
      <c r="BI208" s="50">
        <v>0</v>
      </c>
      <c r="BJ208" s="49">
        <v>0</v>
      </c>
      <c r="BK208" s="50">
        <v>0</v>
      </c>
      <c r="BL208" s="49">
        <v>22</v>
      </c>
      <c r="BM208" s="50">
        <v>100</v>
      </c>
      <c r="BN208" s="49">
        <v>22</v>
      </c>
    </row>
    <row r="209" spans="1:66" ht="15">
      <c r="A209" s="65" t="s">
        <v>422</v>
      </c>
      <c r="B209" s="65" t="s">
        <v>479</v>
      </c>
      <c r="C209" s="66" t="s">
        <v>4392</v>
      </c>
      <c r="D209" s="67">
        <v>1</v>
      </c>
      <c r="E209" s="68" t="s">
        <v>132</v>
      </c>
      <c r="F209" s="69">
        <v>32</v>
      </c>
      <c r="G209" s="66" t="s">
        <v>51</v>
      </c>
      <c r="H209" s="70"/>
      <c r="I209" s="71"/>
      <c r="J209" s="71"/>
      <c r="K209" s="35" t="s">
        <v>65</v>
      </c>
      <c r="L209" s="79">
        <v>209</v>
      </c>
      <c r="M209" s="79"/>
      <c r="N209" s="73"/>
      <c r="O209" s="81" t="s">
        <v>504</v>
      </c>
      <c r="P209" s="83">
        <v>44644.911840277775</v>
      </c>
      <c r="Q209" s="81" t="s">
        <v>539</v>
      </c>
      <c r="R209" s="84" t="str">
        <f>HYPERLINK("https://www.hs.fi/talous/art-2000008704863.html")</f>
        <v>https://www.hs.fi/talous/art-2000008704863.html</v>
      </c>
      <c r="S209" s="81" t="s">
        <v>582</v>
      </c>
      <c r="T209" s="81"/>
      <c r="U209" s="81"/>
      <c r="V209" s="84" t="str">
        <f>HYPERLINK("https://pbs.twimg.com/profile_images/1404240593853747205/X1lNIY5x_normal.jpg")</f>
        <v>https://pbs.twimg.com/profile_images/1404240593853747205/X1lNIY5x_normal.jpg</v>
      </c>
      <c r="W209" s="83">
        <v>44644.911840277775</v>
      </c>
      <c r="X209" s="88">
        <v>44644</v>
      </c>
      <c r="Y209" s="85" t="s">
        <v>804</v>
      </c>
      <c r="Z209" s="84" t="str">
        <f>HYPERLINK("https://twitter.com/riikkamarip/status/1507113288861204496")</f>
        <v>https://twitter.com/riikkamarip/status/1507113288861204496</v>
      </c>
      <c r="AA209" s="81"/>
      <c r="AB209" s="81"/>
      <c r="AC209" s="85" t="s">
        <v>1073</v>
      </c>
      <c r="AD209" s="81"/>
      <c r="AE209" s="81" t="b">
        <v>0</v>
      </c>
      <c r="AF209" s="81">
        <v>0</v>
      </c>
      <c r="AG209" s="85" t="s">
        <v>1162</v>
      </c>
      <c r="AH209" s="81" t="b">
        <v>0</v>
      </c>
      <c r="AI209" s="81" t="s">
        <v>1179</v>
      </c>
      <c r="AJ209" s="81"/>
      <c r="AK209" s="85" t="s">
        <v>1162</v>
      </c>
      <c r="AL209" s="81" t="b">
        <v>0</v>
      </c>
      <c r="AM209" s="81">
        <v>103</v>
      </c>
      <c r="AN209" s="85" t="s">
        <v>1134</v>
      </c>
      <c r="AO209" s="85" t="s">
        <v>1189</v>
      </c>
      <c r="AP209" s="81" t="b">
        <v>0</v>
      </c>
      <c r="AQ209" s="85" t="s">
        <v>1134</v>
      </c>
      <c r="AR209" s="81" t="s">
        <v>187</v>
      </c>
      <c r="AS209" s="81">
        <v>0</v>
      </c>
      <c r="AT209" s="81">
        <v>0</v>
      </c>
      <c r="AU209" s="81"/>
      <c r="AV209" s="81"/>
      <c r="AW209" s="81"/>
      <c r="AX209" s="81"/>
      <c r="AY209" s="81"/>
      <c r="AZ209" s="81"/>
      <c r="BA209" s="81"/>
      <c r="BB209" s="81"/>
      <c r="BC209">
        <v>1</v>
      </c>
      <c r="BD209" s="80" t="str">
        <f>REPLACE(INDEX(GroupVertices[Group],MATCH(Edges[[#This Row],[Vertex 1]],GroupVertices[Vertex],0)),1,1,"")</f>
        <v>1</v>
      </c>
      <c r="BE209" s="80" t="str">
        <f>REPLACE(INDEX(GroupVertices[Group],MATCH(Edges[[#This Row],[Vertex 2]],GroupVertices[Vertex],0)),1,1,"")</f>
        <v>1</v>
      </c>
      <c r="BF209" s="49">
        <v>0</v>
      </c>
      <c r="BG209" s="50">
        <v>0</v>
      </c>
      <c r="BH209" s="49">
        <v>0</v>
      </c>
      <c r="BI209" s="50">
        <v>0</v>
      </c>
      <c r="BJ209" s="49">
        <v>0</v>
      </c>
      <c r="BK209" s="50">
        <v>0</v>
      </c>
      <c r="BL209" s="49">
        <v>33</v>
      </c>
      <c r="BM209" s="50">
        <v>100</v>
      </c>
      <c r="BN209" s="49">
        <v>33</v>
      </c>
    </row>
    <row r="210" spans="1:66" ht="15">
      <c r="A210" s="65" t="s">
        <v>423</v>
      </c>
      <c r="B210" s="65" t="s">
        <v>479</v>
      </c>
      <c r="C210" s="66" t="s">
        <v>4392</v>
      </c>
      <c r="D210" s="67">
        <v>1</v>
      </c>
      <c r="E210" s="68" t="s">
        <v>132</v>
      </c>
      <c r="F210" s="69">
        <v>32</v>
      </c>
      <c r="G210" s="66" t="s">
        <v>51</v>
      </c>
      <c r="H210" s="70"/>
      <c r="I210" s="71"/>
      <c r="J210" s="71"/>
      <c r="K210" s="35" t="s">
        <v>65</v>
      </c>
      <c r="L210" s="79">
        <v>210</v>
      </c>
      <c r="M210" s="79"/>
      <c r="N210" s="73"/>
      <c r="O210" s="81" t="s">
        <v>504</v>
      </c>
      <c r="P210" s="83">
        <v>44644.9308912037</v>
      </c>
      <c r="Q210" s="81" t="s">
        <v>539</v>
      </c>
      <c r="R210" s="84" t="str">
        <f>HYPERLINK("https://www.hs.fi/talous/art-2000008704863.html")</f>
        <v>https://www.hs.fi/talous/art-2000008704863.html</v>
      </c>
      <c r="S210" s="81" t="s">
        <v>582</v>
      </c>
      <c r="T210" s="81"/>
      <c r="U210" s="81"/>
      <c r="V210" s="84" t="str">
        <f>HYPERLINK("https://pbs.twimg.com/profile_images/1215618528231022592/W-7FaGr2_normal.jpg")</f>
        <v>https://pbs.twimg.com/profile_images/1215618528231022592/W-7FaGr2_normal.jpg</v>
      </c>
      <c r="W210" s="83">
        <v>44644.9308912037</v>
      </c>
      <c r="X210" s="88">
        <v>44644</v>
      </c>
      <c r="Y210" s="85" t="s">
        <v>805</v>
      </c>
      <c r="Z210" s="84" t="str">
        <f>HYPERLINK("https://twitter.com/holmesianna/status/1507120193209831427")</f>
        <v>https://twitter.com/holmesianna/status/1507120193209831427</v>
      </c>
      <c r="AA210" s="81"/>
      <c r="AB210" s="81"/>
      <c r="AC210" s="85" t="s">
        <v>1074</v>
      </c>
      <c r="AD210" s="81"/>
      <c r="AE210" s="81" t="b">
        <v>0</v>
      </c>
      <c r="AF210" s="81">
        <v>0</v>
      </c>
      <c r="AG210" s="85" t="s">
        <v>1162</v>
      </c>
      <c r="AH210" s="81" t="b">
        <v>0</v>
      </c>
      <c r="AI210" s="81" t="s">
        <v>1179</v>
      </c>
      <c r="AJ210" s="81"/>
      <c r="AK210" s="85" t="s">
        <v>1162</v>
      </c>
      <c r="AL210" s="81" t="b">
        <v>0</v>
      </c>
      <c r="AM210" s="81">
        <v>103</v>
      </c>
      <c r="AN210" s="85" t="s">
        <v>1134</v>
      </c>
      <c r="AO210" s="85" t="s">
        <v>1188</v>
      </c>
      <c r="AP210" s="81" t="b">
        <v>0</v>
      </c>
      <c r="AQ210" s="85" t="s">
        <v>1134</v>
      </c>
      <c r="AR210" s="81" t="s">
        <v>187</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1</v>
      </c>
      <c r="BF210" s="49">
        <v>0</v>
      </c>
      <c r="BG210" s="50">
        <v>0</v>
      </c>
      <c r="BH210" s="49">
        <v>0</v>
      </c>
      <c r="BI210" s="50">
        <v>0</v>
      </c>
      <c r="BJ210" s="49">
        <v>0</v>
      </c>
      <c r="BK210" s="50">
        <v>0</v>
      </c>
      <c r="BL210" s="49">
        <v>33</v>
      </c>
      <c r="BM210" s="50">
        <v>100</v>
      </c>
      <c r="BN210" s="49">
        <v>33</v>
      </c>
    </row>
    <row r="211" spans="1:66" ht="15">
      <c r="A211" s="65" t="s">
        <v>424</v>
      </c>
      <c r="B211" s="65" t="s">
        <v>479</v>
      </c>
      <c r="C211" s="66" t="s">
        <v>4392</v>
      </c>
      <c r="D211" s="67">
        <v>1</v>
      </c>
      <c r="E211" s="68" t="s">
        <v>132</v>
      </c>
      <c r="F211" s="69">
        <v>32</v>
      </c>
      <c r="G211" s="66" t="s">
        <v>51</v>
      </c>
      <c r="H211" s="70"/>
      <c r="I211" s="71"/>
      <c r="J211" s="71"/>
      <c r="K211" s="35" t="s">
        <v>65</v>
      </c>
      <c r="L211" s="79">
        <v>211</v>
      </c>
      <c r="M211" s="79"/>
      <c r="N211" s="73"/>
      <c r="O211" s="81" t="s">
        <v>504</v>
      </c>
      <c r="P211" s="83">
        <v>44644.93528935185</v>
      </c>
      <c r="Q211" s="81" t="s">
        <v>539</v>
      </c>
      <c r="R211" s="84" t="str">
        <f>HYPERLINK("https://www.hs.fi/talous/art-2000008704863.html")</f>
        <v>https://www.hs.fi/talous/art-2000008704863.html</v>
      </c>
      <c r="S211" s="81" t="s">
        <v>582</v>
      </c>
      <c r="T211" s="81"/>
      <c r="U211" s="81"/>
      <c r="V211" s="84" t="str">
        <f>HYPERLINK("https://pbs.twimg.com/profile_images/1487884066645020674/qL_y6raC_normal.jpg")</f>
        <v>https://pbs.twimg.com/profile_images/1487884066645020674/qL_y6raC_normal.jpg</v>
      </c>
      <c r="W211" s="83">
        <v>44644.93528935185</v>
      </c>
      <c r="X211" s="88">
        <v>44644</v>
      </c>
      <c r="Y211" s="85" t="s">
        <v>806</v>
      </c>
      <c r="Z211" s="84" t="str">
        <f>HYPERLINK("https://twitter.com/menchichannn/status/1507121785946443785")</f>
        <v>https://twitter.com/menchichannn/status/1507121785946443785</v>
      </c>
      <c r="AA211" s="81"/>
      <c r="AB211" s="81"/>
      <c r="AC211" s="85" t="s">
        <v>1075</v>
      </c>
      <c r="AD211" s="81"/>
      <c r="AE211" s="81" t="b">
        <v>0</v>
      </c>
      <c r="AF211" s="81">
        <v>0</v>
      </c>
      <c r="AG211" s="85" t="s">
        <v>1162</v>
      </c>
      <c r="AH211" s="81" t="b">
        <v>0</v>
      </c>
      <c r="AI211" s="81" t="s">
        <v>1179</v>
      </c>
      <c r="AJ211" s="81"/>
      <c r="AK211" s="85" t="s">
        <v>1162</v>
      </c>
      <c r="AL211" s="81" t="b">
        <v>0</v>
      </c>
      <c r="AM211" s="81">
        <v>103</v>
      </c>
      <c r="AN211" s="85" t="s">
        <v>1134</v>
      </c>
      <c r="AO211" s="85" t="s">
        <v>1189</v>
      </c>
      <c r="AP211" s="81" t="b">
        <v>0</v>
      </c>
      <c r="AQ211" s="85" t="s">
        <v>1134</v>
      </c>
      <c r="AR211" s="81" t="s">
        <v>187</v>
      </c>
      <c r="AS211" s="81">
        <v>0</v>
      </c>
      <c r="AT211" s="81">
        <v>0</v>
      </c>
      <c r="AU211" s="81"/>
      <c r="AV211" s="81"/>
      <c r="AW211" s="81"/>
      <c r="AX211" s="81"/>
      <c r="AY211" s="81"/>
      <c r="AZ211" s="81"/>
      <c r="BA211" s="81"/>
      <c r="BB211" s="81"/>
      <c r="BC211">
        <v>1</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33</v>
      </c>
      <c r="BM211" s="50">
        <v>100</v>
      </c>
      <c r="BN211" s="49">
        <v>33</v>
      </c>
    </row>
    <row r="212" spans="1:66" ht="15">
      <c r="A212" s="65" t="s">
        <v>425</v>
      </c>
      <c r="B212" s="65" t="s">
        <v>479</v>
      </c>
      <c r="C212" s="66" t="s">
        <v>4392</v>
      </c>
      <c r="D212" s="67">
        <v>1</v>
      </c>
      <c r="E212" s="68" t="s">
        <v>132</v>
      </c>
      <c r="F212" s="69">
        <v>32</v>
      </c>
      <c r="G212" s="66" t="s">
        <v>51</v>
      </c>
      <c r="H212" s="70"/>
      <c r="I212" s="71"/>
      <c r="J212" s="71"/>
      <c r="K212" s="35" t="s">
        <v>65</v>
      </c>
      <c r="L212" s="79">
        <v>212</v>
      </c>
      <c r="M212" s="79"/>
      <c r="N212" s="73"/>
      <c r="O212" s="81" t="s">
        <v>504</v>
      </c>
      <c r="P212" s="83">
        <v>44644.95704861111</v>
      </c>
      <c r="Q212" s="81" t="s">
        <v>539</v>
      </c>
      <c r="R212" s="84" t="str">
        <f>HYPERLINK("https://www.hs.fi/talous/art-2000008704863.html")</f>
        <v>https://www.hs.fi/talous/art-2000008704863.html</v>
      </c>
      <c r="S212" s="81" t="s">
        <v>582</v>
      </c>
      <c r="T212" s="81"/>
      <c r="U212" s="81"/>
      <c r="V212" s="84" t="str">
        <f>HYPERLINK("https://pbs.twimg.com/profile_images/1477043677792981001/qnGLDEjk_normal.jpg")</f>
        <v>https://pbs.twimg.com/profile_images/1477043677792981001/qnGLDEjk_normal.jpg</v>
      </c>
      <c r="W212" s="83">
        <v>44644.95704861111</v>
      </c>
      <c r="X212" s="88">
        <v>44644</v>
      </c>
      <c r="Y212" s="85" t="s">
        <v>807</v>
      </c>
      <c r="Z212" s="84" t="str">
        <f>HYPERLINK("https://twitter.com/kindly_anni/status/1507129670755565571")</f>
        <v>https://twitter.com/kindly_anni/status/1507129670755565571</v>
      </c>
      <c r="AA212" s="81"/>
      <c r="AB212" s="81"/>
      <c r="AC212" s="85" t="s">
        <v>1076</v>
      </c>
      <c r="AD212" s="81"/>
      <c r="AE212" s="81" t="b">
        <v>0</v>
      </c>
      <c r="AF212" s="81">
        <v>0</v>
      </c>
      <c r="AG212" s="85" t="s">
        <v>1162</v>
      </c>
      <c r="AH212" s="81" t="b">
        <v>0</v>
      </c>
      <c r="AI212" s="81" t="s">
        <v>1179</v>
      </c>
      <c r="AJ212" s="81"/>
      <c r="AK212" s="85" t="s">
        <v>1162</v>
      </c>
      <c r="AL212" s="81" t="b">
        <v>0</v>
      </c>
      <c r="AM212" s="81">
        <v>103</v>
      </c>
      <c r="AN212" s="85" t="s">
        <v>1134</v>
      </c>
      <c r="AO212" s="85" t="s">
        <v>1189</v>
      </c>
      <c r="AP212" s="81" t="b">
        <v>0</v>
      </c>
      <c r="AQ212" s="85" t="s">
        <v>1134</v>
      </c>
      <c r="AR212" s="81" t="s">
        <v>187</v>
      </c>
      <c r="AS212" s="81">
        <v>0</v>
      </c>
      <c r="AT212" s="81">
        <v>0</v>
      </c>
      <c r="AU212" s="81"/>
      <c r="AV212" s="81"/>
      <c r="AW212" s="81"/>
      <c r="AX212" s="81"/>
      <c r="AY212" s="81"/>
      <c r="AZ212" s="81"/>
      <c r="BA212" s="81"/>
      <c r="BB212" s="81"/>
      <c r="BC212">
        <v>1</v>
      </c>
      <c r="BD212" s="80" t="str">
        <f>REPLACE(INDEX(GroupVertices[Group],MATCH(Edges[[#This Row],[Vertex 1]],GroupVertices[Vertex],0)),1,1,"")</f>
        <v>1</v>
      </c>
      <c r="BE212" s="80" t="str">
        <f>REPLACE(INDEX(GroupVertices[Group],MATCH(Edges[[#This Row],[Vertex 2]],GroupVertices[Vertex],0)),1,1,"")</f>
        <v>1</v>
      </c>
      <c r="BF212" s="49">
        <v>0</v>
      </c>
      <c r="BG212" s="50">
        <v>0</v>
      </c>
      <c r="BH212" s="49">
        <v>0</v>
      </c>
      <c r="BI212" s="50">
        <v>0</v>
      </c>
      <c r="BJ212" s="49">
        <v>0</v>
      </c>
      <c r="BK212" s="50">
        <v>0</v>
      </c>
      <c r="BL212" s="49">
        <v>33</v>
      </c>
      <c r="BM212" s="50">
        <v>100</v>
      </c>
      <c r="BN212" s="49">
        <v>33</v>
      </c>
    </row>
    <row r="213" spans="1:66" ht="15">
      <c r="A213" s="65" t="s">
        <v>426</v>
      </c>
      <c r="B213" s="65" t="s">
        <v>479</v>
      </c>
      <c r="C213" s="66" t="s">
        <v>4392</v>
      </c>
      <c r="D213" s="67">
        <v>1</v>
      </c>
      <c r="E213" s="68" t="s">
        <v>132</v>
      </c>
      <c r="F213" s="69">
        <v>32</v>
      </c>
      <c r="G213" s="66" t="s">
        <v>51</v>
      </c>
      <c r="H213" s="70"/>
      <c r="I213" s="71"/>
      <c r="J213" s="71"/>
      <c r="K213" s="35" t="s">
        <v>65</v>
      </c>
      <c r="L213" s="79">
        <v>213</v>
      </c>
      <c r="M213" s="79"/>
      <c r="N213" s="73"/>
      <c r="O213" s="81" t="s">
        <v>504</v>
      </c>
      <c r="P213" s="83">
        <v>44644.99815972222</v>
      </c>
      <c r="Q213" s="81" t="s">
        <v>539</v>
      </c>
      <c r="R213" s="84" t="str">
        <f>HYPERLINK("https://www.hs.fi/talous/art-2000008704863.html")</f>
        <v>https://www.hs.fi/talous/art-2000008704863.html</v>
      </c>
      <c r="S213" s="81" t="s">
        <v>582</v>
      </c>
      <c r="T213" s="81"/>
      <c r="U213" s="81"/>
      <c r="V213" s="84" t="str">
        <f>HYPERLINK("https://abs.twimg.com/sticky/default_profile_images/default_profile_normal.png")</f>
        <v>https://abs.twimg.com/sticky/default_profile_images/default_profile_normal.png</v>
      </c>
      <c r="W213" s="83">
        <v>44644.99815972222</v>
      </c>
      <c r="X213" s="88">
        <v>44644</v>
      </c>
      <c r="Y213" s="85" t="s">
        <v>808</v>
      </c>
      <c r="Z213" s="84" t="str">
        <f>HYPERLINK("https://twitter.com/jankoski15/status/1507144570177572867")</f>
        <v>https://twitter.com/jankoski15/status/1507144570177572867</v>
      </c>
      <c r="AA213" s="81"/>
      <c r="AB213" s="81"/>
      <c r="AC213" s="85" t="s">
        <v>1077</v>
      </c>
      <c r="AD213" s="81"/>
      <c r="AE213" s="81" t="b">
        <v>0</v>
      </c>
      <c r="AF213" s="81">
        <v>0</v>
      </c>
      <c r="AG213" s="85" t="s">
        <v>1162</v>
      </c>
      <c r="AH213" s="81" t="b">
        <v>0</v>
      </c>
      <c r="AI213" s="81" t="s">
        <v>1179</v>
      </c>
      <c r="AJ213" s="81"/>
      <c r="AK213" s="85" t="s">
        <v>1162</v>
      </c>
      <c r="AL213" s="81" t="b">
        <v>0</v>
      </c>
      <c r="AM213" s="81">
        <v>103</v>
      </c>
      <c r="AN213" s="85" t="s">
        <v>1134</v>
      </c>
      <c r="AO213" s="85" t="s">
        <v>1188</v>
      </c>
      <c r="AP213" s="81" t="b">
        <v>0</v>
      </c>
      <c r="AQ213" s="85" t="s">
        <v>1134</v>
      </c>
      <c r="AR213" s="81" t="s">
        <v>187</v>
      </c>
      <c r="AS213" s="81">
        <v>0</v>
      </c>
      <c r="AT213" s="81">
        <v>0</v>
      </c>
      <c r="AU213" s="81"/>
      <c r="AV213" s="81"/>
      <c r="AW213" s="81"/>
      <c r="AX213" s="81"/>
      <c r="AY213" s="81"/>
      <c r="AZ213" s="81"/>
      <c r="BA213" s="81"/>
      <c r="BB213" s="81"/>
      <c r="BC213">
        <v>1</v>
      </c>
      <c r="BD213" s="80" t="str">
        <f>REPLACE(INDEX(GroupVertices[Group],MATCH(Edges[[#This Row],[Vertex 1]],GroupVertices[Vertex],0)),1,1,"")</f>
        <v>1</v>
      </c>
      <c r="BE213" s="80" t="str">
        <f>REPLACE(INDEX(GroupVertices[Group],MATCH(Edges[[#This Row],[Vertex 2]],GroupVertices[Vertex],0)),1,1,"")</f>
        <v>1</v>
      </c>
      <c r="BF213" s="49">
        <v>0</v>
      </c>
      <c r="BG213" s="50">
        <v>0</v>
      </c>
      <c r="BH213" s="49">
        <v>0</v>
      </c>
      <c r="BI213" s="50">
        <v>0</v>
      </c>
      <c r="BJ213" s="49">
        <v>0</v>
      </c>
      <c r="BK213" s="50">
        <v>0</v>
      </c>
      <c r="BL213" s="49">
        <v>33</v>
      </c>
      <c r="BM213" s="50">
        <v>100</v>
      </c>
      <c r="BN213" s="49">
        <v>33</v>
      </c>
    </row>
    <row r="214" spans="1:66" ht="15">
      <c r="A214" s="65" t="s">
        <v>427</v>
      </c>
      <c r="B214" s="65" t="s">
        <v>479</v>
      </c>
      <c r="C214" s="66" t="s">
        <v>4392</v>
      </c>
      <c r="D214" s="67">
        <v>1</v>
      </c>
      <c r="E214" s="68" t="s">
        <v>132</v>
      </c>
      <c r="F214" s="69">
        <v>32</v>
      </c>
      <c r="G214" s="66" t="s">
        <v>51</v>
      </c>
      <c r="H214" s="70"/>
      <c r="I214" s="71"/>
      <c r="J214" s="71"/>
      <c r="K214" s="35" t="s">
        <v>65</v>
      </c>
      <c r="L214" s="79">
        <v>214</v>
      </c>
      <c r="M214" s="79"/>
      <c r="N214" s="73"/>
      <c r="O214" s="81" t="s">
        <v>504</v>
      </c>
      <c r="P214" s="83">
        <v>44645.0597337963</v>
      </c>
      <c r="Q214" s="81" t="s">
        <v>539</v>
      </c>
      <c r="R214" s="84" t="str">
        <f>HYPERLINK("https://www.hs.fi/talous/art-2000008704863.html")</f>
        <v>https://www.hs.fi/talous/art-2000008704863.html</v>
      </c>
      <c r="S214" s="81" t="s">
        <v>582</v>
      </c>
      <c r="T214" s="81"/>
      <c r="U214" s="81"/>
      <c r="V214" s="84" t="str">
        <f>HYPERLINK("https://pbs.twimg.com/profile_images/1491518059122761735/xI0B3afV_normal.jpg")</f>
        <v>https://pbs.twimg.com/profile_images/1491518059122761735/xI0B3afV_normal.jpg</v>
      </c>
      <c r="W214" s="83">
        <v>44645.0597337963</v>
      </c>
      <c r="X214" s="88">
        <v>44645</v>
      </c>
      <c r="Y214" s="85" t="s">
        <v>809</v>
      </c>
      <c r="Z214" s="84" t="str">
        <f>HYPERLINK("https://twitter.com/knifebackhouse/status/1507166884705280005")</f>
        <v>https://twitter.com/knifebackhouse/status/1507166884705280005</v>
      </c>
      <c r="AA214" s="81"/>
      <c r="AB214" s="81"/>
      <c r="AC214" s="85" t="s">
        <v>1078</v>
      </c>
      <c r="AD214" s="81"/>
      <c r="AE214" s="81" t="b">
        <v>0</v>
      </c>
      <c r="AF214" s="81">
        <v>0</v>
      </c>
      <c r="AG214" s="85" t="s">
        <v>1162</v>
      </c>
      <c r="AH214" s="81" t="b">
        <v>0</v>
      </c>
      <c r="AI214" s="81" t="s">
        <v>1179</v>
      </c>
      <c r="AJ214" s="81"/>
      <c r="AK214" s="85" t="s">
        <v>1162</v>
      </c>
      <c r="AL214" s="81" t="b">
        <v>0</v>
      </c>
      <c r="AM214" s="81">
        <v>103</v>
      </c>
      <c r="AN214" s="85" t="s">
        <v>1134</v>
      </c>
      <c r="AO214" s="85" t="s">
        <v>1188</v>
      </c>
      <c r="AP214" s="81" t="b">
        <v>0</v>
      </c>
      <c r="AQ214" s="85" t="s">
        <v>1134</v>
      </c>
      <c r="AR214" s="81" t="s">
        <v>187</v>
      </c>
      <c r="AS214" s="81">
        <v>0</v>
      </c>
      <c r="AT214" s="81">
        <v>0</v>
      </c>
      <c r="AU214" s="81"/>
      <c r="AV214" s="81"/>
      <c r="AW214" s="81"/>
      <c r="AX214" s="81"/>
      <c r="AY214" s="81"/>
      <c r="AZ214" s="81"/>
      <c r="BA214" s="81"/>
      <c r="BB214" s="81"/>
      <c r="BC214">
        <v>1</v>
      </c>
      <c r="BD214" s="80" t="str">
        <f>REPLACE(INDEX(GroupVertices[Group],MATCH(Edges[[#This Row],[Vertex 1]],GroupVertices[Vertex],0)),1,1,"")</f>
        <v>1</v>
      </c>
      <c r="BE214" s="80" t="str">
        <f>REPLACE(INDEX(GroupVertices[Group],MATCH(Edges[[#This Row],[Vertex 2]],GroupVertices[Vertex],0)),1,1,"")</f>
        <v>1</v>
      </c>
      <c r="BF214" s="49">
        <v>0</v>
      </c>
      <c r="BG214" s="50">
        <v>0</v>
      </c>
      <c r="BH214" s="49">
        <v>0</v>
      </c>
      <c r="BI214" s="50">
        <v>0</v>
      </c>
      <c r="BJ214" s="49">
        <v>0</v>
      </c>
      <c r="BK214" s="50">
        <v>0</v>
      </c>
      <c r="BL214" s="49">
        <v>33</v>
      </c>
      <c r="BM214" s="50">
        <v>100</v>
      </c>
      <c r="BN214" s="49">
        <v>33</v>
      </c>
    </row>
    <row r="215" spans="1:66" ht="15">
      <c r="A215" s="65" t="s">
        <v>428</v>
      </c>
      <c r="B215" s="65" t="s">
        <v>479</v>
      </c>
      <c r="C215" s="66" t="s">
        <v>4392</v>
      </c>
      <c r="D215" s="67">
        <v>1</v>
      </c>
      <c r="E215" s="68" t="s">
        <v>132</v>
      </c>
      <c r="F215" s="69">
        <v>32</v>
      </c>
      <c r="G215" s="66" t="s">
        <v>51</v>
      </c>
      <c r="H215" s="70"/>
      <c r="I215" s="71"/>
      <c r="J215" s="71"/>
      <c r="K215" s="35" t="s">
        <v>65</v>
      </c>
      <c r="L215" s="79">
        <v>215</v>
      </c>
      <c r="M215" s="79"/>
      <c r="N215" s="73"/>
      <c r="O215" s="81" t="s">
        <v>501</v>
      </c>
      <c r="P215" s="83">
        <v>44644.840636574074</v>
      </c>
      <c r="Q215" s="81" t="s">
        <v>556</v>
      </c>
      <c r="R215" s="84" t="str">
        <f>HYPERLINK("https://twitter.com/DarthPutinKGB/status/1507079035528126470")</f>
        <v>https://twitter.com/DarthPutinKGB/status/1507079035528126470</v>
      </c>
      <c r="S215" s="81" t="s">
        <v>580</v>
      </c>
      <c r="T215" s="85" t="s">
        <v>591</v>
      </c>
      <c r="U215" s="81"/>
      <c r="V215" s="84" t="str">
        <f>HYPERLINK("https://pbs.twimg.com/profile_images/1453806723001618432/KTbN1yZ3_normal.jpg")</f>
        <v>https://pbs.twimg.com/profile_images/1453806723001618432/KTbN1yZ3_normal.jpg</v>
      </c>
      <c r="W215" s="83">
        <v>44644.840636574074</v>
      </c>
      <c r="X215" s="88">
        <v>44644</v>
      </c>
      <c r="Y215" s="85" t="s">
        <v>810</v>
      </c>
      <c r="Z215" s="84" t="str">
        <f>HYPERLINK("https://twitter.com/mattimuukkonen/status/1507087487281283075")</f>
        <v>https://twitter.com/mattimuukkonen/status/1507087487281283075</v>
      </c>
      <c r="AA215" s="81"/>
      <c r="AB215" s="81"/>
      <c r="AC215" s="85" t="s">
        <v>1079</v>
      </c>
      <c r="AD215" s="81"/>
      <c r="AE215" s="81" t="b">
        <v>0</v>
      </c>
      <c r="AF215" s="81">
        <v>55</v>
      </c>
      <c r="AG215" s="85" t="s">
        <v>1162</v>
      </c>
      <c r="AH215" s="81" t="b">
        <v>1</v>
      </c>
      <c r="AI215" s="81" t="s">
        <v>1179</v>
      </c>
      <c r="AJ215" s="81"/>
      <c r="AK215" s="85" t="s">
        <v>1186</v>
      </c>
      <c r="AL215" s="81" t="b">
        <v>0</v>
      </c>
      <c r="AM215" s="81">
        <v>3</v>
      </c>
      <c r="AN215" s="85" t="s">
        <v>1162</v>
      </c>
      <c r="AO215" s="85" t="s">
        <v>1189</v>
      </c>
      <c r="AP215" s="81" t="b">
        <v>0</v>
      </c>
      <c r="AQ215" s="85" t="s">
        <v>1079</v>
      </c>
      <c r="AR215" s="81" t="s">
        <v>187</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0</v>
      </c>
      <c r="BG215" s="50">
        <v>0</v>
      </c>
      <c r="BH215" s="49">
        <v>0</v>
      </c>
      <c r="BI215" s="50">
        <v>0</v>
      </c>
      <c r="BJ215" s="49">
        <v>0</v>
      </c>
      <c r="BK215" s="50">
        <v>0</v>
      </c>
      <c r="BL215" s="49">
        <v>22</v>
      </c>
      <c r="BM215" s="50">
        <v>100</v>
      </c>
      <c r="BN215" s="49">
        <v>22</v>
      </c>
    </row>
    <row r="216" spans="1:66" ht="15">
      <c r="A216" s="65" t="s">
        <v>429</v>
      </c>
      <c r="B216" s="65" t="s">
        <v>428</v>
      </c>
      <c r="C216" s="66" t="s">
        <v>4392</v>
      </c>
      <c r="D216" s="67">
        <v>1</v>
      </c>
      <c r="E216" s="68" t="s">
        <v>132</v>
      </c>
      <c r="F216" s="69">
        <v>32</v>
      </c>
      <c r="G216" s="66" t="s">
        <v>51</v>
      </c>
      <c r="H216" s="70"/>
      <c r="I216" s="71"/>
      <c r="J216" s="71"/>
      <c r="K216" s="35" t="s">
        <v>65</v>
      </c>
      <c r="L216" s="79">
        <v>216</v>
      </c>
      <c r="M216" s="79"/>
      <c r="N216" s="73"/>
      <c r="O216" s="81" t="s">
        <v>504</v>
      </c>
      <c r="P216" s="83">
        <v>44645.17822916667</v>
      </c>
      <c r="Q216" s="81" t="s">
        <v>556</v>
      </c>
      <c r="R216" s="84" t="str">
        <f>HYPERLINK("https://twitter.com/DarthPutinKGB/status/1507079035528126470")</f>
        <v>https://twitter.com/DarthPutinKGB/status/1507079035528126470</v>
      </c>
      <c r="S216" s="81" t="s">
        <v>580</v>
      </c>
      <c r="T216" s="85" t="s">
        <v>591</v>
      </c>
      <c r="U216" s="81"/>
      <c r="V216" s="84" t="str">
        <f>HYPERLINK("https://pbs.twimg.com/profile_images/1385081862285049856/c9qrhMm4_normal.jpg")</f>
        <v>https://pbs.twimg.com/profile_images/1385081862285049856/c9qrhMm4_normal.jpg</v>
      </c>
      <c r="W216" s="83">
        <v>44645.17822916667</v>
      </c>
      <c r="X216" s="88">
        <v>44645</v>
      </c>
      <c r="Y216" s="85" t="s">
        <v>811</v>
      </c>
      <c r="Z216" s="84" t="str">
        <f>HYPERLINK("https://twitter.com/suvirvainio/status/1507209823540195330")</f>
        <v>https://twitter.com/suvirvainio/status/1507209823540195330</v>
      </c>
      <c r="AA216" s="81"/>
      <c r="AB216" s="81"/>
      <c r="AC216" s="85" t="s">
        <v>1080</v>
      </c>
      <c r="AD216" s="81"/>
      <c r="AE216" s="81" t="b">
        <v>0</v>
      </c>
      <c r="AF216" s="81">
        <v>0</v>
      </c>
      <c r="AG216" s="85" t="s">
        <v>1162</v>
      </c>
      <c r="AH216" s="81" t="b">
        <v>1</v>
      </c>
      <c r="AI216" s="81" t="s">
        <v>1179</v>
      </c>
      <c r="AJ216" s="81"/>
      <c r="AK216" s="85" t="s">
        <v>1186</v>
      </c>
      <c r="AL216" s="81" t="b">
        <v>0</v>
      </c>
      <c r="AM216" s="81">
        <v>3</v>
      </c>
      <c r="AN216" s="85" t="s">
        <v>1079</v>
      </c>
      <c r="AO216" s="85" t="s">
        <v>1190</v>
      </c>
      <c r="AP216" s="81" t="b">
        <v>0</v>
      </c>
      <c r="AQ216" s="85" t="s">
        <v>1079</v>
      </c>
      <c r="AR216" s="81" t="s">
        <v>187</v>
      </c>
      <c r="AS216" s="81">
        <v>0</v>
      </c>
      <c r="AT216" s="81">
        <v>0</v>
      </c>
      <c r="AU216" s="81"/>
      <c r="AV216" s="81"/>
      <c r="AW216" s="81"/>
      <c r="AX216" s="81"/>
      <c r="AY216" s="81"/>
      <c r="AZ216" s="81"/>
      <c r="BA216" s="81"/>
      <c r="BB216" s="81"/>
      <c r="BC216">
        <v>1</v>
      </c>
      <c r="BD216" s="80" t="str">
        <f>REPLACE(INDEX(GroupVertices[Group],MATCH(Edges[[#This Row],[Vertex 1]],GroupVertices[Vertex],0)),1,1,"")</f>
        <v>1</v>
      </c>
      <c r="BE216" s="80" t="str">
        <f>REPLACE(INDEX(GroupVertices[Group],MATCH(Edges[[#This Row],[Vertex 2]],GroupVertices[Vertex],0)),1,1,"")</f>
        <v>1</v>
      </c>
      <c r="BF216" s="49"/>
      <c r="BG216" s="50"/>
      <c r="BH216" s="49"/>
      <c r="BI216" s="50"/>
      <c r="BJ216" s="49"/>
      <c r="BK216" s="50"/>
      <c r="BL216" s="49"/>
      <c r="BM216" s="50"/>
      <c r="BN216" s="49"/>
    </row>
    <row r="217" spans="1:66" ht="15">
      <c r="A217" s="65" t="s">
        <v>429</v>
      </c>
      <c r="B217" s="65" t="s">
        <v>479</v>
      </c>
      <c r="C217" s="66" t="s">
        <v>4392</v>
      </c>
      <c r="D217" s="67">
        <v>1</v>
      </c>
      <c r="E217" s="68" t="s">
        <v>132</v>
      </c>
      <c r="F217" s="69">
        <v>32</v>
      </c>
      <c r="G217" s="66" t="s">
        <v>51</v>
      </c>
      <c r="H217" s="70"/>
      <c r="I217" s="71"/>
      <c r="J217" s="71"/>
      <c r="K217" s="35" t="s">
        <v>65</v>
      </c>
      <c r="L217" s="79">
        <v>217</v>
      </c>
      <c r="M217" s="79"/>
      <c r="N217" s="73"/>
      <c r="O217" s="81" t="s">
        <v>503</v>
      </c>
      <c r="P217" s="83">
        <v>44645.17822916667</v>
      </c>
      <c r="Q217" s="81" t="s">
        <v>556</v>
      </c>
      <c r="R217" s="84" t="str">
        <f>HYPERLINK("https://twitter.com/DarthPutinKGB/status/1507079035528126470")</f>
        <v>https://twitter.com/DarthPutinKGB/status/1507079035528126470</v>
      </c>
      <c r="S217" s="81" t="s">
        <v>580</v>
      </c>
      <c r="T217" s="85" t="s">
        <v>591</v>
      </c>
      <c r="U217" s="81"/>
      <c r="V217" s="84" t="str">
        <f>HYPERLINK("https://pbs.twimg.com/profile_images/1385081862285049856/c9qrhMm4_normal.jpg")</f>
        <v>https://pbs.twimg.com/profile_images/1385081862285049856/c9qrhMm4_normal.jpg</v>
      </c>
      <c r="W217" s="83">
        <v>44645.17822916667</v>
      </c>
      <c r="X217" s="88">
        <v>44645</v>
      </c>
      <c r="Y217" s="85" t="s">
        <v>811</v>
      </c>
      <c r="Z217" s="84" t="str">
        <f>HYPERLINK("https://twitter.com/suvirvainio/status/1507209823540195330")</f>
        <v>https://twitter.com/suvirvainio/status/1507209823540195330</v>
      </c>
      <c r="AA217" s="81"/>
      <c r="AB217" s="81"/>
      <c r="AC217" s="85" t="s">
        <v>1080</v>
      </c>
      <c r="AD217" s="81"/>
      <c r="AE217" s="81" t="b">
        <v>0</v>
      </c>
      <c r="AF217" s="81">
        <v>0</v>
      </c>
      <c r="AG217" s="85" t="s">
        <v>1162</v>
      </c>
      <c r="AH217" s="81" t="b">
        <v>1</v>
      </c>
      <c r="AI217" s="81" t="s">
        <v>1179</v>
      </c>
      <c r="AJ217" s="81"/>
      <c r="AK217" s="85" t="s">
        <v>1186</v>
      </c>
      <c r="AL217" s="81" t="b">
        <v>0</v>
      </c>
      <c r="AM217" s="81">
        <v>3</v>
      </c>
      <c r="AN217" s="85" t="s">
        <v>1079</v>
      </c>
      <c r="AO217" s="85" t="s">
        <v>1190</v>
      </c>
      <c r="AP217" s="81" t="b">
        <v>0</v>
      </c>
      <c r="AQ217" s="85" t="s">
        <v>1079</v>
      </c>
      <c r="AR217" s="81" t="s">
        <v>187</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1</v>
      </c>
      <c r="BF217" s="49">
        <v>0</v>
      </c>
      <c r="BG217" s="50">
        <v>0</v>
      </c>
      <c r="BH217" s="49">
        <v>0</v>
      </c>
      <c r="BI217" s="50">
        <v>0</v>
      </c>
      <c r="BJ217" s="49">
        <v>0</v>
      </c>
      <c r="BK217" s="50">
        <v>0</v>
      </c>
      <c r="BL217" s="49">
        <v>22</v>
      </c>
      <c r="BM217" s="50">
        <v>100</v>
      </c>
      <c r="BN217" s="49">
        <v>22</v>
      </c>
    </row>
    <row r="218" spans="1:66" ht="15">
      <c r="A218" s="65" t="s">
        <v>430</v>
      </c>
      <c r="B218" s="65" t="s">
        <v>430</v>
      </c>
      <c r="C218" s="66" t="s">
        <v>4393</v>
      </c>
      <c r="D218" s="67">
        <v>1</v>
      </c>
      <c r="E218" s="68" t="s">
        <v>132</v>
      </c>
      <c r="F218" s="69">
        <v>32</v>
      </c>
      <c r="G218" s="66" t="s">
        <v>51</v>
      </c>
      <c r="H218" s="70"/>
      <c r="I218" s="71"/>
      <c r="J218" s="71"/>
      <c r="K218" s="35" t="s">
        <v>65</v>
      </c>
      <c r="L218" s="79">
        <v>218</v>
      </c>
      <c r="M218" s="79"/>
      <c r="N218" s="73"/>
      <c r="O218" s="81" t="s">
        <v>187</v>
      </c>
      <c r="P218" s="83">
        <v>44643.55002314815</v>
      </c>
      <c r="Q218" s="81" t="s">
        <v>512</v>
      </c>
      <c r="R218" s="81"/>
      <c r="S218" s="81"/>
      <c r="T218" s="81"/>
      <c r="U218" s="84" t="str">
        <f>HYPERLINK("https://pbs.twimg.com/media/FOiWtSbWYAkulkw.jpg")</f>
        <v>https://pbs.twimg.com/media/FOiWtSbWYAkulkw.jpg</v>
      </c>
      <c r="V218" s="84" t="str">
        <f>HYPERLINK("https://pbs.twimg.com/media/FOiWtSbWYAkulkw.jpg")</f>
        <v>https://pbs.twimg.com/media/FOiWtSbWYAkulkw.jpg</v>
      </c>
      <c r="W218" s="83">
        <v>44643.55002314815</v>
      </c>
      <c r="X218" s="88">
        <v>44643</v>
      </c>
      <c r="Y218" s="85" t="s">
        <v>812</v>
      </c>
      <c r="Z218" s="84" t="str">
        <f>HYPERLINK("https://twitter.com/aleksipahkala/status/1506619784791826438")</f>
        <v>https://twitter.com/aleksipahkala/status/1506619784791826438</v>
      </c>
      <c r="AA218" s="81"/>
      <c r="AB218" s="81"/>
      <c r="AC218" s="85" t="s">
        <v>1081</v>
      </c>
      <c r="AD218" s="81"/>
      <c r="AE218" s="81" t="b">
        <v>0</v>
      </c>
      <c r="AF218" s="81">
        <v>1497</v>
      </c>
      <c r="AG218" s="85" t="s">
        <v>1162</v>
      </c>
      <c r="AH218" s="81" t="b">
        <v>0</v>
      </c>
      <c r="AI218" s="81" t="s">
        <v>1179</v>
      </c>
      <c r="AJ218" s="81"/>
      <c r="AK218" s="85" t="s">
        <v>1162</v>
      </c>
      <c r="AL218" s="81" t="b">
        <v>0</v>
      </c>
      <c r="AM218" s="81">
        <v>68</v>
      </c>
      <c r="AN218" s="85" t="s">
        <v>1162</v>
      </c>
      <c r="AO218" s="85" t="s">
        <v>1190</v>
      </c>
      <c r="AP218" s="81" t="b">
        <v>0</v>
      </c>
      <c r="AQ218" s="85" t="s">
        <v>1081</v>
      </c>
      <c r="AR218" s="81" t="s">
        <v>187</v>
      </c>
      <c r="AS218" s="81">
        <v>0</v>
      </c>
      <c r="AT218" s="81">
        <v>0</v>
      </c>
      <c r="AU218" s="81"/>
      <c r="AV218" s="81"/>
      <c r="AW218" s="81"/>
      <c r="AX218" s="81"/>
      <c r="AY218" s="81"/>
      <c r="AZ218" s="81"/>
      <c r="BA218" s="81"/>
      <c r="BB218" s="81"/>
      <c r="BC218">
        <v>2</v>
      </c>
      <c r="BD218" s="80" t="str">
        <f>REPLACE(INDEX(GroupVertices[Group],MATCH(Edges[[#This Row],[Vertex 1]],GroupVertices[Vertex],0)),1,1,"")</f>
        <v>2</v>
      </c>
      <c r="BE218" s="80" t="str">
        <f>REPLACE(INDEX(GroupVertices[Group],MATCH(Edges[[#This Row],[Vertex 2]],GroupVertices[Vertex],0)),1,1,"")</f>
        <v>2</v>
      </c>
      <c r="BF218" s="49">
        <v>0</v>
      </c>
      <c r="BG218" s="50">
        <v>0</v>
      </c>
      <c r="BH218" s="49">
        <v>0</v>
      </c>
      <c r="BI218" s="50">
        <v>0</v>
      </c>
      <c r="BJ218" s="49">
        <v>0</v>
      </c>
      <c r="BK218" s="50">
        <v>0</v>
      </c>
      <c r="BL218" s="49">
        <v>6</v>
      </c>
      <c r="BM218" s="50">
        <v>100</v>
      </c>
      <c r="BN218" s="49">
        <v>6</v>
      </c>
    </row>
    <row r="219" spans="1:66" ht="15">
      <c r="A219" s="65" t="s">
        <v>430</v>
      </c>
      <c r="B219" s="65" t="s">
        <v>430</v>
      </c>
      <c r="C219" s="66" t="s">
        <v>4393</v>
      </c>
      <c r="D219" s="67">
        <v>1</v>
      </c>
      <c r="E219" s="68" t="s">
        <v>132</v>
      </c>
      <c r="F219" s="69">
        <v>32</v>
      </c>
      <c r="G219" s="66" t="s">
        <v>51</v>
      </c>
      <c r="H219" s="70"/>
      <c r="I219" s="71"/>
      <c r="J219" s="71"/>
      <c r="K219" s="35" t="s">
        <v>65</v>
      </c>
      <c r="L219" s="79">
        <v>219</v>
      </c>
      <c r="M219" s="79"/>
      <c r="N219" s="73"/>
      <c r="O219" s="81" t="s">
        <v>187</v>
      </c>
      <c r="P219" s="83">
        <v>44644.73180555556</v>
      </c>
      <c r="Q219" s="81" t="s">
        <v>557</v>
      </c>
      <c r="R219" s="84" t="str">
        <f>HYPERLINK("https://www.hs.fi/talous/art-2000008704863.html")</f>
        <v>https://www.hs.fi/talous/art-2000008704863.html</v>
      </c>
      <c r="S219" s="81" t="s">
        <v>582</v>
      </c>
      <c r="T219" s="81"/>
      <c r="U219" s="81"/>
      <c r="V219" s="84" t="str">
        <f>HYPERLINK("https://pbs.twimg.com/profile_images/1375804905148051460/t8JCMbzX_normal.jpg")</f>
        <v>https://pbs.twimg.com/profile_images/1375804905148051460/t8JCMbzX_normal.jpg</v>
      </c>
      <c r="W219" s="83">
        <v>44644.73180555556</v>
      </c>
      <c r="X219" s="88">
        <v>44644</v>
      </c>
      <c r="Y219" s="85" t="s">
        <v>813</v>
      </c>
      <c r="Z219" s="84" t="str">
        <f>HYPERLINK("https://twitter.com/aleksipahkala/status/1507048045418012679")</f>
        <v>https://twitter.com/aleksipahkala/status/1507048045418012679</v>
      </c>
      <c r="AA219" s="81"/>
      <c r="AB219" s="81"/>
      <c r="AC219" s="85" t="s">
        <v>1082</v>
      </c>
      <c r="AD219" s="81"/>
      <c r="AE219" s="81" t="b">
        <v>0</v>
      </c>
      <c r="AF219" s="81">
        <v>25</v>
      </c>
      <c r="AG219" s="85" t="s">
        <v>1162</v>
      </c>
      <c r="AH219" s="81" t="b">
        <v>0</v>
      </c>
      <c r="AI219" s="81" t="s">
        <v>1179</v>
      </c>
      <c r="AJ219" s="81"/>
      <c r="AK219" s="85" t="s">
        <v>1162</v>
      </c>
      <c r="AL219" s="81" t="b">
        <v>0</v>
      </c>
      <c r="AM219" s="81">
        <v>0</v>
      </c>
      <c r="AN219" s="85" t="s">
        <v>1162</v>
      </c>
      <c r="AO219" s="85" t="s">
        <v>1190</v>
      </c>
      <c r="AP219" s="81" t="b">
        <v>0</v>
      </c>
      <c r="AQ219" s="85" t="s">
        <v>1082</v>
      </c>
      <c r="AR219" s="81" t="s">
        <v>187</v>
      </c>
      <c r="AS219" s="81">
        <v>0</v>
      </c>
      <c r="AT219" s="81">
        <v>0</v>
      </c>
      <c r="AU219" s="81"/>
      <c r="AV219" s="81"/>
      <c r="AW219" s="81"/>
      <c r="AX219" s="81"/>
      <c r="AY219" s="81"/>
      <c r="AZ219" s="81"/>
      <c r="BA219" s="81"/>
      <c r="BB219" s="81"/>
      <c r="BC219">
        <v>2</v>
      </c>
      <c r="BD219" s="80" t="str">
        <f>REPLACE(INDEX(GroupVertices[Group],MATCH(Edges[[#This Row],[Vertex 1]],GroupVertices[Vertex],0)),1,1,"")</f>
        <v>2</v>
      </c>
      <c r="BE219" s="80" t="str">
        <f>REPLACE(INDEX(GroupVertices[Group],MATCH(Edges[[#This Row],[Vertex 2]],GroupVertices[Vertex],0)),1,1,"")</f>
        <v>2</v>
      </c>
      <c r="BF219" s="49">
        <v>1</v>
      </c>
      <c r="BG219" s="50">
        <v>5.555555555555555</v>
      </c>
      <c r="BH219" s="49">
        <v>0</v>
      </c>
      <c r="BI219" s="50">
        <v>0</v>
      </c>
      <c r="BJ219" s="49">
        <v>0</v>
      </c>
      <c r="BK219" s="50">
        <v>0</v>
      </c>
      <c r="BL219" s="49">
        <v>17</v>
      </c>
      <c r="BM219" s="50">
        <v>94.44444444444444</v>
      </c>
      <c r="BN219" s="49">
        <v>18</v>
      </c>
    </row>
    <row r="220" spans="1:66" ht="15">
      <c r="A220" s="65" t="s">
        <v>431</v>
      </c>
      <c r="B220" s="65" t="s">
        <v>430</v>
      </c>
      <c r="C220" s="66" t="s">
        <v>4392</v>
      </c>
      <c r="D220" s="67">
        <v>1</v>
      </c>
      <c r="E220" s="68" t="s">
        <v>132</v>
      </c>
      <c r="F220" s="69">
        <v>32</v>
      </c>
      <c r="G220" s="66" t="s">
        <v>51</v>
      </c>
      <c r="H220" s="70"/>
      <c r="I220" s="71"/>
      <c r="J220" s="71"/>
      <c r="K220" s="35" t="s">
        <v>65</v>
      </c>
      <c r="L220" s="79">
        <v>220</v>
      </c>
      <c r="M220" s="79"/>
      <c r="N220" s="73"/>
      <c r="O220" s="81" t="s">
        <v>504</v>
      </c>
      <c r="P220" s="83">
        <v>44643.673310185186</v>
      </c>
      <c r="Q220" s="81" t="s">
        <v>512</v>
      </c>
      <c r="R220" s="81"/>
      <c r="S220" s="81"/>
      <c r="T220" s="81"/>
      <c r="U220" s="84" t="str">
        <f>HYPERLINK("https://pbs.twimg.com/media/FOiWtSbWYAkulkw.jpg")</f>
        <v>https://pbs.twimg.com/media/FOiWtSbWYAkulkw.jpg</v>
      </c>
      <c r="V220" s="84" t="str">
        <f>HYPERLINK("https://pbs.twimg.com/media/FOiWtSbWYAkulkw.jpg")</f>
        <v>https://pbs.twimg.com/media/FOiWtSbWYAkulkw.jpg</v>
      </c>
      <c r="W220" s="83">
        <v>44643.673310185186</v>
      </c>
      <c r="X220" s="88">
        <v>44643</v>
      </c>
      <c r="Y220" s="85" t="s">
        <v>814</v>
      </c>
      <c r="Z220" s="84" t="str">
        <f>HYPERLINK("https://twitter.com/sakeranen/status/1506664459393241095")</f>
        <v>https://twitter.com/sakeranen/status/1506664459393241095</v>
      </c>
      <c r="AA220" s="81"/>
      <c r="AB220" s="81"/>
      <c r="AC220" s="85" t="s">
        <v>1083</v>
      </c>
      <c r="AD220" s="81"/>
      <c r="AE220" s="81" t="b">
        <v>0</v>
      </c>
      <c r="AF220" s="81">
        <v>0</v>
      </c>
      <c r="AG220" s="85" t="s">
        <v>1162</v>
      </c>
      <c r="AH220" s="81" t="b">
        <v>0</v>
      </c>
      <c r="AI220" s="81" t="s">
        <v>1179</v>
      </c>
      <c r="AJ220" s="81"/>
      <c r="AK220" s="85" t="s">
        <v>1162</v>
      </c>
      <c r="AL220" s="81" t="b">
        <v>0</v>
      </c>
      <c r="AM220" s="81">
        <v>68</v>
      </c>
      <c r="AN220" s="85" t="s">
        <v>1081</v>
      </c>
      <c r="AO220" s="85" t="s">
        <v>1189</v>
      </c>
      <c r="AP220" s="81" t="b">
        <v>0</v>
      </c>
      <c r="AQ220" s="85" t="s">
        <v>1081</v>
      </c>
      <c r="AR220" s="81" t="s">
        <v>187</v>
      </c>
      <c r="AS220" s="81">
        <v>0</v>
      </c>
      <c r="AT220" s="81">
        <v>0</v>
      </c>
      <c r="AU220" s="81"/>
      <c r="AV220" s="81"/>
      <c r="AW220" s="81"/>
      <c r="AX220" s="81"/>
      <c r="AY220" s="81"/>
      <c r="AZ220" s="81"/>
      <c r="BA220" s="81"/>
      <c r="BB220" s="81"/>
      <c r="BC220">
        <v>1</v>
      </c>
      <c r="BD220" s="80" t="str">
        <f>REPLACE(INDEX(GroupVertices[Group],MATCH(Edges[[#This Row],[Vertex 1]],GroupVertices[Vertex],0)),1,1,"")</f>
        <v>2</v>
      </c>
      <c r="BE220" s="80" t="str">
        <f>REPLACE(INDEX(GroupVertices[Group],MATCH(Edges[[#This Row],[Vertex 2]],GroupVertices[Vertex],0)),1,1,"")</f>
        <v>2</v>
      </c>
      <c r="BF220" s="49">
        <v>0</v>
      </c>
      <c r="BG220" s="50">
        <v>0</v>
      </c>
      <c r="BH220" s="49">
        <v>0</v>
      </c>
      <c r="BI220" s="50">
        <v>0</v>
      </c>
      <c r="BJ220" s="49">
        <v>0</v>
      </c>
      <c r="BK220" s="50">
        <v>0</v>
      </c>
      <c r="BL220" s="49">
        <v>6</v>
      </c>
      <c r="BM220" s="50">
        <v>100</v>
      </c>
      <c r="BN220" s="49">
        <v>6</v>
      </c>
    </row>
    <row r="221" spans="1:66" ht="15">
      <c r="A221" s="65" t="s">
        <v>431</v>
      </c>
      <c r="B221" s="65" t="s">
        <v>479</v>
      </c>
      <c r="C221" s="66" t="s">
        <v>4392</v>
      </c>
      <c r="D221" s="67">
        <v>1</v>
      </c>
      <c r="E221" s="68" t="s">
        <v>132</v>
      </c>
      <c r="F221" s="69">
        <v>32</v>
      </c>
      <c r="G221" s="66" t="s">
        <v>51</v>
      </c>
      <c r="H221" s="70"/>
      <c r="I221" s="71"/>
      <c r="J221" s="71"/>
      <c r="K221" s="35" t="s">
        <v>65</v>
      </c>
      <c r="L221" s="79">
        <v>221</v>
      </c>
      <c r="M221" s="79"/>
      <c r="N221" s="73"/>
      <c r="O221" s="81" t="s">
        <v>504</v>
      </c>
      <c r="P221" s="83">
        <v>44645.19584490741</v>
      </c>
      <c r="Q221" s="81" t="s">
        <v>539</v>
      </c>
      <c r="R221" s="84" t="str">
        <f>HYPERLINK("https://www.hs.fi/talous/art-2000008704863.html")</f>
        <v>https://www.hs.fi/talous/art-2000008704863.html</v>
      </c>
      <c r="S221" s="81" t="s">
        <v>582</v>
      </c>
      <c r="T221" s="81"/>
      <c r="U221" s="81"/>
      <c r="V221" s="84" t="str">
        <f>HYPERLINK("https://pbs.twimg.com/profile_images/1218084292108214272/RQnrncTZ_normal.jpg")</f>
        <v>https://pbs.twimg.com/profile_images/1218084292108214272/RQnrncTZ_normal.jpg</v>
      </c>
      <c r="W221" s="83">
        <v>44645.19584490741</v>
      </c>
      <c r="X221" s="88">
        <v>44645</v>
      </c>
      <c r="Y221" s="85" t="s">
        <v>815</v>
      </c>
      <c r="Z221" s="84" t="str">
        <f>HYPERLINK("https://twitter.com/sakeranen/status/1507216209032491008")</f>
        <v>https://twitter.com/sakeranen/status/1507216209032491008</v>
      </c>
      <c r="AA221" s="81"/>
      <c r="AB221" s="81"/>
      <c r="AC221" s="85" t="s">
        <v>1084</v>
      </c>
      <c r="AD221" s="81"/>
      <c r="AE221" s="81" t="b">
        <v>0</v>
      </c>
      <c r="AF221" s="81">
        <v>0</v>
      </c>
      <c r="AG221" s="85" t="s">
        <v>1162</v>
      </c>
      <c r="AH221" s="81" t="b">
        <v>0</v>
      </c>
      <c r="AI221" s="81" t="s">
        <v>1179</v>
      </c>
      <c r="AJ221" s="81"/>
      <c r="AK221" s="85" t="s">
        <v>1162</v>
      </c>
      <c r="AL221" s="81" t="b">
        <v>0</v>
      </c>
      <c r="AM221" s="81">
        <v>103</v>
      </c>
      <c r="AN221" s="85" t="s">
        <v>1134</v>
      </c>
      <c r="AO221" s="85" t="s">
        <v>1189</v>
      </c>
      <c r="AP221" s="81" t="b">
        <v>0</v>
      </c>
      <c r="AQ221" s="85" t="s">
        <v>1134</v>
      </c>
      <c r="AR221" s="81" t="s">
        <v>187</v>
      </c>
      <c r="AS221" s="81">
        <v>0</v>
      </c>
      <c r="AT221" s="81">
        <v>0</v>
      </c>
      <c r="AU221" s="81"/>
      <c r="AV221" s="81"/>
      <c r="AW221" s="81"/>
      <c r="AX221" s="81"/>
      <c r="AY221" s="81"/>
      <c r="AZ221" s="81"/>
      <c r="BA221" s="81"/>
      <c r="BB221" s="81"/>
      <c r="BC221">
        <v>1</v>
      </c>
      <c r="BD221" s="80" t="str">
        <f>REPLACE(INDEX(GroupVertices[Group],MATCH(Edges[[#This Row],[Vertex 1]],GroupVertices[Vertex],0)),1,1,"")</f>
        <v>2</v>
      </c>
      <c r="BE221" s="80" t="str">
        <f>REPLACE(INDEX(GroupVertices[Group],MATCH(Edges[[#This Row],[Vertex 2]],GroupVertices[Vertex],0)),1,1,"")</f>
        <v>1</v>
      </c>
      <c r="BF221" s="49">
        <v>0</v>
      </c>
      <c r="BG221" s="50">
        <v>0</v>
      </c>
      <c r="BH221" s="49">
        <v>0</v>
      </c>
      <c r="BI221" s="50">
        <v>0</v>
      </c>
      <c r="BJ221" s="49">
        <v>0</v>
      </c>
      <c r="BK221" s="50">
        <v>0</v>
      </c>
      <c r="BL221" s="49">
        <v>33</v>
      </c>
      <c r="BM221" s="50">
        <v>100</v>
      </c>
      <c r="BN221" s="49">
        <v>33</v>
      </c>
    </row>
    <row r="222" spans="1:66" ht="15">
      <c r="A222" s="65" t="s">
        <v>432</v>
      </c>
      <c r="B222" s="65" t="s">
        <v>495</v>
      </c>
      <c r="C222" s="66" t="s">
        <v>4392</v>
      </c>
      <c r="D222" s="67">
        <v>1</v>
      </c>
      <c r="E222" s="68" t="s">
        <v>132</v>
      </c>
      <c r="F222" s="69">
        <v>32</v>
      </c>
      <c r="G222" s="66" t="s">
        <v>51</v>
      </c>
      <c r="H222" s="70"/>
      <c r="I222" s="71"/>
      <c r="J222" s="71"/>
      <c r="K222" s="35" t="s">
        <v>65</v>
      </c>
      <c r="L222" s="79">
        <v>222</v>
      </c>
      <c r="M222" s="79"/>
      <c r="N222" s="73"/>
      <c r="O222" s="81" t="s">
        <v>502</v>
      </c>
      <c r="P222" s="83">
        <v>44645.20247685185</v>
      </c>
      <c r="Q222" s="81" t="s">
        <v>558</v>
      </c>
      <c r="R222" s="81"/>
      <c r="S222" s="81"/>
      <c r="T222" s="81"/>
      <c r="U222" s="81"/>
      <c r="V222" s="84" t="str">
        <f>HYPERLINK("https://pbs.twimg.com/profile_images/1359515186261086213/DW3HH_0w_normal.jpg")</f>
        <v>https://pbs.twimg.com/profile_images/1359515186261086213/DW3HH_0w_normal.jpg</v>
      </c>
      <c r="W222" s="83">
        <v>44645.20247685185</v>
      </c>
      <c r="X222" s="88">
        <v>44645</v>
      </c>
      <c r="Y222" s="85" t="s">
        <v>816</v>
      </c>
      <c r="Z222" s="84" t="str">
        <f>HYPERLINK("https://twitter.com/apulkkis/status/1507218612385460245")</f>
        <v>https://twitter.com/apulkkis/status/1507218612385460245</v>
      </c>
      <c r="AA222" s="81"/>
      <c r="AB222" s="81"/>
      <c r="AC222" s="85" t="s">
        <v>1085</v>
      </c>
      <c r="AD222" s="85" t="s">
        <v>1150</v>
      </c>
      <c r="AE222" s="81" t="b">
        <v>0</v>
      </c>
      <c r="AF222" s="81">
        <v>3</v>
      </c>
      <c r="AG222" s="85" t="s">
        <v>1169</v>
      </c>
      <c r="AH222" s="81" t="b">
        <v>0</v>
      </c>
      <c r="AI222" s="81" t="s">
        <v>1179</v>
      </c>
      <c r="AJ222" s="81"/>
      <c r="AK222" s="85" t="s">
        <v>1162</v>
      </c>
      <c r="AL222" s="81" t="b">
        <v>0</v>
      </c>
      <c r="AM222" s="81">
        <v>0</v>
      </c>
      <c r="AN222" s="85" t="s">
        <v>1162</v>
      </c>
      <c r="AO222" s="85" t="s">
        <v>1189</v>
      </c>
      <c r="AP222" s="81" t="b">
        <v>0</v>
      </c>
      <c r="AQ222" s="85" t="s">
        <v>1150</v>
      </c>
      <c r="AR222" s="81" t="s">
        <v>187</v>
      </c>
      <c r="AS222" s="81">
        <v>0</v>
      </c>
      <c r="AT222" s="81">
        <v>0</v>
      </c>
      <c r="AU222" s="81"/>
      <c r="AV222" s="81"/>
      <c r="AW222" s="81"/>
      <c r="AX222" s="81"/>
      <c r="AY222" s="81"/>
      <c r="AZ222" s="81"/>
      <c r="BA222" s="81"/>
      <c r="BB222" s="81"/>
      <c r="BC222">
        <v>1</v>
      </c>
      <c r="BD222" s="80" t="str">
        <f>REPLACE(INDEX(GroupVertices[Group],MATCH(Edges[[#This Row],[Vertex 1]],GroupVertices[Vertex],0)),1,1,"")</f>
        <v>6</v>
      </c>
      <c r="BE222" s="80" t="str">
        <f>REPLACE(INDEX(GroupVertices[Group],MATCH(Edges[[#This Row],[Vertex 2]],GroupVertices[Vertex],0)),1,1,"")</f>
        <v>6</v>
      </c>
      <c r="BF222" s="49">
        <v>0</v>
      </c>
      <c r="BG222" s="50">
        <v>0</v>
      </c>
      <c r="BH222" s="49">
        <v>0</v>
      </c>
      <c r="BI222" s="50">
        <v>0</v>
      </c>
      <c r="BJ222" s="49">
        <v>0</v>
      </c>
      <c r="BK222" s="50">
        <v>0</v>
      </c>
      <c r="BL222" s="49">
        <v>37</v>
      </c>
      <c r="BM222" s="50">
        <v>100</v>
      </c>
      <c r="BN222" s="49">
        <v>37</v>
      </c>
    </row>
    <row r="223" spans="1:66" ht="15">
      <c r="A223" s="65" t="s">
        <v>433</v>
      </c>
      <c r="B223" s="65" t="s">
        <v>433</v>
      </c>
      <c r="C223" s="66" t="s">
        <v>4392</v>
      </c>
      <c r="D223" s="67">
        <v>1</v>
      </c>
      <c r="E223" s="68" t="s">
        <v>132</v>
      </c>
      <c r="F223" s="69">
        <v>32</v>
      </c>
      <c r="G223" s="66" t="s">
        <v>51</v>
      </c>
      <c r="H223" s="70"/>
      <c r="I223" s="71"/>
      <c r="J223" s="71"/>
      <c r="K223" s="35" t="s">
        <v>65</v>
      </c>
      <c r="L223" s="79">
        <v>223</v>
      </c>
      <c r="M223" s="79"/>
      <c r="N223" s="73"/>
      <c r="O223" s="81" t="s">
        <v>187</v>
      </c>
      <c r="P223" s="83">
        <v>44645.194085648145</v>
      </c>
      <c r="Q223" s="81" t="s">
        <v>559</v>
      </c>
      <c r="R223" s="81"/>
      <c r="S223" s="81"/>
      <c r="T223" s="85" t="s">
        <v>594</v>
      </c>
      <c r="U223" s="81"/>
      <c r="V223" s="84" t="str">
        <f>HYPERLINK("https://pbs.twimg.com/profile_images/857623328428785664/iQnFpkTA_normal.jpg")</f>
        <v>https://pbs.twimg.com/profile_images/857623328428785664/iQnFpkTA_normal.jpg</v>
      </c>
      <c r="W223" s="83">
        <v>44645.194085648145</v>
      </c>
      <c r="X223" s="88">
        <v>44645</v>
      </c>
      <c r="Y223" s="85" t="s">
        <v>817</v>
      </c>
      <c r="Z223" s="84" t="str">
        <f>HYPERLINK("https://twitter.com/villekoivuniemi/status/1507215572383281167")</f>
        <v>https://twitter.com/villekoivuniemi/status/1507215572383281167</v>
      </c>
      <c r="AA223" s="81"/>
      <c r="AB223" s="81"/>
      <c r="AC223" s="85" t="s">
        <v>1086</v>
      </c>
      <c r="AD223" s="81"/>
      <c r="AE223" s="81" t="b">
        <v>0</v>
      </c>
      <c r="AF223" s="81">
        <v>5</v>
      </c>
      <c r="AG223" s="85" t="s">
        <v>1162</v>
      </c>
      <c r="AH223" s="81" t="b">
        <v>0</v>
      </c>
      <c r="AI223" s="81" t="s">
        <v>1179</v>
      </c>
      <c r="AJ223" s="81"/>
      <c r="AK223" s="85" t="s">
        <v>1162</v>
      </c>
      <c r="AL223" s="81" t="b">
        <v>0</v>
      </c>
      <c r="AM223" s="81">
        <v>1</v>
      </c>
      <c r="AN223" s="85" t="s">
        <v>1162</v>
      </c>
      <c r="AO223" s="85" t="s">
        <v>1190</v>
      </c>
      <c r="AP223" s="81" t="b">
        <v>0</v>
      </c>
      <c r="AQ223" s="85" t="s">
        <v>1086</v>
      </c>
      <c r="AR223" s="81" t="s">
        <v>187</v>
      </c>
      <c r="AS223" s="81">
        <v>0</v>
      </c>
      <c r="AT223" s="81">
        <v>0</v>
      </c>
      <c r="AU223" s="81"/>
      <c r="AV223" s="81"/>
      <c r="AW223" s="81"/>
      <c r="AX223" s="81"/>
      <c r="AY223" s="81"/>
      <c r="AZ223" s="81"/>
      <c r="BA223" s="81"/>
      <c r="BB223" s="81"/>
      <c r="BC223">
        <v>1</v>
      </c>
      <c r="BD223" s="80" t="str">
        <f>REPLACE(INDEX(GroupVertices[Group],MATCH(Edges[[#This Row],[Vertex 1]],GroupVertices[Vertex],0)),1,1,"")</f>
        <v>12</v>
      </c>
      <c r="BE223" s="80" t="str">
        <f>REPLACE(INDEX(GroupVertices[Group],MATCH(Edges[[#This Row],[Vertex 2]],GroupVertices[Vertex],0)),1,1,"")</f>
        <v>12</v>
      </c>
      <c r="BF223" s="49">
        <v>0</v>
      </c>
      <c r="BG223" s="50">
        <v>0</v>
      </c>
      <c r="BH223" s="49">
        <v>0</v>
      </c>
      <c r="BI223" s="50">
        <v>0</v>
      </c>
      <c r="BJ223" s="49">
        <v>0</v>
      </c>
      <c r="BK223" s="50">
        <v>0</v>
      </c>
      <c r="BL223" s="49">
        <v>29</v>
      </c>
      <c r="BM223" s="50">
        <v>100</v>
      </c>
      <c r="BN223" s="49">
        <v>29</v>
      </c>
    </row>
    <row r="224" spans="1:66" ht="15">
      <c r="A224" s="65" t="s">
        <v>434</v>
      </c>
      <c r="B224" s="65" t="s">
        <v>433</v>
      </c>
      <c r="C224" s="66" t="s">
        <v>4392</v>
      </c>
      <c r="D224" s="67">
        <v>1</v>
      </c>
      <c r="E224" s="68" t="s">
        <v>132</v>
      </c>
      <c r="F224" s="69">
        <v>32</v>
      </c>
      <c r="G224" s="66" t="s">
        <v>51</v>
      </c>
      <c r="H224" s="70"/>
      <c r="I224" s="71"/>
      <c r="J224" s="71"/>
      <c r="K224" s="35" t="s">
        <v>65</v>
      </c>
      <c r="L224" s="79">
        <v>224</v>
      </c>
      <c r="M224" s="79"/>
      <c r="N224" s="73"/>
      <c r="O224" s="81" t="s">
        <v>504</v>
      </c>
      <c r="P224" s="83">
        <v>44645.22675925926</v>
      </c>
      <c r="Q224" s="81" t="s">
        <v>559</v>
      </c>
      <c r="R224" s="81"/>
      <c r="S224" s="81"/>
      <c r="T224" s="85" t="s">
        <v>594</v>
      </c>
      <c r="U224" s="81"/>
      <c r="V224" s="84" t="str">
        <f>HYPERLINK("https://pbs.twimg.com/profile_images/852539407051653120/bjxL1r6X_normal.jpg")</f>
        <v>https://pbs.twimg.com/profile_images/852539407051653120/bjxL1r6X_normal.jpg</v>
      </c>
      <c r="W224" s="83">
        <v>44645.22675925926</v>
      </c>
      <c r="X224" s="88">
        <v>44645</v>
      </c>
      <c r="Y224" s="85" t="s">
        <v>818</v>
      </c>
      <c r="Z224" s="84" t="str">
        <f>HYPERLINK("https://twitter.com/outigrusander/status/1507227411091533839")</f>
        <v>https://twitter.com/outigrusander/status/1507227411091533839</v>
      </c>
      <c r="AA224" s="81"/>
      <c r="AB224" s="81"/>
      <c r="AC224" s="85" t="s">
        <v>1087</v>
      </c>
      <c r="AD224" s="81"/>
      <c r="AE224" s="81" t="b">
        <v>0</v>
      </c>
      <c r="AF224" s="81">
        <v>0</v>
      </c>
      <c r="AG224" s="85" t="s">
        <v>1162</v>
      </c>
      <c r="AH224" s="81" t="b">
        <v>0</v>
      </c>
      <c r="AI224" s="81" t="s">
        <v>1179</v>
      </c>
      <c r="AJ224" s="81"/>
      <c r="AK224" s="85" t="s">
        <v>1162</v>
      </c>
      <c r="AL224" s="81" t="b">
        <v>0</v>
      </c>
      <c r="AM224" s="81">
        <v>1</v>
      </c>
      <c r="AN224" s="85" t="s">
        <v>1086</v>
      </c>
      <c r="AO224" s="85" t="s">
        <v>1190</v>
      </c>
      <c r="AP224" s="81" t="b">
        <v>0</v>
      </c>
      <c r="AQ224" s="85" t="s">
        <v>1086</v>
      </c>
      <c r="AR224" s="81" t="s">
        <v>187</v>
      </c>
      <c r="AS224" s="81">
        <v>0</v>
      </c>
      <c r="AT224" s="81">
        <v>0</v>
      </c>
      <c r="AU224" s="81"/>
      <c r="AV224" s="81"/>
      <c r="AW224" s="81"/>
      <c r="AX224" s="81"/>
      <c r="AY224" s="81"/>
      <c r="AZ224" s="81"/>
      <c r="BA224" s="81"/>
      <c r="BB224" s="81"/>
      <c r="BC224">
        <v>1</v>
      </c>
      <c r="BD224" s="80" t="str">
        <f>REPLACE(INDEX(GroupVertices[Group],MATCH(Edges[[#This Row],[Vertex 1]],GroupVertices[Vertex],0)),1,1,"")</f>
        <v>12</v>
      </c>
      <c r="BE224" s="80" t="str">
        <f>REPLACE(INDEX(GroupVertices[Group],MATCH(Edges[[#This Row],[Vertex 2]],GroupVertices[Vertex],0)),1,1,"")</f>
        <v>12</v>
      </c>
      <c r="BF224" s="49">
        <v>0</v>
      </c>
      <c r="BG224" s="50">
        <v>0</v>
      </c>
      <c r="BH224" s="49">
        <v>0</v>
      </c>
      <c r="BI224" s="50">
        <v>0</v>
      </c>
      <c r="BJ224" s="49">
        <v>0</v>
      </c>
      <c r="BK224" s="50">
        <v>0</v>
      </c>
      <c r="BL224" s="49">
        <v>29</v>
      </c>
      <c r="BM224" s="50">
        <v>100</v>
      </c>
      <c r="BN224" s="49">
        <v>29</v>
      </c>
    </row>
    <row r="225" spans="1:66" ht="15">
      <c r="A225" s="65" t="s">
        <v>435</v>
      </c>
      <c r="B225" s="65" t="s">
        <v>497</v>
      </c>
      <c r="C225" s="66" t="s">
        <v>4392</v>
      </c>
      <c r="D225" s="67">
        <v>1</v>
      </c>
      <c r="E225" s="68" t="s">
        <v>132</v>
      </c>
      <c r="F225" s="69">
        <v>32</v>
      </c>
      <c r="G225" s="66" t="s">
        <v>51</v>
      </c>
      <c r="H225" s="70"/>
      <c r="I225" s="71"/>
      <c r="J225" s="71"/>
      <c r="K225" s="35" t="s">
        <v>65</v>
      </c>
      <c r="L225" s="79">
        <v>225</v>
      </c>
      <c r="M225" s="79"/>
      <c r="N225" s="73"/>
      <c r="O225" s="81" t="s">
        <v>502</v>
      </c>
      <c r="P225" s="83">
        <v>44645.22692129629</v>
      </c>
      <c r="Q225" s="81" t="s">
        <v>560</v>
      </c>
      <c r="R225" s="81"/>
      <c r="S225" s="81"/>
      <c r="T225" s="81"/>
      <c r="U225" s="81"/>
      <c r="V225" s="84" t="str">
        <f>HYPERLINK("https://pbs.twimg.com/profile_images/1389974773049012224/I5xo_UaF_normal.jpg")</f>
        <v>https://pbs.twimg.com/profile_images/1389974773049012224/I5xo_UaF_normal.jpg</v>
      </c>
      <c r="W225" s="83">
        <v>44645.22692129629</v>
      </c>
      <c r="X225" s="88">
        <v>44645</v>
      </c>
      <c r="Y225" s="85" t="s">
        <v>819</v>
      </c>
      <c r="Z225" s="84" t="str">
        <f>HYPERLINK("https://twitter.com/koivumakiraine/status/1507227470969417747")</f>
        <v>https://twitter.com/koivumakiraine/status/1507227470969417747</v>
      </c>
      <c r="AA225" s="81"/>
      <c r="AB225" s="81"/>
      <c r="AC225" s="85" t="s">
        <v>1088</v>
      </c>
      <c r="AD225" s="85" t="s">
        <v>1154</v>
      </c>
      <c r="AE225" s="81" t="b">
        <v>0</v>
      </c>
      <c r="AF225" s="81">
        <v>1</v>
      </c>
      <c r="AG225" s="85" t="s">
        <v>1172</v>
      </c>
      <c r="AH225" s="81" t="b">
        <v>0</v>
      </c>
      <c r="AI225" s="81" t="s">
        <v>1179</v>
      </c>
      <c r="AJ225" s="81"/>
      <c r="AK225" s="85" t="s">
        <v>1162</v>
      </c>
      <c r="AL225" s="81" t="b">
        <v>0</v>
      </c>
      <c r="AM225" s="81">
        <v>0</v>
      </c>
      <c r="AN225" s="85" t="s">
        <v>1162</v>
      </c>
      <c r="AO225" s="85" t="s">
        <v>1189</v>
      </c>
      <c r="AP225" s="81" t="b">
        <v>0</v>
      </c>
      <c r="AQ225" s="85" t="s">
        <v>1154</v>
      </c>
      <c r="AR225" s="81" t="s">
        <v>187</v>
      </c>
      <c r="AS225" s="81">
        <v>0</v>
      </c>
      <c r="AT225" s="81">
        <v>0</v>
      </c>
      <c r="AU225" s="81"/>
      <c r="AV225" s="81"/>
      <c r="AW225" s="81"/>
      <c r="AX225" s="81"/>
      <c r="AY225" s="81"/>
      <c r="AZ225" s="81"/>
      <c r="BA225" s="81"/>
      <c r="BB225" s="81"/>
      <c r="BC225">
        <v>1</v>
      </c>
      <c r="BD225" s="80" t="str">
        <f>REPLACE(INDEX(GroupVertices[Group],MATCH(Edges[[#This Row],[Vertex 1]],GroupVertices[Vertex],0)),1,1,"")</f>
        <v>11</v>
      </c>
      <c r="BE225" s="80" t="str">
        <f>REPLACE(INDEX(GroupVertices[Group],MATCH(Edges[[#This Row],[Vertex 2]],GroupVertices[Vertex],0)),1,1,"")</f>
        <v>11</v>
      </c>
      <c r="BF225" s="49">
        <v>0</v>
      </c>
      <c r="BG225" s="50">
        <v>0</v>
      </c>
      <c r="BH225" s="49">
        <v>0</v>
      </c>
      <c r="BI225" s="50">
        <v>0</v>
      </c>
      <c r="BJ225" s="49">
        <v>0</v>
      </c>
      <c r="BK225" s="50">
        <v>0</v>
      </c>
      <c r="BL225" s="49">
        <v>23</v>
      </c>
      <c r="BM225" s="50">
        <v>100</v>
      </c>
      <c r="BN225" s="49">
        <v>23</v>
      </c>
    </row>
    <row r="226" spans="1:66" ht="15">
      <c r="A226" s="65" t="s">
        <v>436</v>
      </c>
      <c r="B226" s="65" t="s">
        <v>479</v>
      </c>
      <c r="C226" s="66" t="s">
        <v>4392</v>
      </c>
      <c r="D226" s="67">
        <v>1</v>
      </c>
      <c r="E226" s="68" t="s">
        <v>132</v>
      </c>
      <c r="F226" s="69">
        <v>32</v>
      </c>
      <c r="G226" s="66" t="s">
        <v>51</v>
      </c>
      <c r="H226" s="70"/>
      <c r="I226" s="71"/>
      <c r="J226" s="71"/>
      <c r="K226" s="35" t="s">
        <v>65</v>
      </c>
      <c r="L226" s="79">
        <v>226</v>
      </c>
      <c r="M226" s="79"/>
      <c r="N226" s="73"/>
      <c r="O226" s="81" t="s">
        <v>501</v>
      </c>
      <c r="P226" s="83">
        <v>44645.23003472222</v>
      </c>
      <c r="Q226" s="81" t="s">
        <v>561</v>
      </c>
      <c r="R226" s="81"/>
      <c r="S226" s="81"/>
      <c r="T226" s="81"/>
      <c r="U226" s="81"/>
      <c r="V226" s="84" t="str">
        <f>HYPERLINK("https://pbs.twimg.com/profile_images/1463773270348550147/Z2zytlNT_normal.jpg")</f>
        <v>https://pbs.twimg.com/profile_images/1463773270348550147/Z2zytlNT_normal.jpg</v>
      </c>
      <c r="W226" s="83">
        <v>44645.23003472222</v>
      </c>
      <c r="X226" s="88">
        <v>44645</v>
      </c>
      <c r="Y226" s="85" t="s">
        <v>820</v>
      </c>
      <c r="Z226" s="84" t="str">
        <f>HYPERLINK("https://twitter.com/outikorpilahde/status/1507228598666768388")</f>
        <v>https://twitter.com/outikorpilahde/status/1507228598666768388</v>
      </c>
      <c r="AA226" s="81"/>
      <c r="AB226" s="81"/>
      <c r="AC226" s="85" t="s">
        <v>1089</v>
      </c>
      <c r="AD226" s="85" t="s">
        <v>1155</v>
      </c>
      <c r="AE226" s="81" t="b">
        <v>0</v>
      </c>
      <c r="AF226" s="81">
        <v>2</v>
      </c>
      <c r="AG226" s="85" t="s">
        <v>1173</v>
      </c>
      <c r="AH226" s="81" t="b">
        <v>0</v>
      </c>
      <c r="AI226" s="81" t="s">
        <v>1179</v>
      </c>
      <c r="AJ226" s="81"/>
      <c r="AK226" s="85" t="s">
        <v>1162</v>
      </c>
      <c r="AL226" s="81" t="b">
        <v>0</v>
      </c>
      <c r="AM226" s="81">
        <v>0</v>
      </c>
      <c r="AN226" s="85" t="s">
        <v>1162</v>
      </c>
      <c r="AO226" s="85" t="s">
        <v>1189</v>
      </c>
      <c r="AP226" s="81" t="b">
        <v>0</v>
      </c>
      <c r="AQ226" s="85" t="s">
        <v>1155</v>
      </c>
      <c r="AR226" s="81" t="s">
        <v>187</v>
      </c>
      <c r="AS226" s="81">
        <v>0</v>
      </c>
      <c r="AT226" s="81">
        <v>0</v>
      </c>
      <c r="AU226" s="81"/>
      <c r="AV226" s="81"/>
      <c r="AW226" s="81"/>
      <c r="AX226" s="81"/>
      <c r="AY226" s="81"/>
      <c r="AZ226" s="81"/>
      <c r="BA226" s="81"/>
      <c r="BB226" s="81"/>
      <c r="BC226">
        <v>1</v>
      </c>
      <c r="BD226" s="80" t="str">
        <f>REPLACE(INDEX(GroupVertices[Group],MATCH(Edges[[#This Row],[Vertex 1]],GroupVertices[Vertex],0)),1,1,"")</f>
        <v>4</v>
      </c>
      <c r="BE226" s="80" t="str">
        <f>REPLACE(INDEX(GroupVertices[Group],MATCH(Edges[[#This Row],[Vertex 2]],GroupVertices[Vertex],0)),1,1,"")</f>
        <v>1</v>
      </c>
      <c r="BF226" s="49"/>
      <c r="BG226" s="50"/>
      <c r="BH226" s="49"/>
      <c r="BI226" s="50"/>
      <c r="BJ226" s="49"/>
      <c r="BK226" s="50"/>
      <c r="BL226" s="49"/>
      <c r="BM226" s="50"/>
      <c r="BN226" s="49"/>
    </row>
    <row r="227" spans="1:66" ht="15">
      <c r="A227" s="65" t="s">
        <v>436</v>
      </c>
      <c r="B227" s="65" t="s">
        <v>483</v>
      </c>
      <c r="C227" s="66" t="s">
        <v>4392</v>
      </c>
      <c r="D227" s="67">
        <v>1</v>
      </c>
      <c r="E227" s="68" t="s">
        <v>132</v>
      </c>
      <c r="F227" s="69">
        <v>32</v>
      </c>
      <c r="G227" s="66" t="s">
        <v>51</v>
      </c>
      <c r="H227" s="70"/>
      <c r="I227" s="71"/>
      <c r="J227" s="71"/>
      <c r="K227" s="35" t="s">
        <v>65</v>
      </c>
      <c r="L227" s="79">
        <v>227</v>
      </c>
      <c r="M227" s="79"/>
      <c r="N227" s="73"/>
      <c r="O227" s="81" t="s">
        <v>502</v>
      </c>
      <c r="P227" s="83">
        <v>44645.23003472222</v>
      </c>
      <c r="Q227" s="81" t="s">
        <v>561</v>
      </c>
      <c r="R227" s="81"/>
      <c r="S227" s="81"/>
      <c r="T227" s="81"/>
      <c r="U227" s="81"/>
      <c r="V227" s="84" t="str">
        <f>HYPERLINK("https://pbs.twimg.com/profile_images/1463773270348550147/Z2zytlNT_normal.jpg")</f>
        <v>https://pbs.twimg.com/profile_images/1463773270348550147/Z2zytlNT_normal.jpg</v>
      </c>
      <c r="W227" s="83">
        <v>44645.23003472222</v>
      </c>
      <c r="X227" s="88">
        <v>44645</v>
      </c>
      <c r="Y227" s="85" t="s">
        <v>820</v>
      </c>
      <c r="Z227" s="84" t="str">
        <f>HYPERLINK("https://twitter.com/outikorpilahde/status/1507228598666768388")</f>
        <v>https://twitter.com/outikorpilahde/status/1507228598666768388</v>
      </c>
      <c r="AA227" s="81"/>
      <c r="AB227" s="81"/>
      <c r="AC227" s="85" t="s">
        <v>1089</v>
      </c>
      <c r="AD227" s="85" t="s">
        <v>1155</v>
      </c>
      <c r="AE227" s="81" t="b">
        <v>0</v>
      </c>
      <c r="AF227" s="81">
        <v>2</v>
      </c>
      <c r="AG227" s="85" t="s">
        <v>1173</v>
      </c>
      <c r="AH227" s="81" t="b">
        <v>0</v>
      </c>
      <c r="AI227" s="81" t="s">
        <v>1179</v>
      </c>
      <c r="AJ227" s="81"/>
      <c r="AK227" s="85" t="s">
        <v>1162</v>
      </c>
      <c r="AL227" s="81" t="b">
        <v>0</v>
      </c>
      <c r="AM227" s="81">
        <v>0</v>
      </c>
      <c r="AN227" s="85" t="s">
        <v>1162</v>
      </c>
      <c r="AO227" s="85" t="s">
        <v>1189</v>
      </c>
      <c r="AP227" s="81" t="b">
        <v>0</v>
      </c>
      <c r="AQ227" s="85" t="s">
        <v>1155</v>
      </c>
      <c r="AR227" s="81" t="s">
        <v>187</v>
      </c>
      <c r="AS227" s="81">
        <v>0</v>
      </c>
      <c r="AT227" s="81">
        <v>0</v>
      </c>
      <c r="AU227" s="81"/>
      <c r="AV227" s="81"/>
      <c r="AW227" s="81"/>
      <c r="AX227" s="81"/>
      <c r="AY227" s="81"/>
      <c r="AZ227" s="81"/>
      <c r="BA227" s="81"/>
      <c r="BB227" s="81"/>
      <c r="BC227">
        <v>1</v>
      </c>
      <c r="BD227" s="80" t="str">
        <f>REPLACE(INDEX(GroupVertices[Group],MATCH(Edges[[#This Row],[Vertex 1]],GroupVertices[Vertex],0)),1,1,"")</f>
        <v>4</v>
      </c>
      <c r="BE227" s="80" t="str">
        <f>REPLACE(INDEX(GroupVertices[Group],MATCH(Edges[[#This Row],[Vertex 2]],GroupVertices[Vertex],0)),1,1,"")</f>
        <v>4</v>
      </c>
      <c r="BF227" s="49">
        <v>0</v>
      </c>
      <c r="BG227" s="50">
        <v>0</v>
      </c>
      <c r="BH227" s="49">
        <v>0</v>
      </c>
      <c r="BI227" s="50">
        <v>0</v>
      </c>
      <c r="BJ227" s="49">
        <v>0</v>
      </c>
      <c r="BK227" s="50">
        <v>0</v>
      </c>
      <c r="BL227" s="49">
        <v>10</v>
      </c>
      <c r="BM227" s="50">
        <v>100</v>
      </c>
      <c r="BN227" s="49">
        <v>10</v>
      </c>
    </row>
    <row r="228" spans="1:66" ht="15">
      <c r="A228" s="65" t="s">
        <v>437</v>
      </c>
      <c r="B228" s="65" t="s">
        <v>479</v>
      </c>
      <c r="C228" s="66" t="s">
        <v>4392</v>
      </c>
      <c r="D228" s="67">
        <v>1</v>
      </c>
      <c r="E228" s="68" t="s">
        <v>132</v>
      </c>
      <c r="F228" s="69">
        <v>32</v>
      </c>
      <c r="G228" s="66" t="s">
        <v>51</v>
      </c>
      <c r="H228" s="70"/>
      <c r="I228" s="71"/>
      <c r="J228" s="71"/>
      <c r="K228" s="35" t="s">
        <v>65</v>
      </c>
      <c r="L228" s="79">
        <v>228</v>
      </c>
      <c r="M228" s="79"/>
      <c r="N228" s="73"/>
      <c r="O228" s="81" t="s">
        <v>504</v>
      </c>
      <c r="P228" s="83">
        <v>44645.23003472222</v>
      </c>
      <c r="Q228" s="81" t="s">
        <v>539</v>
      </c>
      <c r="R228" s="84" t="str">
        <f>HYPERLINK("https://www.hs.fi/talous/art-2000008704863.html")</f>
        <v>https://www.hs.fi/talous/art-2000008704863.html</v>
      </c>
      <c r="S228" s="81" t="s">
        <v>582</v>
      </c>
      <c r="T228" s="81"/>
      <c r="U228" s="81"/>
      <c r="V228" s="84" t="str">
        <f>HYPERLINK("https://pbs.twimg.com/profile_images/1506913810094989314/uhVjEOqW_normal.jpg")</f>
        <v>https://pbs.twimg.com/profile_images/1506913810094989314/uhVjEOqW_normal.jpg</v>
      </c>
      <c r="W228" s="83">
        <v>44645.23003472222</v>
      </c>
      <c r="X228" s="88">
        <v>44645</v>
      </c>
      <c r="Y228" s="85" t="s">
        <v>820</v>
      </c>
      <c r="Z228" s="84" t="str">
        <f>HYPERLINK("https://twitter.com/deepsami/status/1507228600227049489")</f>
        <v>https://twitter.com/deepsami/status/1507228600227049489</v>
      </c>
      <c r="AA228" s="81"/>
      <c r="AB228" s="81"/>
      <c r="AC228" s="85" t="s">
        <v>1090</v>
      </c>
      <c r="AD228" s="81"/>
      <c r="AE228" s="81" t="b">
        <v>0</v>
      </c>
      <c r="AF228" s="81">
        <v>0</v>
      </c>
      <c r="AG228" s="85" t="s">
        <v>1162</v>
      </c>
      <c r="AH228" s="81" t="b">
        <v>0</v>
      </c>
      <c r="AI228" s="81" t="s">
        <v>1179</v>
      </c>
      <c r="AJ228" s="81"/>
      <c r="AK228" s="85" t="s">
        <v>1162</v>
      </c>
      <c r="AL228" s="81" t="b">
        <v>0</v>
      </c>
      <c r="AM228" s="81">
        <v>103</v>
      </c>
      <c r="AN228" s="85" t="s">
        <v>1134</v>
      </c>
      <c r="AO228" s="85" t="s">
        <v>1188</v>
      </c>
      <c r="AP228" s="81" t="b">
        <v>0</v>
      </c>
      <c r="AQ228" s="85" t="s">
        <v>1134</v>
      </c>
      <c r="AR228" s="81" t="s">
        <v>187</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v>0</v>
      </c>
      <c r="BG228" s="50">
        <v>0</v>
      </c>
      <c r="BH228" s="49">
        <v>0</v>
      </c>
      <c r="BI228" s="50">
        <v>0</v>
      </c>
      <c r="BJ228" s="49">
        <v>0</v>
      </c>
      <c r="BK228" s="50">
        <v>0</v>
      </c>
      <c r="BL228" s="49">
        <v>33</v>
      </c>
      <c r="BM228" s="50">
        <v>100</v>
      </c>
      <c r="BN228" s="49">
        <v>33</v>
      </c>
    </row>
    <row r="229" spans="1:66" ht="15">
      <c r="A229" s="65" t="s">
        <v>438</v>
      </c>
      <c r="B229" s="65" t="s">
        <v>438</v>
      </c>
      <c r="C229" s="66" t="s">
        <v>4392</v>
      </c>
      <c r="D229" s="67">
        <v>1</v>
      </c>
      <c r="E229" s="68" t="s">
        <v>132</v>
      </c>
      <c r="F229" s="69">
        <v>32</v>
      </c>
      <c r="G229" s="66" t="s">
        <v>51</v>
      </c>
      <c r="H229" s="70"/>
      <c r="I229" s="71"/>
      <c r="J229" s="71"/>
      <c r="K229" s="35" t="s">
        <v>65</v>
      </c>
      <c r="L229" s="79">
        <v>229</v>
      </c>
      <c r="M229" s="79"/>
      <c r="N229" s="73"/>
      <c r="O229" s="81" t="s">
        <v>187</v>
      </c>
      <c r="P229" s="83">
        <v>44645.23496527778</v>
      </c>
      <c r="Q229" s="81" t="s">
        <v>562</v>
      </c>
      <c r="R229" s="81"/>
      <c r="S229" s="81"/>
      <c r="T229" s="81"/>
      <c r="U229" s="81"/>
      <c r="V229" s="84" t="str">
        <f>HYPERLINK("https://pbs.twimg.com/profile_images/1372467177023008769/QmqgnDC3_normal.jpg")</f>
        <v>https://pbs.twimg.com/profile_images/1372467177023008769/QmqgnDC3_normal.jpg</v>
      </c>
      <c r="W229" s="83">
        <v>44645.23496527778</v>
      </c>
      <c r="X229" s="88">
        <v>44645</v>
      </c>
      <c r="Y229" s="85" t="s">
        <v>821</v>
      </c>
      <c r="Z229" s="84" t="str">
        <f>HYPERLINK("https://twitter.com/oliver_loser/status/1507230384236515330")</f>
        <v>https://twitter.com/oliver_loser/status/1507230384236515330</v>
      </c>
      <c r="AA229" s="81"/>
      <c r="AB229" s="81"/>
      <c r="AC229" s="85" t="s">
        <v>1091</v>
      </c>
      <c r="AD229" s="81"/>
      <c r="AE229" s="81" t="b">
        <v>0</v>
      </c>
      <c r="AF229" s="81">
        <v>0</v>
      </c>
      <c r="AG229" s="85" t="s">
        <v>1162</v>
      </c>
      <c r="AH229" s="81" t="b">
        <v>0</v>
      </c>
      <c r="AI229" s="81" t="s">
        <v>1179</v>
      </c>
      <c r="AJ229" s="81"/>
      <c r="AK229" s="85" t="s">
        <v>1162</v>
      </c>
      <c r="AL229" s="81" t="b">
        <v>0</v>
      </c>
      <c r="AM229" s="81">
        <v>0</v>
      </c>
      <c r="AN229" s="85" t="s">
        <v>1162</v>
      </c>
      <c r="AO229" s="85" t="s">
        <v>1190</v>
      </c>
      <c r="AP229" s="81" t="b">
        <v>0</v>
      </c>
      <c r="AQ229" s="85" t="s">
        <v>1091</v>
      </c>
      <c r="AR229" s="81" t="s">
        <v>187</v>
      </c>
      <c r="AS229" s="81">
        <v>0</v>
      </c>
      <c r="AT229" s="81">
        <v>0</v>
      </c>
      <c r="AU229" s="81"/>
      <c r="AV229" s="81"/>
      <c r="AW229" s="81"/>
      <c r="AX229" s="81"/>
      <c r="AY229" s="81"/>
      <c r="AZ229" s="81"/>
      <c r="BA229" s="81"/>
      <c r="BB229" s="81"/>
      <c r="BC229">
        <v>1</v>
      </c>
      <c r="BD229" s="80" t="str">
        <f>REPLACE(INDEX(GroupVertices[Group],MATCH(Edges[[#This Row],[Vertex 1]],GroupVertices[Vertex],0)),1,1,"")</f>
        <v>3</v>
      </c>
      <c r="BE229" s="80" t="str">
        <f>REPLACE(INDEX(GroupVertices[Group],MATCH(Edges[[#This Row],[Vertex 2]],GroupVertices[Vertex],0)),1,1,"")</f>
        <v>3</v>
      </c>
      <c r="BF229" s="49">
        <v>0</v>
      </c>
      <c r="BG229" s="50">
        <v>0</v>
      </c>
      <c r="BH229" s="49">
        <v>0</v>
      </c>
      <c r="BI229" s="50">
        <v>0</v>
      </c>
      <c r="BJ229" s="49">
        <v>0</v>
      </c>
      <c r="BK229" s="50">
        <v>0</v>
      </c>
      <c r="BL229" s="49">
        <v>13</v>
      </c>
      <c r="BM229" s="50">
        <v>100</v>
      </c>
      <c r="BN229" s="49">
        <v>13</v>
      </c>
    </row>
    <row r="230" spans="1:66" ht="15">
      <c r="A230" s="65" t="s">
        <v>439</v>
      </c>
      <c r="B230" s="65" t="s">
        <v>479</v>
      </c>
      <c r="C230" s="66" t="s">
        <v>4392</v>
      </c>
      <c r="D230" s="67">
        <v>1</v>
      </c>
      <c r="E230" s="68" t="s">
        <v>132</v>
      </c>
      <c r="F230" s="69">
        <v>32</v>
      </c>
      <c r="G230" s="66" t="s">
        <v>51</v>
      </c>
      <c r="H230" s="70"/>
      <c r="I230" s="71"/>
      <c r="J230" s="71"/>
      <c r="K230" s="35" t="s">
        <v>65</v>
      </c>
      <c r="L230" s="79">
        <v>230</v>
      </c>
      <c r="M230" s="79"/>
      <c r="N230" s="73"/>
      <c r="O230" s="81" t="s">
        <v>504</v>
      </c>
      <c r="P230" s="83">
        <v>44645.23940972222</v>
      </c>
      <c r="Q230" s="81" t="s">
        <v>539</v>
      </c>
      <c r="R230" s="84" t="str">
        <f>HYPERLINK("https://www.hs.fi/talous/art-2000008704863.html")</f>
        <v>https://www.hs.fi/talous/art-2000008704863.html</v>
      </c>
      <c r="S230" s="81" t="s">
        <v>582</v>
      </c>
      <c r="T230" s="81"/>
      <c r="U230" s="81"/>
      <c r="V230" s="84" t="str">
        <f>HYPERLINK("https://pbs.twimg.com/profile_images/1504526227280998401/ghppzWgA_normal.jpg")</f>
        <v>https://pbs.twimg.com/profile_images/1504526227280998401/ghppzWgA_normal.jpg</v>
      </c>
      <c r="W230" s="83">
        <v>44645.23940972222</v>
      </c>
      <c r="X230" s="88">
        <v>44645</v>
      </c>
      <c r="Y230" s="85" t="s">
        <v>822</v>
      </c>
      <c r="Z230" s="84" t="str">
        <f>HYPERLINK("https://twitter.com/hhoenak/status/1507231997462204427")</f>
        <v>https://twitter.com/hhoenak/status/1507231997462204427</v>
      </c>
      <c r="AA230" s="81"/>
      <c r="AB230" s="81"/>
      <c r="AC230" s="85" t="s">
        <v>1092</v>
      </c>
      <c r="AD230" s="81"/>
      <c r="AE230" s="81" t="b">
        <v>0</v>
      </c>
      <c r="AF230" s="81">
        <v>0</v>
      </c>
      <c r="AG230" s="85" t="s">
        <v>1162</v>
      </c>
      <c r="AH230" s="81" t="b">
        <v>0</v>
      </c>
      <c r="AI230" s="81" t="s">
        <v>1179</v>
      </c>
      <c r="AJ230" s="81"/>
      <c r="AK230" s="85" t="s">
        <v>1162</v>
      </c>
      <c r="AL230" s="81" t="b">
        <v>0</v>
      </c>
      <c r="AM230" s="81">
        <v>103</v>
      </c>
      <c r="AN230" s="85" t="s">
        <v>1134</v>
      </c>
      <c r="AO230" s="85" t="s">
        <v>1188</v>
      </c>
      <c r="AP230" s="81" t="b">
        <v>0</v>
      </c>
      <c r="AQ230" s="85" t="s">
        <v>1134</v>
      </c>
      <c r="AR230" s="81" t="s">
        <v>187</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v>0</v>
      </c>
      <c r="BG230" s="50">
        <v>0</v>
      </c>
      <c r="BH230" s="49">
        <v>0</v>
      </c>
      <c r="BI230" s="50">
        <v>0</v>
      </c>
      <c r="BJ230" s="49">
        <v>0</v>
      </c>
      <c r="BK230" s="50">
        <v>0</v>
      </c>
      <c r="BL230" s="49">
        <v>33</v>
      </c>
      <c r="BM230" s="50">
        <v>100</v>
      </c>
      <c r="BN230" s="49">
        <v>33</v>
      </c>
    </row>
    <row r="231" spans="1:66" ht="15">
      <c r="A231" s="65" t="s">
        <v>440</v>
      </c>
      <c r="B231" s="65" t="s">
        <v>440</v>
      </c>
      <c r="C231" s="66" t="s">
        <v>4392</v>
      </c>
      <c r="D231" s="67">
        <v>1</v>
      </c>
      <c r="E231" s="68" t="s">
        <v>132</v>
      </c>
      <c r="F231" s="69">
        <v>32</v>
      </c>
      <c r="G231" s="66" t="s">
        <v>51</v>
      </c>
      <c r="H231" s="70"/>
      <c r="I231" s="71"/>
      <c r="J231" s="71"/>
      <c r="K231" s="35" t="s">
        <v>65</v>
      </c>
      <c r="L231" s="79">
        <v>231</v>
      </c>
      <c r="M231" s="79"/>
      <c r="N231" s="73"/>
      <c r="O231" s="81" t="s">
        <v>187</v>
      </c>
      <c r="P231" s="83">
        <v>44645.241898148146</v>
      </c>
      <c r="Q231" s="81" t="s">
        <v>563</v>
      </c>
      <c r="R231" s="84" t="str">
        <f>HYPERLINK("https://www.hs.fi/talous/art-2000008704863.html")</f>
        <v>https://www.hs.fi/talous/art-2000008704863.html</v>
      </c>
      <c r="S231" s="81" t="s">
        <v>582</v>
      </c>
      <c r="T231" s="81"/>
      <c r="U231" s="81"/>
      <c r="V231" s="84" t="str">
        <f>HYPERLINK("https://pbs.twimg.com/profile_images/1395007466644119560/clZPJh8O_normal.jpg")</f>
        <v>https://pbs.twimg.com/profile_images/1395007466644119560/clZPJh8O_normal.jpg</v>
      </c>
      <c r="W231" s="83">
        <v>44645.241898148146</v>
      </c>
      <c r="X231" s="88">
        <v>44645</v>
      </c>
      <c r="Y231" s="85" t="s">
        <v>823</v>
      </c>
      <c r="Z231" s="84" t="str">
        <f>HYPERLINK("https://twitter.com/villeilvonen/status/1507232896880418817")</f>
        <v>https://twitter.com/villeilvonen/status/1507232896880418817</v>
      </c>
      <c r="AA231" s="81"/>
      <c r="AB231" s="81"/>
      <c r="AC231" s="85" t="s">
        <v>1093</v>
      </c>
      <c r="AD231" s="81"/>
      <c r="AE231" s="81" t="b">
        <v>0</v>
      </c>
      <c r="AF231" s="81">
        <v>2</v>
      </c>
      <c r="AG231" s="85" t="s">
        <v>1162</v>
      </c>
      <c r="AH231" s="81" t="b">
        <v>0</v>
      </c>
      <c r="AI231" s="81" t="s">
        <v>1179</v>
      </c>
      <c r="AJ231" s="81"/>
      <c r="AK231" s="85" t="s">
        <v>1162</v>
      </c>
      <c r="AL231" s="81" t="b">
        <v>0</v>
      </c>
      <c r="AM231" s="81">
        <v>0</v>
      </c>
      <c r="AN231" s="85" t="s">
        <v>1162</v>
      </c>
      <c r="AO231" s="85" t="s">
        <v>1189</v>
      </c>
      <c r="AP231" s="81" t="b">
        <v>0</v>
      </c>
      <c r="AQ231" s="85" t="s">
        <v>1093</v>
      </c>
      <c r="AR231" s="81" t="s">
        <v>187</v>
      </c>
      <c r="AS231" s="81">
        <v>0</v>
      </c>
      <c r="AT231" s="81">
        <v>0</v>
      </c>
      <c r="AU231" s="81"/>
      <c r="AV231" s="81"/>
      <c r="AW231" s="81"/>
      <c r="AX231" s="81"/>
      <c r="AY231" s="81"/>
      <c r="AZ231" s="81"/>
      <c r="BA231" s="81"/>
      <c r="BB231" s="81"/>
      <c r="BC231">
        <v>1</v>
      </c>
      <c r="BD231" s="80" t="str">
        <f>REPLACE(INDEX(GroupVertices[Group],MATCH(Edges[[#This Row],[Vertex 1]],GroupVertices[Vertex],0)),1,1,"")</f>
        <v>3</v>
      </c>
      <c r="BE231" s="80" t="str">
        <f>REPLACE(INDEX(GroupVertices[Group],MATCH(Edges[[#This Row],[Vertex 2]],GroupVertices[Vertex],0)),1,1,"")</f>
        <v>3</v>
      </c>
      <c r="BF231" s="49">
        <v>0</v>
      </c>
      <c r="BG231" s="50">
        <v>0</v>
      </c>
      <c r="BH231" s="49">
        <v>0</v>
      </c>
      <c r="BI231" s="50">
        <v>0</v>
      </c>
      <c r="BJ231" s="49">
        <v>0</v>
      </c>
      <c r="BK231" s="50">
        <v>0</v>
      </c>
      <c r="BL231" s="49">
        <v>12</v>
      </c>
      <c r="BM231" s="50">
        <v>100</v>
      </c>
      <c r="BN231" s="49">
        <v>12</v>
      </c>
    </row>
    <row r="232" spans="1:66" ht="15">
      <c r="A232" s="65" t="s">
        <v>441</v>
      </c>
      <c r="B232" s="65" t="s">
        <v>479</v>
      </c>
      <c r="C232" s="66" t="s">
        <v>4392</v>
      </c>
      <c r="D232" s="67">
        <v>1</v>
      </c>
      <c r="E232" s="68" t="s">
        <v>132</v>
      </c>
      <c r="F232" s="69">
        <v>32</v>
      </c>
      <c r="G232" s="66" t="s">
        <v>51</v>
      </c>
      <c r="H232" s="70"/>
      <c r="I232" s="71"/>
      <c r="J232" s="71"/>
      <c r="K232" s="35" t="s">
        <v>65</v>
      </c>
      <c r="L232" s="79">
        <v>232</v>
      </c>
      <c r="M232" s="79"/>
      <c r="N232" s="73"/>
      <c r="O232" s="81" t="s">
        <v>502</v>
      </c>
      <c r="P232" s="83">
        <v>44645.24872685185</v>
      </c>
      <c r="Q232" s="81" t="s">
        <v>564</v>
      </c>
      <c r="R232" s="81"/>
      <c r="S232" s="81"/>
      <c r="T232" s="85" t="s">
        <v>591</v>
      </c>
      <c r="U232" s="81"/>
      <c r="V232" s="84" t="str">
        <f>HYPERLINK("https://pbs.twimg.com/profile_images/724211696508776448/AZuvH8ot_normal.jpg")</f>
        <v>https://pbs.twimg.com/profile_images/724211696508776448/AZuvH8ot_normal.jpg</v>
      </c>
      <c r="W232" s="83">
        <v>44645.24872685185</v>
      </c>
      <c r="X232" s="88">
        <v>44645</v>
      </c>
      <c r="Y232" s="85" t="s">
        <v>824</v>
      </c>
      <c r="Z232" s="84" t="str">
        <f>HYPERLINK("https://twitter.com/olliz_/status/1507235371272355842")</f>
        <v>https://twitter.com/olliz_/status/1507235371272355842</v>
      </c>
      <c r="AA232" s="81"/>
      <c r="AB232" s="81"/>
      <c r="AC232" s="85" t="s">
        <v>1094</v>
      </c>
      <c r="AD232" s="85" t="s">
        <v>1134</v>
      </c>
      <c r="AE232" s="81" t="b">
        <v>0</v>
      </c>
      <c r="AF232" s="81">
        <v>0</v>
      </c>
      <c r="AG232" s="85" t="s">
        <v>1168</v>
      </c>
      <c r="AH232" s="81" t="b">
        <v>0</v>
      </c>
      <c r="AI232" s="81" t="s">
        <v>1179</v>
      </c>
      <c r="AJ232" s="81"/>
      <c r="AK232" s="85" t="s">
        <v>1162</v>
      </c>
      <c r="AL232" s="81" t="b">
        <v>0</v>
      </c>
      <c r="AM232" s="81">
        <v>0</v>
      </c>
      <c r="AN232" s="85" t="s">
        <v>1162</v>
      </c>
      <c r="AO232" s="85" t="s">
        <v>1188</v>
      </c>
      <c r="AP232" s="81" t="b">
        <v>0</v>
      </c>
      <c r="AQ232" s="85" t="s">
        <v>1134</v>
      </c>
      <c r="AR232" s="81" t="s">
        <v>187</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c r="BF232" s="49">
        <v>0</v>
      </c>
      <c r="BG232" s="50">
        <v>0</v>
      </c>
      <c r="BH232" s="49">
        <v>0</v>
      </c>
      <c r="BI232" s="50">
        <v>0</v>
      </c>
      <c r="BJ232" s="49">
        <v>0</v>
      </c>
      <c r="BK232" s="50">
        <v>0</v>
      </c>
      <c r="BL232" s="49">
        <v>12</v>
      </c>
      <c r="BM232" s="50">
        <v>100</v>
      </c>
      <c r="BN232" s="49">
        <v>12</v>
      </c>
    </row>
    <row r="233" spans="1:66" ht="15">
      <c r="A233" s="65" t="s">
        <v>442</v>
      </c>
      <c r="B233" s="65" t="s">
        <v>442</v>
      </c>
      <c r="C233" s="66" t="s">
        <v>4392</v>
      </c>
      <c r="D233" s="67">
        <v>1</v>
      </c>
      <c r="E233" s="68" t="s">
        <v>132</v>
      </c>
      <c r="F233" s="69">
        <v>32</v>
      </c>
      <c r="G233" s="66" t="s">
        <v>51</v>
      </c>
      <c r="H233" s="70"/>
      <c r="I233" s="71"/>
      <c r="J233" s="71"/>
      <c r="K233" s="35" t="s">
        <v>65</v>
      </c>
      <c r="L233" s="79">
        <v>233</v>
      </c>
      <c r="M233" s="79"/>
      <c r="N233" s="73"/>
      <c r="O233" s="81" t="s">
        <v>187</v>
      </c>
      <c r="P233" s="83">
        <v>44645.254108796296</v>
      </c>
      <c r="Q233" s="81" t="s">
        <v>565</v>
      </c>
      <c r="R233" s="84" t="str">
        <f>HYPERLINK("https://twitter.com/SiniKorpinen/status/1507002634938380300")</f>
        <v>https://twitter.com/SiniKorpinen/status/1507002634938380300</v>
      </c>
      <c r="S233" s="81" t="s">
        <v>580</v>
      </c>
      <c r="T233" s="85" t="s">
        <v>597</v>
      </c>
      <c r="U233" s="81"/>
      <c r="V233" s="84" t="str">
        <f>HYPERLINK("https://pbs.twimg.com/profile_images/1072425226024206336/c7yQa6bX_normal.jpg")</f>
        <v>https://pbs.twimg.com/profile_images/1072425226024206336/c7yQa6bX_normal.jpg</v>
      </c>
      <c r="W233" s="83">
        <v>44645.254108796296</v>
      </c>
      <c r="X233" s="88">
        <v>44645</v>
      </c>
      <c r="Y233" s="85" t="s">
        <v>825</v>
      </c>
      <c r="Z233" s="84" t="str">
        <f>HYPERLINK("https://twitter.com/helenahulkko/status/1507237321678245889")</f>
        <v>https://twitter.com/helenahulkko/status/1507237321678245889</v>
      </c>
      <c r="AA233" s="81"/>
      <c r="AB233" s="81"/>
      <c r="AC233" s="85" t="s">
        <v>1095</v>
      </c>
      <c r="AD233" s="81"/>
      <c r="AE233" s="81" t="b">
        <v>0</v>
      </c>
      <c r="AF233" s="81">
        <v>5</v>
      </c>
      <c r="AG233" s="85" t="s">
        <v>1162</v>
      </c>
      <c r="AH233" s="81" t="b">
        <v>1</v>
      </c>
      <c r="AI233" s="81" t="s">
        <v>1179</v>
      </c>
      <c r="AJ233" s="81"/>
      <c r="AK233" s="85" t="s">
        <v>1187</v>
      </c>
      <c r="AL233" s="81" t="b">
        <v>0</v>
      </c>
      <c r="AM233" s="81">
        <v>0</v>
      </c>
      <c r="AN233" s="85" t="s">
        <v>1162</v>
      </c>
      <c r="AO233" s="85" t="s">
        <v>1189</v>
      </c>
      <c r="AP233" s="81" t="b">
        <v>0</v>
      </c>
      <c r="AQ233" s="85" t="s">
        <v>1095</v>
      </c>
      <c r="AR233" s="81" t="s">
        <v>187</v>
      </c>
      <c r="AS233" s="81">
        <v>0</v>
      </c>
      <c r="AT233" s="81">
        <v>0</v>
      </c>
      <c r="AU233" s="81"/>
      <c r="AV233" s="81"/>
      <c r="AW233" s="81"/>
      <c r="AX233" s="81"/>
      <c r="AY233" s="81"/>
      <c r="AZ233" s="81"/>
      <c r="BA233" s="81"/>
      <c r="BB233" s="81"/>
      <c r="BC233">
        <v>1</v>
      </c>
      <c r="BD233" s="80" t="str">
        <f>REPLACE(INDEX(GroupVertices[Group],MATCH(Edges[[#This Row],[Vertex 1]],GroupVertices[Vertex],0)),1,1,"")</f>
        <v>3</v>
      </c>
      <c r="BE233" s="80" t="str">
        <f>REPLACE(INDEX(GroupVertices[Group],MATCH(Edges[[#This Row],[Vertex 2]],GroupVertices[Vertex],0)),1,1,"")</f>
        <v>3</v>
      </c>
      <c r="BF233" s="49">
        <v>0</v>
      </c>
      <c r="BG233" s="50">
        <v>0</v>
      </c>
      <c r="BH233" s="49">
        <v>0</v>
      </c>
      <c r="BI233" s="50">
        <v>0</v>
      </c>
      <c r="BJ233" s="49">
        <v>0</v>
      </c>
      <c r="BK233" s="50">
        <v>0</v>
      </c>
      <c r="BL233" s="49">
        <v>8</v>
      </c>
      <c r="BM233" s="50">
        <v>100</v>
      </c>
      <c r="BN233" s="49">
        <v>8</v>
      </c>
    </row>
    <row r="234" spans="1:66" ht="15">
      <c r="A234" s="65" t="s">
        <v>443</v>
      </c>
      <c r="B234" s="65" t="s">
        <v>498</v>
      </c>
      <c r="C234" s="66" t="s">
        <v>4392</v>
      </c>
      <c r="D234" s="67">
        <v>1</v>
      </c>
      <c r="E234" s="68" t="s">
        <v>132</v>
      </c>
      <c r="F234" s="69">
        <v>32</v>
      </c>
      <c r="G234" s="66" t="s">
        <v>51</v>
      </c>
      <c r="H234" s="70"/>
      <c r="I234" s="71"/>
      <c r="J234" s="71"/>
      <c r="K234" s="35" t="s">
        <v>65</v>
      </c>
      <c r="L234" s="79">
        <v>234</v>
      </c>
      <c r="M234" s="79"/>
      <c r="N234" s="73"/>
      <c r="O234" s="81" t="s">
        <v>502</v>
      </c>
      <c r="P234" s="83">
        <v>44645.25976851852</v>
      </c>
      <c r="Q234" s="81" t="s">
        <v>566</v>
      </c>
      <c r="R234" s="81"/>
      <c r="S234" s="81"/>
      <c r="T234" s="81"/>
      <c r="U234" s="81"/>
      <c r="V234" s="84" t="str">
        <f>HYPERLINK("https://pbs.twimg.com/profile_images/3488926102/d2a738c36a3651bc8f465a783e805fda_normal.jpeg")</f>
        <v>https://pbs.twimg.com/profile_images/3488926102/d2a738c36a3651bc8f465a783e805fda_normal.jpeg</v>
      </c>
      <c r="W234" s="83">
        <v>44645.25976851852</v>
      </c>
      <c r="X234" s="88">
        <v>44645</v>
      </c>
      <c r="Y234" s="85" t="s">
        <v>826</v>
      </c>
      <c r="Z234" s="84" t="str">
        <f>HYPERLINK("https://twitter.com/katsojana/status/1507239372160122880")</f>
        <v>https://twitter.com/katsojana/status/1507239372160122880</v>
      </c>
      <c r="AA234" s="81"/>
      <c r="AB234" s="81"/>
      <c r="AC234" s="85" t="s">
        <v>1096</v>
      </c>
      <c r="AD234" s="85" t="s">
        <v>1156</v>
      </c>
      <c r="AE234" s="81" t="b">
        <v>0</v>
      </c>
      <c r="AF234" s="81">
        <v>0</v>
      </c>
      <c r="AG234" s="85" t="s">
        <v>1174</v>
      </c>
      <c r="AH234" s="81" t="b">
        <v>0</v>
      </c>
      <c r="AI234" s="81" t="s">
        <v>1179</v>
      </c>
      <c r="AJ234" s="81"/>
      <c r="AK234" s="85" t="s">
        <v>1162</v>
      </c>
      <c r="AL234" s="81" t="b">
        <v>0</v>
      </c>
      <c r="AM234" s="81">
        <v>0</v>
      </c>
      <c r="AN234" s="85" t="s">
        <v>1162</v>
      </c>
      <c r="AO234" s="85" t="s">
        <v>1191</v>
      </c>
      <c r="AP234" s="81" t="b">
        <v>0</v>
      </c>
      <c r="AQ234" s="85" t="s">
        <v>1156</v>
      </c>
      <c r="AR234" s="81" t="s">
        <v>187</v>
      </c>
      <c r="AS234" s="81">
        <v>0</v>
      </c>
      <c r="AT234" s="81">
        <v>0</v>
      </c>
      <c r="AU234" s="81"/>
      <c r="AV234" s="81"/>
      <c r="AW234" s="81"/>
      <c r="AX234" s="81"/>
      <c r="AY234" s="81"/>
      <c r="AZ234" s="81"/>
      <c r="BA234" s="81"/>
      <c r="BB234" s="81"/>
      <c r="BC234">
        <v>1</v>
      </c>
      <c r="BD234" s="80" t="str">
        <f>REPLACE(INDEX(GroupVertices[Group],MATCH(Edges[[#This Row],[Vertex 1]],GroupVertices[Vertex],0)),1,1,"")</f>
        <v>10</v>
      </c>
      <c r="BE234" s="80" t="str">
        <f>REPLACE(INDEX(GroupVertices[Group],MATCH(Edges[[#This Row],[Vertex 2]],GroupVertices[Vertex],0)),1,1,"")</f>
        <v>10</v>
      </c>
      <c r="BF234" s="49">
        <v>0</v>
      </c>
      <c r="BG234" s="50">
        <v>0</v>
      </c>
      <c r="BH234" s="49">
        <v>0</v>
      </c>
      <c r="BI234" s="50">
        <v>0</v>
      </c>
      <c r="BJ234" s="49">
        <v>0</v>
      </c>
      <c r="BK234" s="50">
        <v>0</v>
      </c>
      <c r="BL234" s="49">
        <v>20</v>
      </c>
      <c r="BM234" s="50">
        <v>100</v>
      </c>
      <c r="BN234" s="49">
        <v>20</v>
      </c>
    </row>
    <row r="235" spans="1:66" ht="15">
      <c r="A235" s="65" t="s">
        <v>443</v>
      </c>
      <c r="B235" s="65" t="s">
        <v>479</v>
      </c>
      <c r="C235" s="66" t="s">
        <v>4392</v>
      </c>
      <c r="D235" s="67">
        <v>1</v>
      </c>
      <c r="E235" s="68" t="s">
        <v>132</v>
      </c>
      <c r="F235" s="69">
        <v>32</v>
      </c>
      <c r="G235" s="66" t="s">
        <v>51</v>
      </c>
      <c r="H235" s="70"/>
      <c r="I235" s="71"/>
      <c r="J235" s="71"/>
      <c r="K235" s="35" t="s">
        <v>65</v>
      </c>
      <c r="L235" s="79">
        <v>235</v>
      </c>
      <c r="M235" s="79"/>
      <c r="N235" s="73"/>
      <c r="O235" s="81" t="s">
        <v>504</v>
      </c>
      <c r="P235" s="83">
        <v>44644.85517361111</v>
      </c>
      <c r="Q235" s="81" t="s">
        <v>539</v>
      </c>
      <c r="R235" s="84" t="str">
        <f>HYPERLINK("https://www.hs.fi/talous/art-2000008704863.html")</f>
        <v>https://www.hs.fi/talous/art-2000008704863.html</v>
      </c>
      <c r="S235" s="81" t="s">
        <v>582</v>
      </c>
      <c r="T235" s="81"/>
      <c r="U235" s="81"/>
      <c r="V235" s="84" t="str">
        <f>HYPERLINK("https://pbs.twimg.com/profile_images/3488926102/d2a738c36a3651bc8f465a783e805fda_normal.jpeg")</f>
        <v>https://pbs.twimg.com/profile_images/3488926102/d2a738c36a3651bc8f465a783e805fda_normal.jpeg</v>
      </c>
      <c r="W235" s="83">
        <v>44644.85517361111</v>
      </c>
      <c r="X235" s="88">
        <v>44644</v>
      </c>
      <c r="Y235" s="85" t="s">
        <v>827</v>
      </c>
      <c r="Z235" s="84" t="str">
        <f>HYPERLINK("https://twitter.com/katsojana/status/1507092752114323457")</f>
        <v>https://twitter.com/katsojana/status/1507092752114323457</v>
      </c>
      <c r="AA235" s="81"/>
      <c r="AB235" s="81"/>
      <c r="AC235" s="85" t="s">
        <v>1097</v>
      </c>
      <c r="AD235" s="81"/>
      <c r="AE235" s="81" t="b">
        <v>0</v>
      </c>
      <c r="AF235" s="81">
        <v>0</v>
      </c>
      <c r="AG235" s="85" t="s">
        <v>1162</v>
      </c>
      <c r="AH235" s="81" t="b">
        <v>0</v>
      </c>
      <c r="AI235" s="81" t="s">
        <v>1179</v>
      </c>
      <c r="AJ235" s="81"/>
      <c r="AK235" s="85" t="s">
        <v>1162</v>
      </c>
      <c r="AL235" s="81" t="b">
        <v>0</v>
      </c>
      <c r="AM235" s="81">
        <v>103</v>
      </c>
      <c r="AN235" s="85" t="s">
        <v>1134</v>
      </c>
      <c r="AO235" s="85" t="s">
        <v>1191</v>
      </c>
      <c r="AP235" s="81" t="b">
        <v>0</v>
      </c>
      <c r="AQ235" s="85" t="s">
        <v>1134</v>
      </c>
      <c r="AR235" s="81" t="s">
        <v>187</v>
      </c>
      <c r="AS235" s="81">
        <v>0</v>
      </c>
      <c r="AT235" s="81">
        <v>0</v>
      </c>
      <c r="AU235" s="81"/>
      <c r="AV235" s="81"/>
      <c r="AW235" s="81"/>
      <c r="AX235" s="81"/>
      <c r="AY235" s="81"/>
      <c r="AZ235" s="81"/>
      <c r="BA235" s="81"/>
      <c r="BB235" s="81"/>
      <c r="BC235">
        <v>1</v>
      </c>
      <c r="BD235" s="80" t="str">
        <f>REPLACE(INDEX(GroupVertices[Group],MATCH(Edges[[#This Row],[Vertex 1]],GroupVertices[Vertex],0)),1,1,"")</f>
        <v>10</v>
      </c>
      <c r="BE235" s="80" t="str">
        <f>REPLACE(INDEX(GroupVertices[Group],MATCH(Edges[[#This Row],[Vertex 2]],GroupVertices[Vertex],0)),1,1,"")</f>
        <v>1</v>
      </c>
      <c r="BF235" s="49">
        <v>0</v>
      </c>
      <c r="BG235" s="50">
        <v>0</v>
      </c>
      <c r="BH235" s="49">
        <v>0</v>
      </c>
      <c r="BI235" s="50">
        <v>0</v>
      </c>
      <c r="BJ235" s="49">
        <v>0</v>
      </c>
      <c r="BK235" s="50">
        <v>0</v>
      </c>
      <c r="BL235" s="49">
        <v>33</v>
      </c>
      <c r="BM235" s="50">
        <v>100</v>
      </c>
      <c r="BN235" s="49">
        <v>33</v>
      </c>
    </row>
    <row r="236" spans="1:66" ht="15">
      <c r="A236" s="65" t="s">
        <v>444</v>
      </c>
      <c r="B236" s="65" t="s">
        <v>479</v>
      </c>
      <c r="C236" s="66" t="s">
        <v>4392</v>
      </c>
      <c r="D236" s="67">
        <v>1</v>
      </c>
      <c r="E236" s="68" t="s">
        <v>132</v>
      </c>
      <c r="F236" s="69">
        <v>32</v>
      </c>
      <c r="G236" s="66" t="s">
        <v>51</v>
      </c>
      <c r="H236" s="70"/>
      <c r="I236" s="71"/>
      <c r="J236" s="71"/>
      <c r="K236" s="35" t="s">
        <v>65</v>
      </c>
      <c r="L236" s="79">
        <v>236</v>
      </c>
      <c r="M236" s="79"/>
      <c r="N236" s="73"/>
      <c r="O236" s="81" t="s">
        <v>504</v>
      </c>
      <c r="P236" s="83">
        <v>44645.30189814815</v>
      </c>
      <c r="Q236" s="81" t="s">
        <v>539</v>
      </c>
      <c r="R236" s="84" t="str">
        <f>HYPERLINK("https://www.hs.fi/talous/art-2000008704863.html")</f>
        <v>https://www.hs.fi/talous/art-2000008704863.html</v>
      </c>
      <c r="S236" s="81" t="s">
        <v>582</v>
      </c>
      <c r="T236" s="81"/>
      <c r="U236" s="81"/>
      <c r="V236" s="84" t="str">
        <f>HYPERLINK("https://pbs.twimg.com/profile_images/1667622196/IMG_5749_normal.jpg")</f>
        <v>https://pbs.twimg.com/profile_images/1667622196/IMG_5749_normal.jpg</v>
      </c>
      <c r="W236" s="83">
        <v>44645.30189814815</v>
      </c>
      <c r="X236" s="88">
        <v>44645</v>
      </c>
      <c r="Y236" s="85" t="s">
        <v>828</v>
      </c>
      <c r="Z236" s="84" t="str">
        <f>HYPERLINK("https://twitter.com/juha_penttinen/status/1507254642773741611")</f>
        <v>https://twitter.com/juha_penttinen/status/1507254642773741611</v>
      </c>
      <c r="AA236" s="81"/>
      <c r="AB236" s="81"/>
      <c r="AC236" s="85" t="s">
        <v>1098</v>
      </c>
      <c r="AD236" s="81"/>
      <c r="AE236" s="81" t="b">
        <v>0</v>
      </c>
      <c r="AF236" s="81">
        <v>0</v>
      </c>
      <c r="AG236" s="85" t="s">
        <v>1162</v>
      </c>
      <c r="AH236" s="81" t="b">
        <v>0</v>
      </c>
      <c r="AI236" s="81" t="s">
        <v>1179</v>
      </c>
      <c r="AJ236" s="81"/>
      <c r="AK236" s="85" t="s">
        <v>1162</v>
      </c>
      <c r="AL236" s="81" t="b">
        <v>0</v>
      </c>
      <c r="AM236" s="81">
        <v>103</v>
      </c>
      <c r="AN236" s="85" t="s">
        <v>1134</v>
      </c>
      <c r="AO236" s="85" t="s">
        <v>1190</v>
      </c>
      <c r="AP236" s="81" t="b">
        <v>0</v>
      </c>
      <c r="AQ236" s="85" t="s">
        <v>1134</v>
      </c>
      <c r="AR236" s="81" t="s">
        <v>187</v>
      </c>
      <c r="AS236" s="81">
        <v>0</v>
      </c>
      <c r="AT236" s="81">
        <v>0</v>
      </c>
      <c r="AU236" s="81"/>
      <c r="AV236" s="81"/>
      <c r="AW236" s="81"/>
      <c r="AX236" s="81"/>
      <c r="AY236" s="81"/>
      <c r="AZ236" s="81"/>
      <c r="BA236" s="81"/>
      <c r="BB236" s="81"/>
      <c r="BC236">
        <v>1</v>
      </c>
      <c r="BD236" s="80" t="str">
        <f>REPLACE(INDEX(GroupVertices[Group],MATCH(Edges[[#This Row],[Vertex 1]],GroupVertices[Vertex],0)),1,1,"")</f>
        <v>1</v>
      </c>
      <c r="BE236" s="80" t="str">
        <f>REPLACE(INDEX(GroupVertices[Group],MATCH(Edges[[#This Row],[Vertex 2]],GroupVertices[Vertex],0)),1,1,"")</f>
        <v>1</v>
      </c>
      <c r="BF236" s="49">
        <v>0</v>
      </c>
      <c r="BG236" s="50">
        <v>0</v>
      </c>
      <c r="BH236" s="49">
        <v>0</v>
      </c>
      <c r="BI236" s="50">
        <v>0</v>
      </c>
      <c r="BJ236" s="49">
        <v>0</v>
      </c>
      <c r="BK236" s="50">
        <v>0</v>
      </c>
      <c r="BL236" s="49">
        <v>33</v>
      </c>
      <c r="BM236" s="50">
        <v>100</v>
      </c>
      <c r="BN236" s="49">
        <v>33</v>
      </c>
    </row>
    <row r="237" spans="1:66" ht="15">
      <c r="A237" s="65" t="s">
        <v>445</v>
      </c>
      <c r="B237" s="65" t="s">
        <v>479</v>
      </c>
      <c r="C237" s="66" t="s">
        <v>4392</v>
      </c>
      <c r="D237" s="67">
        <v>1</v>
      </c>
      <c r="E237" s="68" t="s">
        <v>132</v>
      </c>
      <c r="F237" s="69">
        <v>32</v>
      </c>
      <c r="G237" s="66" t="s">
        <v>51</v>
      </c>
      <c r="H237" s="70"/>
      <c r="I237" s="71"/>
      <c r="J237" s="71"/>
      <c r="K237" s="35" t="s">
        <v>65</v>
      </c>
      <c r="L237" s="79">
        <v>237</v>
      </c>
      <c r="M237" s="79"/>
      <c r="N237" s="73"/>
      <c r="O237" s="81" t="s">
        <v>502</v>
      </c>
      <c r="P237" s="83">
        <v>44645.33666666667</v>
      </c>
      <c r="Q237" s="81" t="s">
        <v>567</v>
      </c>
      <c r="R237" s="81"/>
      <c r="S237" s="81"/>
      <c r="T237" s="81"/>
      <c r="U237" s="81"/>
      <c r="V237" s="84" t="str">
        <f>HYPERLINK("https://abs.twimg.com/sticky/default_profile_images/default_profile_normal.png")</f>
        <v>https://abs.twimg.com/sticky/default_profile_images/default_profile_normal.png</v>
      </c>
      <c r="W237" s="83">
        <v>44645.33666666667</v>
      </c>
      <c r="X237" s="88">
        <v>44645</v>
      </c>
      <c r="Y237" s="85" t="s">
        <v>829</v>
      </c>
      <c r="Z237" s="84" t="str">
        <f>HYPERLINK("https://twitter.com/mies15807389/status/1507267240986619909")</f>
        <v>https://twitter.com/mies15807389/status/1507267240986619909</v>
      </c>
      <c r="AA237" s="81"/>
      <c r="AB237" s="81"/>
      <c r="AC237" s="85" t="s">
        <v>1099</v>
      </c>
      <c r="AD237" s="85" t="s">
        <v>1157</v>
      </c>
      <c r="AE237" s="81" t="b">
        <v>0</v>
      </c>
      <c r="AF237" s="81">
        <v>0</v>
      </c>
      <c r="AG237" s="85" t="s">
        <v>1168</v>
      </c>
      <c r="AH237" s="81" t="b">
        <v>0</v>
      </c>
      <c r="AI237" s="81" t="s">
        <v>1179</v>
      </c>
      <c r="AJ237" s="81"/>
      <c r="AK237" s="85" t="s">
        <v>1162</v>
      </c>
      <c r="AL237" s="81" t="b">
        <v>0</v>
      </c>
      <c r="AM237" s="81">
        <v>0</v>
      </c>
      <c r="AN237" s="85" t="s">
        <v>1162</v>
      </c>
      <c r="AO237" s="85" t="s">
        <v>1190</v>
      </c>
      <c r="AP237" s="81" t="b">
        <v>0</v>
      </c>
      <c r="AQ237" s="85" t="s">
        <v>1157</v>
      </c>
      <c r="AR237" s="81" t="s">
        <v>187</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1</v>
      </c>
      <c r="BF237" s="49">
        <v>0</v>
      </c>
      <c r="BG237" s="50">
        <v>0</v>
      </c>
      <c r="BH237" s="49">
        <v>0</v>
      </c>
      <c r="BI237" s="50">
        <v>0</v>
      </c>
      <c r="BJ237" s="49">
        <v>0</v>
      </c>
      <c r="BK237" s="50">
        <v>0</v>
      </c>
      <c r="BL237" s="49">
        <v>9</v>
      </c>
      <c r="BM237" s="50">
        <v>100</v>
      </c>
      <c r="BN237" s="49">
        <v>9</v>
      </c>
    </row>
    <row r="238" spans="1:66" ht="15">
      <c r="A238" s="65" t="s">
        <v>446</v>
      </c>
      <c r="B238" s="65" t="s">
        <v>446</v>
      </c>
      <c r="C238" s="66" t="s">
        <v>4392</v>
      </c>
      <c r="D238" s="67">
        <v>1</v>
      </c>
      <c r="E238" s="68" t="s">
        <v>132</v>
      </c>
      <c r="F238" s="69">
        <v>32</v>
      </c>
      <c r="G238" s="66" t="s">
        <v>51</v>
      </c>
      <c r="H238" s="70"/>
      <c r="I238" s="71"/>
      <c r="J238" s="71"/>
      <c r="K238" s="35" t="s">
        <v>65</v>
      </c>
      <c r="L238" s="79">
        <v>238</v>
      </c>
      <c r="M238" s="79"/>
      <c r="N238" s="73"/>
      <c r="O238" s="81" t="s">
        <v>187</v>
      </c>
      <c r="P238" s="83">
        <v>44645.35084490741</v>
      </c>
      <c r="Q238" s="81" t="s">
        <v>568</v>
      </c>
      <c r="R238" s="84" t="str">
        <f>HYPERLINK("https://www.hs.fi/talous/art-2000008704863.html")</f>
        <v>https://www.hs.fi/talous/art-2000008704863.html</v>
      </c>
      <c r="S238" s="81" t="s">
        <v>582</v>
      </c>
      <c r="T238" s="85" t="s">
        <v>598</v>
      </c>
      <c r="U238" s="81"/>
      <c r="V238" s="84" t="str">
        <f>HYPERLINK("https://pbs.twimg.com/profile_images/608604648300277760/6ASRa7Z3_normal.jpg")</f>
        <v>https://pbs.twimg.com/profile_images/608604648300277760/6ASRa7Z3_normal.jpg</v>
      </c>
      <c r="W238" s="83">
        <v>44645.35084490741</v>
      </c>
      <c r="X238" s="88">
        <v>44645</v>
      </c>
      <c r="Y238" s="85" t="s">
        <v>830</v>
      </c>
      <c r="Z238" s="84" t="str">
        <f>HYPERLINK("https://twitter.com/satuhujanen/status/1507272380120457219")</f>
        <v>https://twitter.com/satuhujanen/status/1507272380120457219</v>
      </c>
      <c r="AA238" s="81"/>
      <c r="AB238" s="81"/>
      <c r="AC238" s="85" t="s">
        <v>1100</v>
      </c>
      <c r="AD238" s="81"/>
      <c r="AE238" s="81" t="b">
        <v>0</v>
      </c>
      <c r="AF238" s="81">
        <v>2</v>
      </c>
      <c r="AG238" s="85" t="s">
        <v>1162</v>
      </c>
      <c r="AH238" s="81" t="b">
        <v>0</v>
      </c>
      <c r="AI238" s="81" t="s">
        <v>1179</v>
      </c>
      <c r="AJ238" s="81"/>
      <c r="AK238" s="85" t="s">
        <v>1162</v>
      </c>
      <c r="AL238" s="81" t="b">
        <v>0</v>
      </c>
      <c r="AM238" s="81">
        <v>0</v>
      </c>
      <c r="AN238" s="85" t="s">
        <v>1162</v>
      </c>
      <c r="AO238" s="85" t="s">
        <v>1189</v>
      </c>
      <c r="AP238" s="81" t="b">
        <v>0</v>
      </c>
      <c r="AQ238" s="85" t="s">
        <v>1100</v>
      </c>
      <c r="AR238" s="81" t="s">
        <v>187</v>
      </c>
      <c r="AS238" s="81">
        <v>0</v>
      </c>
      <c r="AT238" s="81">
        <v>0</v>
      </c>
      <c r="AU238" s="81"/>
      <c r="AV238" s="81"/>
      <c r="AW238" s="81"/>
      <c r="AX238" s="81"/>
      <c r="AY238" s="81"/>
      <c r="AZ238" s="81"/>
      <c r="BA238" s="81"/>
      <c r="BB238" s="81"/>
      <c r="BC238">
        <v>1</v>
      </c>
      <c r="BD238" s="80" t="str">
        <f>REPLACE(INDEX(GroupVertices[Group],MATCH(Edges[[#This Row],[Vertex 1]],GroupVertices[Vertex],0)),1,1,"")</f>
        <v>3</v>
      </c>
      <c r="BE238" s="80" t="str">
        <f>REPLACE(INDEX(GroupVertices[Group],MATCH(Edges[[#This Row],[Vertex 2]],GroupVertices[Vertex],0)),1,1,"")</f>
        <v>3</v>
      </c>
      <c r="BF238" s="49">
        <v>0</v>
      </c>
      <c r="BG238" s="50">
        <v>0</v>
      </c>
      <c r="BH238" s="49">
        <v>0</v>
      </c>
      <c r="BI238" s="50">
        <v>0</v>
      </c>
      <c r="BJ238" s="49">
        <v>0</v>
      </c>
      <c r="BK238" s="50">
        <v>0</v>
      </c>
      <c r="BL238" s="49">
        <v>24</v>
      </c>
      <c r="BM238" s="50">
        <v>100</v>
      </c>
      <c r="BN238" s="49">
        <v>24</v>
      </c>
    </row>
    <row r="239" spans="1:66" ht="15">
      <c r="A239" s="65" t="s">
        <v>447</v>
      </c>
      <c r="B239" s="65" t="s">
        <v>447</v>
      </c>
      <c r="C239" s="66" t="s">
        <v>4392</v>
      </c>
      <c r="D239" s="67">
        <v>1</v>
      </c>
      <c r="E239" s="68" t="s">
        <v>132</v>
      </c>
      <c r="F239" s="69">
        <v>32</v>
      </c>
      <c r="G239" s="66" t="s">
        <v>51</v>
      </c>
      <c r="H239" s="70"/>
      <c r="I239" s="71"/>
      <c r="J239" s="71"/>
      <c r="K239" s="35" t="s">
        <v>65</v>
      </c>
      <c r="L239" s="79">
        <v>239</v>
      </c>
      <c r="M239" s="79"/>
      <c r="N239" s="73"/>
      <c r="O239" s="81" t="s">
        <v>187</v>
      </c>
      <c r="P239" s="83">
        <v>44645.35983796296</v>
      </c>
      <c r="Q239" s="81" t="s">
        <v>569</v>
      </c>
      <c r="R239" s="84" t="str">
        <f>HYPERLINK("https://www.hs.fi/talous/art-2000008704863.html")</f>
        <v>https://www.hs.fi/talous/art-2000008704863.html</v>
      </c>
      <c r="S239" s="81" t="s">
        <v>582</v>
      </c>
      <c r="T239" s="81"/>
      <c r="U239" s="84" t="str">
        <f>HYPERLINK("https://pbs.twimg.com/media/FOrrMvYWUAAUPEw.jpg")</f>
        <v>https://pbs.twimg.com/media/FOrrMvYWUAAUPEw.jpg</v>
      </c>
      <c r="V239" s="84" t="str">
        <f>HYPERLINK("https://pbs.twimg.com/media/FOrrMvYWUAAUPEw.jpg")</f>
        <v>https://pbs.twimg.com/media/FOrrMvYWUAAUPEw.jpg</v>
      </c>
      <c r="W239" s="83">
        <v>44645.35983796296</v>
      </c>
      <c r="X239" s="88">
        <v>44645</v>
      </c>
      <c r="Y239" s="85" t="s">
        <v>831</v>
      </c>
      <c r="Z239" s="84" t="str">
        <f>HYPERLINK("https://twitter.com/heinilamarika/status/1507275636636803072")</f>
        <v>https://twitter.com/heinilamarika/status/1507275636636803072</v>
      </c>
      <c r="AA239" s="81"/>
      <c r="AB239" s="81"/>
      <c r="AC239" s="85" t="s">
        <v>1101</v>
      </c>
      <c r="AD239" s="81"/>
      <c r="AE239" s="81" t="b">
        <v>0</v>
      </c>
      <c r="AF239" s="81">
        <v>1</v>
      </c>
      <c r="AG239" s="85" t="s">
        <v>1162</v>
      </c>
      <c r="AH239" s="81" t="b">
        <v>0</v>
      </c>
      <c r="AI239" s="81" t="s">
        <v>1179</v>
      </c>
      <c r="AJ239" s="81"/>
      <c r="AK239" s="85" t="s">
        <v>1162</v>
      </c>
      <c r="AL239" s="81" t="b">
        <v>0</v>
      </c>
      <c r="AM239" s="81">
        <v>0</v>
      </c>
      <c r="AN239" s="85" t="s">
        <v>1162</v>
      </c>
      <c r="AO239" s="85" t="s">
        <v>1188</v>
      </c>
      <c r="AP239" s="81" t="b">
        <v>0</v>
      </c>
      <c r="AQ239" s="85" t="s">
        <v>1101</v>
      </c>
      <c r="AR239" s="81" t="s">
        <v>187</v>
      </c>
      <c r="AS239" s="81">
        <v>0</v>
      </c>
      <c r="AT239" s="81">
        <v>0</v>
      </c>
      <c r="AU239" s="81"/>
      <c r="AV239" s="81"/>
      <c r="AW239" s="81"/>
      <c r="AX239" s="81"/>
      <c r="AY239" s="81"/>
      <c r="AZ239" s="81"/>
      <c r="BA239" s="81"/>
      <c r="BB239" s="81"/>
      <c r="BC239">
        <v>1</v>
      </c>
      <c r="BD239" s="80" t="str">
        <f>REPLACE(INDEX(GroupVertices[Group],MATCH(Edges[[#This Row],[Vertex 1]],GroupVertices[Vertex],0)),1,1,"")</f>
        <v>3</v>
      </c>
      <c r="BE239" s="80" t="str">
        <f>REPLACE(INDEX(GroupVertices[Group],MATCH(Edges[[#This Row],[Vertex 2]],GroupVertices[Vertex],0)),1,1,"")</f>
        <v>3</v>
      </c>
      <c r="BF239" s="49">
        <v>0</v>
      </c>
      <c r="BG239" s="50">
        <v>0</v>
      </c>
      <c r="BH239" s="49">
        <v>0</v>
      </c>
      <c r="BI239" s="50">
        <v>0</v>
      </c>
      <c r="BJ239" s="49">
        <v>0</v>
      </c>
      <c r="BK239" s="50">
        <v>0</v>
      </c>
      <c r="BL239" s="49">
        <v>12</v>
      </c>
      <c r="BM239" s="50">
        <v>100</v>
      </c>
      <c r="BN239" s="49">
        <v>12</v>
      </c>
    </row>
    <row r="240" spans="1:66" ht="15">
      <c r="A240" s="65" t="s">
        <v>448</v>
      </c>
      <c r="B240" s="65" t="s">
        <v>448</v>
      </c>
      <c r="C240" s="66" t="s">
        <v>4392</v>
      </c>
      <c r="D240" s="67">
        <v>1</v>
      </c>
      <c r="E240" s="68" t="s">
        <v>132</v>
      </c>
      <c r="F240" s="69">
        <v>32</v>
      </c>
      <c r="G240" s="66" t="s">
        <v>51</v>
      </c>
      <c r="H240" s="70"/>
      <c r="I240" s="71"/>
      <c r="J240" s="71"/>
      <c r="K240" s="35" t="s">
        <v>65</v>
      </c>
      <c r="L240" s="79">
        <v>240</v>
      </c>
      <c r="M240" s="79"/>
      <c r="N240" s="73"/>
      <c r="O240" s="81" t="s">
        <v>187</v>
      </c>
      <c r="P240" s="83">
        <v>44645.361550925925</v>
      </c>
      <c r="Q240" s="81" t="s">
        <v>570</v>
      </c>
      <c r="R240" s="81"/>
      <c r="S240" s="81"/>
      <c r="T240" s="85" t="s">
        <v>599</v>
      </c>
      <c r="U240" s="84" t="str">
        <f>HYPERLINK("https://pbs.twimg.com/media/FOrrxItXEAE789Z.jpg")</f>
        <v>https://pbs.twimg.com/media/FOrrxItXEAE789Z.jpg</v>
      </c>
      <c r="V240" s="84" t="str">
        <f>HYPERLINK("https://pbs.twimg.com/media/FOrrxItXEAE789Z.jpg")</f>
        <v>https://pbs.twimg.com/media/FOrrxItXEAE789Z.jpg</v>
      </c>
      <c r="W240" s="83">
        <v>44645.361550925925</v>
      </c>
      <c r="X240" s="88">
        <v>44645</v>
      </c>
      <c r="Y240" s="85" t="s">
        <v>832</v>
      </c>
      <c r="Z240" s="84" t="str">
        <f>HYPERLINK("https://twitter.com/totentanzcomics/status/1507276260308926497")</f>
        <v>https://twitter.com/totentanzcomics/status/1507276260308926497</v>
      </c>
      <c r="AA240" s="81"/>
      <c r="AB240" s="81"/>
      <c r="AC240" s="85" t="s">
        <v>1102</v>
      </c>
      <c r="AD240" s="81"/>
      <c r="AE240" s="81" t="b">
        <v>0</v>
      </c>
      <c r="AF240" s="81">
        <v>0</v>
      </c>
      <c r="AG240" s="85" t="s">
        <v>1162</v>
      </c>
      <c r="AH240" s="81" t="b">
        <v>0</v>
      </c>
      <c r="AI240" s="81" t="s">
        <v>1179</v>
      </c>
      <c r="AJ240" s="81"/>
      <c r="AK240" s="85" t="s">
        <v>1162</v>
      </c>
      <c r="AL240" s="81" t="b">
        <v>0</v>
      </c>
      <c r="AM240" s="81">
        <v>0</v>
      </c>
      <c r="AN240" s="85" t="s">
        <v>1162</v>
      </c>
      <c r="AO240" s="85" t="s">
        <v>1188</v>
      </c>
      <c r="AP240" s="81" t="b">
        <v>0</v>
      </c>
      <c r="AQ240" s="85" t="s">
        <v>1102</v>
      </c>
      <c r="AR240" s="81" t="s">
        <v>187</v>
      </c>
      <c r="AS240" s="81">
        <v>0</v>
      </c>
      <c r="AT240" s="81">
        <v>0</v>
      </c>
      <c r="AU240" s="81"/>
      <c r="AV240" s="81"/>
      <c r="AW240" s="81"/>
      <c r="AX240" s="81"/>
      <c r="AY240" s="81"/>
      <c r="AZ240" s="81"/>
      <c r="BA240" s="81"/>
      <c r="BB240" s="81"/>
      <c r="BC240">
        <v>1</v>
      </c>
      <c r="BD240" s="80" t="str">
        <f>REPLACE(INDEX(GroupVertices[Group],MATCH(Edges[[#This Row],[Vertex 1]],GroupVertices[Vertex],0)),1,1,"")</f>
        <v>3</v>
      </c>
      <c r="BE240" s="80" t="str">
        <f>REPLACE(INDEX(GroupVertices[Group],MATCH(Edges[[#This Row],[Vertex 2]],GroupVertices[Vertex],0)),1,1,"")</f>
        <v>3</v>
      </c>
      <c r="BF240" s="49">
        <v>0</v>
      </c>
      <c r="BG240" s="50">
        <v>0</v>
      </c>
      <c r="BH240" s="49">
        <v>0</v>
      </c>
      <c r="BI240" s="50">
        <v>0</v>
      </c>
      <c r="BJ240" s="49">
        <v>0</v>
      </c>
      <c r="BK240" s="50">
        <v>0</v>
      </c>
      <c r="BL240" s="49">
        <v>23</v>
      </c>
      <c r="BM240" s="50">
        <v>100</v>
      </c>
      <c r="BN240" s="49">
        <v>23</v>
      </c>
    </row>
    <row r="241" spans="1:66" ht="15">
      <c r="A241" s="65" t="s">
        <v>449</v>
      </c>
      <c r="B241" s="65" t="s">
        <v>479</v>
      </c>
      <c r="C241" s="66" t="s">
        <v>4392</v>
      </c>
      <c r="D241" s="67">
        <v>1</v>
      </c>
      <c r="E241" s="68" t="s">
        <v>132</v>
      </c>
      <c r="F241" s="69">
        <v>32</v>
      </c>
      <c r="G241" s="66" t="s">
        <v>51</v>
      </c>
      <c r="H241" s="70"/>
      <c r="I241" s="71"/>
      <c r="J241" s="71"/>
      <c r="K241" s="35" t="s">
        <v>65</v>
      </c>
      <c r="L241" s="79">
        <v>241</v>
      </c>
      <c r="M241" s="79"/>
      <c r="N241" s="73"/>
      <c r="O241" s="81" t="s">
        <v>504</v>
      </c>
      <c r="P241" s="83">
        <v>44645.369363425925</v>
      </c>
      <c r="Q241" s="81" t="s">
        <v>539</v>
      </c>
      <c r="R241" s="84" t="str">
        <f>HYPERLINK("https://www.hs.fi/talous/art-2000008704863.html")</f>
        <v>https://www.hs.fi/talous/art-2000008704863.html</v>
      </c>
      <c r="S241" s="81" t="s">
        <v>582</v>
      </c>
      <c r="T241" s="81"/>
      <c r="U241" s="81"/>
      <c r="V241" s="84" t="str">
        <f>HYPERLINK("https://pbs.twimg.com/profile_images/985555365361274881/L8l3BJoE_normal.jpg")</f>
        <v>https://pbs.twimg.com/profile_images/985555365361274881/L8l3BJoE_normal.jpg</v>
      </c>
      <c r="W241" s="83">
        <v>44645.369363425925</v>
      </c>
      <c r="X241" s="88">
        <v>44645</v>
      </c>
      <c r="Y241" s="85" t="s">
        <v>833</v>
      </c>
      <c r="Z241" s="84" t="str">
        <f>HYPERLINK("https://twitter.com/pralinekaisa/status/1507279087525675018")</f>
        <v>https://twitter.com/pralinekaisa/status/1507279087525675018</v>
      </c>
      <c r="AA241" s="81"/>
      <c r="AB241" s="81"/>
      <c r="AC241" s="85" t="s">
        <v>1103</v>
      </c>
      <c r="AD241" s="81"/>
      <c r="AE241" s="81" t="b">
        <v>0</v>
      </c>
      <c r="AF241" s="81">
        <v>0</v>
      </c>
      <c r="AG241" s="85" t="s">
        <v>1162</v>
      </c>
      <c r="AH241" s="81" t="b">
        <v>0</v>
      </c>
      <c r="AI241" s="81" t="s">
        <v>1179</v>
      </c>
      <c r="AJ241" s="81"/>
      <c r="AK241" s="85" t="s">
        <v>1162</v>
      </c>
      <c r="AL241" s="81" t="b">
        <v>0</v>
      </c>
      <c r="AM241" s="81">
        <v>103</v>
      </c>
      <c r="AN241" s="85" t="s">
        <v>1134</v>
      </c>
      <c r="AO241" s="85" t="s">
        <v>1190</v>
      </c>
      <c r="AP241" s="81" t="b">
        <v>0</v>
      </c>
      <c r="AQ241" s="85" t="s">
        <v>1134</v>
      </c>
      <c r="AR241" s="81" t="s">
        <v>187</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1</v>
      </c>
      <c r="BF241" s="49">
        <v>0</v>
      </c>
      <c r="BG241" s="50">
        <v>0</v>
      </c>
      <c r="BH241" s="49">
        <v>0</v>
      </c>
      <c r="BI241" s="50">
        <v>0</v>
      </c>
      <c r="BJ241" s="49">
        <v>0</v>
      </c>
      <c r="BK241" s="50">
        <v>0</v>
      </c>
      <c r="BL241" s="49">
        <v>33</v>
      </c>
      <c r="BM241" s="50">
        <v>100</v>
      </c>
      <c r="BN241" s="49">
        <v>33</v>
      </c>
    </row>
    <row r="242" spans="1:66" ht="15">
      <c r="A242" s="65" t="s">
        <v>450</v>
      </c>
      <c r="B242" s="65" t="s">
        <v>450</v>
      </c>
      <c r="C242" s="66" t="s">
        <v>4392</v>
      </c>
      <c r="D242" s="67">
        <v>1</v>
      </c>
      <c r="E242" s="68" t="s">
        <v>132</v>
      </c>
      <c r="F242" s="69">
        <v>32</v>
      </c>
      <c r="G242" s="66" t="s">
        <v>51</v>
      </c>
      <c r="H242" s="70"/>
      <c r="I242" s="71"/>
      <c r="J242" s="71"/>
      <c r="K242" s="35" t="s">
        <v>65</v>
      </c>
      <c r="L242" s="79">
        <v>242</v>
      </c>
      <c r="M242" s="79"/>
      <c r="N242" s="73"/>
      <c r="O242" s="81" t="s">
        <v>187</v>
      </c>
      <c r="P242" s="83">
        <v>44645.39582175926</v>
      </c>
      <c r="Q242" s="81" t="s">
        <v>571</v>
      </c>
      <c r="R242" s="81"/>
      <c r="S242" s="81"/>
      <c r="T242" s="85" t="s">
        <v>600</v>
      </c>
      <c r="U242" s="81"/>
      <c r="V242" s="84" t="str">
        <f>HYPERLINK("https://pbs.twimg.com/profile_images/1203258087492198401/QC4hUaJB_normal.jpg")</f>
        <v>https://pbs.twimg.com/profile_images/1203258087492198401/QC4hUaJB_normal.jpg</v>
      </c>
      <c r="W242" s="83">
        <v>44645.39582175926</v>
      </c>
      <c r="X242" s="88">
        <v>44645</v>
      </c>
      <c r="Y242" s="85" t="s">
        <v>834</v>
      </c>
      <c r="Z242" s="84" t="str">
        <f>HYPERLINK("https://twitter.com/pasanen_satu/status/1507288678275633159")</f>
        <v>https://twitter.com/pasanen_satu/status/1507288678275633159</v>
      </c>
      <c r="AA242" s="81"/>
      <c r="AB242" s="81"/>
      <c r="AC242" s="85" t="s">
        <v>1104</v>
      </c>
      <c r="AD242" s="81"/>
      <c r="AE242" s="81" t="b">
        <v>0</v>
      </c>
      <c r="AF242" s="81">
        <v>1</v>
      </c>
      <c r="AG242" s="85" t="s">
        <v>1162</v>
      </c>
      <c r="AH242" s="81" t="b">
        <v>0</v>
      </c>
      <c r="AI242" s="81" t="s">
        <v>1179</v>
      </c>
      <c r="AJ242" s="81"/>
      <c r="AK242" s="85" t="s">
        <v>1162</v>
      </c>
      <c r="AL242" s="81" t="b">
        <v>0</v>
      </c>
      <c r="AM242" s="81">
        <v>0</v>
      </c>
      <c r="AN242" s="85" t="s">
        <v>1162</v>
      </c>
      <c r="AO242" s="85" t="s">
        <v>1190</v>
      </c>
      <c r="AP242" s="81" t="b">
        <v>0</v>
      </c>
      <c r="AQ242" s="85" t="s">
        <v>1104</v>
      </c>
      <c r="AR242" s="81" t="s">
        <v>187</v>
      </c>
      <c r="AS242" s="81">
        <v>0</v>
      </c>
      <c r="AT242" s="81">
        <v>0</v>
      </c>
      <c r="AU242" s="81"/>
      <c r="AV242" s="81"/>
      <c r="AW242" s="81"/>
      <c r="AX242" s="81"/>
      <c r="AY242" s="81"/>
      <c r="AZ242" s="81"/>
      <c r="BA242" s="81"/>
      <c r="BB242" s="81"/>
      <c r="BC242">
        <v>1</v>
      </c>
      <c r="BD242" s="80" t="str">
        <f>REPLACE(INDEX(GroupVertices[Group],MATCH(Edges[[#This Row],[Vertex 1]],GroupVertices[Vertex],0)),1,1,"")</f>
        <v>3</v>
      </c>
      <c r="BE242" s="80" t="str">
        <f>REPLACE(INDEX(GroupVertices[Group],MATCH(Edges[[#This Row],[Vertex 2]],GroupVertices[Vertex],0)),1,1,"")</f>
        <v>3</v>
      </c>
      <c r="BF242" s="49">
        <v>0</v>
      </c>
      <c r="BG242" s="50">
        <v>0</v>
      </c>
      <c r="BH242" s="49">
        <v>0</v>
      </c>
      <c r="BI242" s="50">
        <v>0</v>
      </c>
      <c r="BJ242" s="49">
        <v>0</v>
      </c>
      <c r="BK242" s="50">
        <v>0</v>
      </c>
      <c r="BL242" s="49">
        <v>22</v>
      </c>
      <c r="BM242" s="50">
        <v>100</v>
      </c>
      <c r="BN242" s="49">
        <v>22</v>
      </c>
    </row>
    <row r="243" spans="1:66" ht="15">
      <c r="A243" s="65" t="s">
        <v>451</v>
      </c>
      <c r="B243" s="65" t="s">
        <v>479</v>
      </c>
      <c r="C243" s="66" t="s">
        <v>4392</v>
      </c>
      <c r="D243" s="67">
        <v>1</v>
      </c>
      <c r="E243" s="68" t="s">
        <v>132</v>
      </c>
      <c r="F243" s="69">
        <v>32</v>
      </c>
      <c r="G243" s="66" t="s">
        <v>51</v>
      </c>
      <c r="H243" s="70"/>
      <c r="I243" s="71"/>
      <c r="J243" s="71"/>
      <c r="K243" s="35" t="s">
        <v>65</v>
      </c>
      <c r="L243" s="79">
        <v>243</v>
      </c>
      <c r="M243" s="79"/>
      <c r="N243" s="73"/>
      <c r="O243" s="81" t="s">
        <v>504</v>
      </c>
      <c r="P243" s="83">
        <v>44645.3996875</v>
      </c>
      <c r="Q243" s="81" t="s">
        <v>539</v>
      </c>
      <c r="R243" s="84" t="str">
        <f>HYPERLINK("https://www.hs.fi/talous/art-2000008704863.html")</f>
        <v>https://www.hs.fi/talous/art-2000008704863.html</v>
      </c>
      <c r="S243" s="81" t="s">
        <v>582</v>
      </c>
      <c r="T243" s="81"/>
      <c r="U243" s="81"/>
      <c r="V243" s="84" t="str">
        <f>HYPERLINK("https://pbs.twimg.com/profile_images/1497820799188750338/T_F0jTCU_normal.jpg")</f>
        <v>https://pbs.twimg.com/profile_images/1497820799188750338/T_F0jTCU_normal.jpg</v>
      </c>
      <c r="W243" s="83">
        <v>44645.3996875</v>
      </c>
      <c r="X243" s="88">
        <v>44645</v>
      </c>
      <c r="Y243" s="85" t="s">
        <v>835</v>
      </c>
      <c r="Z243" s="84" t="str">
        <f>HYPERLINK("https://twitter.com/seikkulansuvi/status/1507290078623801347")</f>
        <v>https://twitter.com/seikkulansuvi/status/1507290078623801347</v>
      </c>
      <c r="AA243" s="81"/>
      <c r="AB243" s="81"/>
      <c r="AC243" s="85" t="s">
        <v>1105</v>
      </c>
      <c r="AD243" s="81"/>
      <c r="AE243" s="81" t="b">
        <v>0</v>
      </c>
      <c r="AF243" s="81">
        <v>0</v>
      </c>
      <c r="AG243" s="85" t="s">
        <v>1162</v>
      </c>
      <c r="AH243" s="81" t="b">
        <v>0</v>
      </c>
      <c r="AI243" s="81" t="s">
        <v>1179</v>
      </c>
      <c r="AJ243" s="81"/>
      <c r="AK243" s="85" t="s">
        <v>1162</v>
      </c>
      <c r="AL243" s="81" t="b">
        <v>0</v>
      </c>
      <c r="AM243" s="81">
        <v>103</v>
      </c>
      <c r="AN243" s="85" t="s">
        <v>1134</v>
      </c>
      <c r="AO243" s="85" t="s">
        <v>1188</v>
      </c>
      <c r="AP243" s="81" t="b">
        <v>0</v>
      </c>
      <c r="AQ243" s="85" t="s">
        <v>1134</v>
      </c>
      <c r="AR243" s="81" t="s">
        <v>187</v>
      </c>
      <c r="AS243" s="81">
        <v>0</v>
      </c>
      <c r="AT243" s="81">
        <v>0</v>
      </c>
      <c r="AU243" s="81"/>
      <c r="AV243" s="81"/>
      <c r="AW243" s="81"/>
      <c r="AX243" s="81"/>
      <c r="AY243" s="81"/>
      <c r="AZ243" s="81"/>
      <c r="BA243" s="81"/>
      <c r="BB243" s="81"/>
      <c r="BC243">
        <v>1</v>
      </c>
      <c r="BD243" s="80" t="str">
        <f>REPLACE(INDEX(GroupVertices[Group],MATCH(Edges[[#This Row],[Vertex 1]],GroupVertices[Vertex],0)),1,1,"")</f>
        <v>1</v>
      </c>
      <c r="BE243" s="80" t="str">
        <f>REPLACE(INDEX(GroupVertices[Group],MATCH(Edges[[#This Row],[Vertex 2]],GroupVertices[Vertex],0)),1,1,"")</f>
        <v>1</v>
      </c>
      <c r="BF243" s="49">
        <v>0</v>
      </c>
      <c r="BG243" s="50">
        <v>0</v>
      </c>
      <c r="BH243" s="49">
        <v>0</v>
      </c>
      <c r="BI243" s="50">
        <v>0</v>
      </c>
      <c r="BJ243" s="49">
        <v>0</v>
      </c>
      <c r="BK243" s="50">
        <v>0</v>
      </c>
      <c r="BL243" s="49">
        <v>33</v>
      </c>
      <c r="BM243" s="50">
        <v>100</v>
      </c>
      <c r="BN243" s="49">
        <v>33</v>
      </c>
    </row>
    <row r="244" spans="1:66" ht="15">
      <c r="A244" s="65" t="s">
        <v>452</v>
      </c>
      <c r="B244" s="65" t="s">
        <v>479</v>
      </c>
      <c r="C244" s="66" t="s">
        <v>4392</v>
      </c>
      <c r="D244" s="67">
        <v>1</v>
      </c>
      <c r="E244" s="68" t="s">
        <v>132</v>
      </c>
      <c r="F244" s="69">
        <v>32</v>
      </c>
      <c r="G244" s="66" t="s">
        <v>51</v>
      </c>
      <c r="H244" s="70"/>
      <c r="I244" s="71"/>
      <c r="J244" s="71"/>
      <c r="K244" s="35" t="s">
        <v>65</v>
      </c>
      <c r="L244" s="79">
        <v>244</v>
      </c>
      <c r="M244" s="79"/>
      <c r="N244" s="73"/>
      <c r="O244" s="81" t="s">
        <v>504</v>
      </c>
      <c r="P244" s="83">
        <v>44645.40230324074</v>
      </c>
      <c r="Q244" s="81" t="s">
        <v>539</v>
      </c>
      <c r="R244" s="84" t="str">
        <f>HYPERLINK("https://www.hs.fi/talous/art-2000008704863.html")</f>
        <v>https://www.hs.fi/talous/art-2000008704863.html</v>
      </c>
      <c r="S244" s="81" t="s">
        <v>582</v>
      </c>
      <c r="T244" s="81"/>
      <c r="U244" s="81"/>
      <c r="V244" s="84" t="str">
        <f>HYPERLINK("https://pbs.twimg.com/profile_images/1501281468869496835/57q7C0B1_normal.jpg")</f>
        <v>https://pbs.twimg.com/profile_images/1501281468869496835/57q7C0B1_normal.jpg</v>
      </c>
      <c r="W244" s="83">
        <v>44645.40230324074</v>
      </c>
      <c r="X244" s="88">
        <v>44645</v>
      </c>
      <c r="Y244" s="85" t="s">
        <v>836</v>
      </c>
      <c r="Z244" s="84" t="str">
        <f>HYPERLINK("https://twitter.com/mimosan78/status/1507291024896495619")</f>
        <v>https://twitter.com/mimosan78/status/1507291024896495619</v>
      </c>
      <c r="AA244" s="81"/>
      <c r="AB244" s="81"/>
      <c r="AC244" s="85" t="s">
        <v>1106</v>
      </c>
      <c r="AD244" s="81"/>
      <c r="AE244" s="81" t="b">
        <v>0</v>
      </c>
      <c r="AF244" s="81">
        <v>0</v>
      </c>
      <c r="AG244" s="85" t="s">
        <v>1162</v>
      </c>
      <c r="AH244" s="81" t="b">
        <v>0</v>
      </c>
      <c r="AI244" s="81" t="s">
        <v>1179</v>
      </c>
      <c r="AJ244" s="81"/>
      <c r="AK244" s="85" t="s">
        <v>1162</v>
      </c>
      <c r="AL244" s="81" t="b">
        <v>0</v>
      </c>
      <c r="AM244" s="81">
        <v>103</v>
      </c>
      <c r="AN244" s="85" t="s">
        <v>1134</v>
      </c>
      <c r="AO244" s="85" t="s">
        <v>1189</v>
      </c>
      <c r="AP244" s="81" t="b">
        <v>0</v>
      </c>
      <c r="AQ244" s="85" t="s">
        <v>1134</v>
      </c>
      <c r="AR244" s="81" t="s">
        <v>187</v>
      </c>
      <c r="AS244" s="81">
        <v>0</v>
      </c>
      <c r="AT244" s="81">
        <v>0</v>
      </c>
      <c r="AU244" s="81"/>
      <c r="AV244" s="81"/>
      <c r="AW244" s="81"/>
      <c r="AX244" s="81"/>
      <c r="AY244" s="81"/>
      <c r="AZ244" s="81"/>
      <c r="BA244" s="81"/>
      <c r="BB244" s="81"/>
      <c r="BC244">
        <v>1</v>
      </c>
      <c r="BD244" s="80" t="str">
        <f>REPLACE(INDEX(GroupVertices[Group],MATCH(Edges[[#This Row],[Vertex 1]],GroupVertices[Vertex],0)),1,1,"")</f>
        <v>1</v>
      </c>
      <c r="BE244" s="80" t="str">
        <f>REPLACE(INDEX(GroupVertices[Group],MATCH(Edges[[#This Row],[Vertex 2]],GroupVertices[Vertex],0)),1,1,"")</f>
        <v>1</v>
      </c>
      <c r="BF244" s="49">
        <v>0</v>
      </c>
      <c r="BG244" s="50">
        <v>0</v>
      </c>
      <c r="BH244" s="49">
        <v>0</v>
      </c>
      <c r="BI244" s="50">
        <v>0</v>
      </c>
      <c r="BJ244" s="49">
        <v>0</v>
      </c>
      <c r="BK244" s="50">
        <v>0</v>
      </c>
      <c r="BL244" s="49">
        <v>33</v>
      </c>
      <c r="BM244" s="50">
        <v>100</v>
      </c>
      <c r="BN244" s="49">
        <v>33</v>
      </c>
    </row>
    <row r="245" spans="1:66" ht="15">
      <c r="A245" s="65" t="s">
        <v>453</v>
      </c>
      <c r="B245" s="65" t="s">
        <v>483</v>
      </c>
      <c r="C245" s="66" t="s">
        <v>4392</v>
      </c>
      <c r="D245" s="67">
        <v>1</v>
      </c>
      <c r="E245" s="68" t="s">
        <v>132</v>
      </c>
      <c r="F245" s="69">
        <v>32</v>
      </c>
      <c r="G245" s="66" t="s">
        <v>51</v>
      </c>
      <c r="H245" s="70"/>
      <c r="I245" s="71"/>
      <c r="J245" s="71"/>
      <c r="K245" s="35" t="s">
        <v>65</v>
      </c>
      <c r="L245" s="79">
        <v>245</v>
      </c>
      <c r="M245" s="79"/>
      <c r="N245" s="73"/>
      <c r="O245" s="81" t="s">
        <v>504</v>
      </c>
      <c r="P245" s="83">
        <v>44645.42040509259</v>
      </c>
      <c r="Q245" s="81" t="s">
        <v>572</v>
      </c>
      <c r="R245" s="81"/>
      <c r="S245" s="81"/>
      <c r="T245" s="85" t="s">
        <v>594</v>
      </c>
      <c r="U245" s="81"/>
      <c r="V245" s="84" t="str">
        <f>HYPERLINK("https://pbs.twimg.com/profile_images/1436657241868980225/flvroX5A_normal.jpg")</f>
        <v>https://pbs.twimg.com/profile_images/1436657241868980225/flvroX5A_normal.jpg</v>
      </c>
      <c r="W245" s="83">
        <v>44645.42040509259</v>
      </c>
      <c r="X245" s="88">
        <v>44645</v>
      </c>
      <c r="Y245" s="85" t="s">
        <v>837</v>
      </c>
      <c r="Z245" s="84" t="str">
        <f>HYPERLINK("https://twitter.com/jjflehtinen/status/1507297588223041625")</f>
        <v>https://twitter.com/jjflehtinen/status/1507297588223041625</v>
      </c>
      <c r="AA245" s="81"/>
      <c r="AB245" s="81"/>
      <c r="AC245" s="85" t="s">
        <v>1107</v>
      </c>
      <c r="AD245" s="81"/>
      <c r="AE245" s="81" t="b">
        <v>0</v>
      </c>
      <c r="AF245" s="81">
        <v>0</v>
      </c>
      <c r="AG245" s="85" t="s">
        <v>1162</v>
      </c>
      <c r="AH245" s="81" t="b">
        <v>0</v>
      </c>
      <c r="AI245" s="81" t="s">
        <v>1179</v>
      </c>
      <c r="AJ245" s="81"/>
      <c r="AK245" s="85" t="s">
        <v>1162</v>
      </c>
      <c r="AL245" s="81" t="b">
        <v>0</v>
      </c>
      <c r="AM245" s="81">
        <v>24</v>
      </c>
      <c r="AN245" s="85" t="s">
        <v>1139</v>
      </c>
      <c r="AO245" s="85" t="s">
        <v>1188</v>
      </c>
      <c r="AP245" s="81" t="b">
        <v>0</v>
      </c>
      <c r="AQ245" s="85" t="s">
        <v>1139</v>
      </c>
      <c r="AR245" s="81" t="s">
        <v>187</v>
      </c>
      <c r="AS245" s="81">
        <v>0</v>
      </c>
      <c r="AT245" s="81">
        <v>0</v>
      </c>
      <c r="AU245" s="81"/>
      <c r="AV245" s="81"/>
      <c r="AW245" s="81"/>
      <c r="AX245" s="81"/>
      <c r="AY245" s="81"/>
      <c r="AZ245" s="81"/>
      <c r="BA245" s="81"/>
      <c r="BB245" s="81"/>
      <c r="BC245">
        <v>1</v>
      </c>
      <c r="BD245" s="80" t="str">
        <f>REPLACE(INDEX(GroupVertices[Group],MATCH(Edges[[#This Row],[Vertex 1]],GroupVertices[Vertex],0)),1,1,"")</f>
        <v>4</v>
      </c>
      <c r="BE245" s="80" t="str">
        <f>REPLACE(INDEX(GroupVertices[Group],MATCH(Edges[[#This Row],[Vertex 2]],GroupVertices[Vertex],0)),1,1,"")</f>
        <v>4</v>
      </c>
      <c r="BF245" s="49">
        <v>0</v>
      </c>
      <c r="BG245" s="50">
        <v>0</v>
      </c>
      <c r="BH245" s="49">
        <v>0</v>
      </c>
      <c r="BI245" s="50">
        <v>0</v>
      </c>
      <c r="BJ245" s="49">
        <v>0</v>
      </c>
      <c r="BK245" s="50">
        <v>0</v>
      </c>
      <c r="BL245" s="49">
        <v>33</v>
      </c>
      <c r="BM245" s="50">
        <v>100</v>
      </c>
      <c r="BN245" s="49">
        <v>33</v>
      </c>
    </row>
    <row r="246" spans="1:66" ht="15">
      <c r="A246" s="65" t="s">
        <v>454</v>
      </c>
      <c r="B246" s="65" t="s">
        <v>454</v>
      </c>
      <c r="C246" s="66" t="s">
        <v>4392</v>
      </c>
      <c r="D246" s="67">
        <v>1</v>
      </c>
      <c r="E246" s="68" t="s">
        <v>132</v>
      </c>
      <c r="F246" s="69">
        <v>32</v>
      </c>
      <c r="G246" s="66" t="s">
        <v>51</v>
      </c>
      <c r="H246" s="70"/>
      <c r="I246" s="71"/>
      <c r="J246" s="71"/>
      <c r="K246" s="35" t="s">
        <v>65</v>
      </c>
      <c r="L246" s="79">
        <v>246</v>
      </c>
      <c r="M246" s="79"/>
      <c r="N246" s="73"/>
      <c r="O246" s="81" t="s">
        <v>187</v>
      </c>
      <c r="P246" s="83">
        <v>44645.421793981484</v>
      </c>
      <c r="Q246" s="81" t="s">
        <v>573</v>
      </c>
      <c r="R246" s="84" t="str">
        <f>HYPERLINK("https://twitter.com/MinnaLampinen/status/1507295956009639939")</f>
        <v>https://twitter.com/MinnaLampinen/status/1507295956009639939</v>
      </c>
      <c r="S246" s="81" t="s">
        <v>580</v>
      </c>
      <c r="T246" s="85" t="s">
        <v>601</v>
      </c>
      <c r="U246" s="81"/>
      <c r="V246" s="84" t="str">
        <f>HYPERLINK("https://pbs.twimg.com/profile_images/1297589829606281218/AOaUKstj_normal.jpg")</f>
        <v>https://pbs.twimg.com/profile_images/1297589829606281218/AOaUKstj_normal.jpg</v>
      </c>
      <c r="W246" s="83">
        <v>44645.421793981484</v>
      </c>
      <c r="X246" s="88">
        <v>44645</v>
      </c>
      <c r="Y246" s="85" t="s">
        <v>838</v>
      </c>
      <c r="Z246" s="84" t="str">
        <f>HYPERLINK("https://twitter.com/mmurdvee/status/1507298091095011331")</f>
        <v>https://twitter.com/mmurdvee/status/1507298091095011331</v>
      </c>
      <c r="AA246" s="81"/>
      <c r="AB246" s="81"/>
      <c r="AC246" s="85" t="s">
        <v>1108</v>
      </c>
      <c r="AD246" s="81"/>
      <c r="AE246" s="81" t="b">
        <v>0</v>
      </c>
      <c r="AF246" s="81">
        <v>0</v>
      </c>
      <c r="AG246" s="85" t="s">
        <v>1162</v>
      </c>
      <c r="AH246" s="81" t="b">
        <v>1</v>
      </c>
      <c r="AI246" s="81" t="s">
        <v>1179</v>
      </c>
      <c r="AJ246" s="81"/>
      <c r="AK246" s="85" t="s">
        <v>1139</v>
      </c>
      <c r="AL246" s="81" t="b">
        <v>0</v>
      </c>
      <c r="AM246" s="81">
        <v>0</v>
      </c>
      <c r="AN246" s="85" t="s">
        <v>1162</v>
      </c>
      <c r="AO246" s="85" t="s">
        <v>1188</v>
      </c>
      <c r="AP246" s="81" t="b">
        <v>0</v>
      </c>
      <c r="AQ246" s="85" t="s">
        <v>1108</v>
      </c>
      <c r="AR246" s="81" t="s">
        <v>187</v>
      </c>
      <c r="AS246" s="81">
        <v>0</v>
      </c>
      <c r="AT246" s="81">
        <v>0</v>
      </c>
      <c r="AU246" s="81"/>
      <c r="AV246" s="81"/>
      <c r="AW246" s="81"/>
      <c r="AX246" s="81"/>
      <c r="AY246" s="81"/>
      <c r="AZ246" s="81"/>
      <c r="BA246" s="81"/>
      <c r="BB246" s="81"/>
      <c r="BC246">
        <v>1</v>
      </c>
      <c r="BD246" s="80" t="str">
        <f>REPLACE(INDEX(GroupVertices[Group],MATCH(Edges[[#This Row],[Vertex 1]],GroupVertices[Vertex],0)),1,1,"")</f>
        <v>3</v>
      </c>
      <c r="BE246" s="80" t="str">
        <f>REPLACE(INDEX(GroupVertices[Group],MATCH(Edges[[#This Row],[Vertex 2]],GroupVertices[Vertex],0)),1,1,"")</f>
        <v>3</v>
      </c>
      <c r="BF246" s="49">
        <v>0</v>
      </c>
      <c r="BG246" s="50">
        <v>0</v>
      </c>
      <c r="BH246" s="49">
        <v>0</v>
      </c>
      <c r="BI246" s="50">
        <v>0</v>
      </c>
      <c r="BJ246" s="49">
        <v>0</v>
      </c>
      <c r="BK246" s="50">
        <v>0</v>
      </c>
      <c r="BL246" s="49">
        <v>8</v>
      </c>
      <c r="BM246" s="50">
        <v>100</v>
      </c>
      <c r="BN246" s="49">
        <v>8</v>
      </c>
    </row>
    <row r="247" spans="1:66" ht="15">
      <c r="A247" s="65" t="s">
        <v>455</v>
      </c>
      <c r="B247" s="65" t="s">
        <v>479</v>
      </c>
      <c r="C247" s="66" t="s">
        <v>4392</v>
      </c>
      <c r="D247" s="67">
        <v>1</v>
      </c>
      <c r="E247" s="68" t="s">
        <v>132</v>
      </c>
      <c r="F247" s="69">
        <v>32</v>
      </c>
      <c r="G247" s="66" t="s">
        <v>51</v>
      </c>
      <c r="H247" s="70"/>
      <c r="I247" s="71"/>
      <c r="J247" s="71"/>
      <c r="K247" s="35" t="s">
        <v>65</v>
      </c>
      <c r="L247" s="79">
        <v>247</v>
      </c>
      <c r="M247" s="79"/>
      <c r="N247" s="73"/>
      <c r="O247" s="81" t="s">
        <v>504</v>
      </c>
      <c r="P247" s="83">
        <v>44645.42251157408</v>
      </c>
      <c r="Q247" s="81" t="s">
        <v>539</v>
      </c>
      <c r="R247" s="84" t="str">
        <f>HYPERLINK("https://www.hs.fi/talous/art-2000008704863.html")</f>
        <v>https://www.hs.fi/talous/art-2000008704863.html</v>
      </c>
      <c r="S247" s="81" t="s">
        <v>582</v>
      </c>
      <c r="T247" s="81"/>
      <c r="U247" s="81"/>
      <c r="V247" s="84" t="str">
        <f>HYPERLINK("https://pbs.twimg.com/profile_images/848874068610822145/N347usQ4_normal.jpg")</f>
        <v>https://pbs.twimg.com/profile_images/848874068610822145/N347usQ4_normal.jpg</v>
      </c>
      <c r="W247" s="83">
        <v>44645.42251157408</v>
      </c>
      <c r="X247" s="88">
        <v>44645</v>
      </c>
      <c r="Y247" s="85" t="s">
        <v>839</v>
      </c>
      <c r="Z247" s="84" t="str">
        <f>HYPERLINK("https://twitter.com/ladadude/status/1507298347824070658")</f>
        <v>https://twitter.com/ladadude/status/1507298347824070658</v>
      </c>
      <c r="AA247" s="81"/>
      <c r="AB247" s="81"/>
      <c r="AC247" s="85" t="s">
        <v>1109</v>
      </c>
      <c r="AD247" s="81"/>
      <c r="AE247" s="81" t="b">
        <v>0</v>
      </c>
      <c r="AF247" s="81">
        <v>0</v>
      </c>
      <c r="AG247" s="85" t="s">
        <v>1162</v>
      </c>
      <c r="AH247" s="81" t="b">
        <v>0</v>
      </c>
      <c r="AI247" s="81" t="s">
        <v>1179</v>
      </c>
      <c r="AJ247" s="81"/>
      <c r="AK247" s="85" t="s">
        <v>1162</v>
      </c>
      <c r="AL247" s="81" t="b">
        <v>0</v>
      </c>
      <c r="AM247" s="81">
        <v>103</v>
      </c>
      <c r="AN247" s="85" t="s">
        <v>1134</v>
      </c>
      <c r="AO247" s="85" t="s">
        <v>1188</v>
      </c>
      <c r="AP247" s="81" t="b">
        <v>0</v>
      </c>
      <c r="AQ247" s="85" t="s">
        <v>1134</v>
      </c>
      <c r="AR247" s="81" t="s">
        <v>187</v>
      </c>
      <c r="AS247" s="81">
        <v>0</v>
      </c>
      <c r="AT247" s="81">
        <v>0</v>
      </c>
      <c r="AU247" s="81"/>
      <c r="AV247" s="81"/>
      <c r="AW247" s="81"/>
      <c r="AX247" s="81"/>
      <c r="AY247" s="81"/>
      <c r="AZ247" s="81"/>
      <c r="BA247" s="81"/>
      <c r="BB247" s="81"/>
      <c r="BC247">
        <v>1</v>
      </c>
      <c r="BD247" s="80" t="str">
        <f>REPLACE(INDEX(GroupVertices[Group],MATCH(Edges[[#This Row],[Vertex 1]],GroupVertices[Vertex],0)),1,1,"")</f>
        <v>1</v>
      </c>
      <c r="BE247" s="80" t="str">
        <f>REPLACE(INDEX(GroupVertices[Group],MATCH(Edges[[#This Row],[Vertex 2]],GroupVertices[Vertex],0)),1,1,"")</f>
        <v>1</v>
      </c>
      <c r="BF247" s="49">
        <v>0</v>
      </c>
      <c r="BG247" s="50">
        <v>0</v>
      </c>
      <c r="BH247" s="49">
        <v>0</v>
      </c>
      <c r="BI247" s="50">
        <v>0</v>
      </c>
      <c r="BJ247" s="49">
        <v>0</v>
      </c>
      <c r="BK247" s="50">
        <v>0</v>
      </c>
      <c r="BL247" s="49">
        <v>33</v>
      </c>
      <c r="BM247" s="50">
        <v>100</v>
      </c>
      <c r="BN247" s="49">
        <v>33</v>
      </c>
    </row>
    <row r="248" spans="1:66" ht="15">
      <c r="A248" s="65" t="s">
        <v>456</v>
      </c>
      <c r="B248" s="65" t="s">
        <v>483</v>
      </c>
      <c r="C248" s="66" t="s">
        <v>4392</v>
      </c>
      <c r="D248" s="67">
        <v>1</v>
      </c>
      <c r="E248" s="68" t="s">
        <v>132</v>
      </c>
      <c r="F248" s="69">
        <v>32</v>
      </c>
      <c r="G248" s="66" t="s">
        <v>51</v>
      </c>
      <c r="H248" s="70"/>
      <c r="I248" s="71"/>
      <c r="J248" s="71"/>
      <c r="K248" s="35" t="s">
        <v>65</v>
      </c>
      <c r="L248" s="79">
        <v>248</v>
      </c>
      <c r="M248" s="79"/>
      <c r="N248" s="73"/>
      <c r="O248" s="81" t="s">
        <v>504</v>
      </c>
      <c r="P248" s="83">
        <v>44645.42256944445</v>
      </c>
      <c r="Q248" s="81" t="s">
        <v>572</v>
      </c>
      <c r="R248" s="81"/>
      <c r="S248" s="81"/>
      <c r="T248" s="85" t="s">
        <v>594</v>
      </c>
      <c r="U248" s="81"/>
      <c r="V248" s="84" t="str">
        <f>HYPERLINK("https://pbs.twimg.com/profile_images/1417574436161691650/nAYaKpT__normal.jpg")</f>
        <v>https://pbs.twimg.com/profile_images/1417574436161691650/nAYaKpT__normal.jpg</v>
      </c>
      <c r="W248" s="83">
        <v>44645.42256944445</v>
      </c>
      <c r="X248" s="88">
        <v>44645</v>
      </c>
      <c r="Y248" s="85" t="s">
        <v>840</v>
      </c>
      <c r="Z248" s="84" t="str">
        <f>HYPERLINK("https://twitter.com/panopti92236644/status/1507298371601588227")</f>
        <v>https://twitter.com/panopti92236644/status/1507298371601588227</v>
      </c>
      <c r="AA248" s="81"/>
      <c r="AB248" s="81"/>
      <c r="AC248" s="85" t="s">
        <v>1110</v>
      </c>
      <c r="AD248" s="81"/>
      <c r="AE248" s="81" t="b">
        <v>0</v>
      </c>
      <c r="AF248" s="81">
        <v>0</v>
      </c>
      <c r="AG248" s="85" t="s">
        <v>1162</v>
      </c>
      <c r="AH248" s="81" t="b">
        <v>0</v>
      </c>
      <c r="AI248" s="81" t="s">
        <v>1179</v>
      </c>
      <c r="AJ248" s="81"/>
      <c r="AK248" s="85" t="s">
        <v>1162</v>
      </c>
      <c r="AL248" s="81" t="b">
        <v>0</v>
      </c>
      <c r="AM248" s="81">
        <v>24</v>
      </c>
      <c r="AN248" s="85" t="s">
        <v>1139</v>
      </c>
      <c r="AO248" s="85" t="s">
        <v>1189</v>
      </c>
      <c r="AP248" s="81" t="b">
        <v>0</v>
      </c>
      <c r="AQ248" s="85" t="s">
        <v>1139</v>
      </c>
      <c r="AR248" s="81" t="s">
        <v>187</v>
      </c>
      <c r="AS248" s="81">
        <v>0</v>
      </c>
      <c r="AT248" s="81">
        <v>0</v>
      </c>
      <c r="AU248" s="81"/>
      <c r="AV248" s="81"/>
      <c r="AW248" s="81"/>
      <c r="AX248" s="81"/>
      <c r="AY248" s="81"/>
      <c r="AZ248" s="81"/>
      <c r="BA248" s="81"/>
      <c r="BB248" s="81"/>
      <c r="BC248">
        <v>1</v>
      </c>
      <c r="BD248" s="80" t="str">
        <f>REPLACE(INDEX(GroupVertices[Group],MATCH(Edges[[#This Row],[Vertex 1]],GroupVertices[Vertex],0)),1,1,"")</f>
        <v>4</v>
      </c>
      <c r="BE248" s="80" t="str">
        <f>REPLACE(INDEX(GroupVertices[Group],MATCH(Edges[[#This Row],[Vertex 2]],GroupVertices[Vertex],0)),1,1,"")</f>
        <v>4</v>
      </c>
      <c r="BF248" s="49">
        <v>0</v>
      </c>
      <c r="BG248" s="50">
        <v>0</v>
      </c>
      <c r="BH248" s="49">
        <v>0</v>
      </c>
      <c r="BI248" s="50">
        <v>0</v>
      </c>
      <c r="BJ248" s="49">
        <v>0</v>
      </c>
      <c r="BK248" s="50">
        <v>0</v>
      </c>
      <c r="BL248" s="49">
        <v>33</v>
      </c>
      <c r="BM248" s="50">
        <v>100</v>
      </c>
      <c r="BN248" s="49">
        <v>33</v>
      </c>
    </row>
    <row r="249" spans="1:66" ht="15">
      <c r="A249" s="65" t="s">
        <v>457</v>
      </c>
      <c r="B249" s="65" t="s">
        <v>483</v>
      </c>
      <c r="C249" s="66" t="s">
        <v>4392</v>
      </c>
      <c r="D249" s="67">
        <v>1</v>
      </c>
      <c r="E249" s="68" t="s">
        <v>132</v>
      </c>
      <c r="F249" s="69">
        <v>32</v>
      </c>
      <c r="G249" s="66" t="s">
        <v>51</v>
      </c>
      <c r="H249" s="70"/>
      <c r="I249" s="71"/>
      <c r="J249" s="71"/>
      <c r="K249" s="35" t="s">
        <v>65</v>
      </c>
      <c r="L249" s="79">
        <v>249</v>
      </c>
      <c r="M249" s="79"/>
      <c r="N249" s="73"/>
      <c r="O249" s="81" t="s">
        <v>504</v>
      </c>
      <c r="P249" s="83">
        <v>44645.4253125</v>
      </c>
      <c r="Q249" s="81" t="s">
        <v>572</v>
      </c>
      <c r="R249" s="81"/>
      <c r="S249" s="81"/>
      <c r="T249" s="85" t="s">
        <v>594</v>
      </c>
      <c r="U249" s="81"/>
      <c r="V249" s="84" t="str">
        <f>HYPERLINK("https://pbs.twimg.com/profile_images/1252146430975844352/dBSg8Frt_normal.jpg")</f>
        <v>https://pbs.twimg.com/profile_images/1252146430975844352/dBSg8Frt_normal.jpg</v>
      </c>
      <c r="W249" s="83">
        <v>44645.4253125</v>
      </c>
      <c r="X249" s="88">
        <v>44645</v>
      </c>
      <c r="Y249" s="85" t="s">
        <v>841</v>
      </c>
      <c r="Z249" s="84" t="str">
        <f>HYPERLINK("https://twitter.com/j_makr/status/1507299363864948745")</f>
        <v>https://twitter.com/j_makr/status/1507299363864948745</v>
      </c>
      <c r="AA249" s="81"/>
      <c r="AB249" s="81"/>
      <c r="AC249" s="85" t="s">
        <v>1111</v>
      </c>
      <c r="AD249" s="81"/>
      <c r="AE249" s="81" t="b">
        <v>0</v>
      </c>
      <c r="AF249" s="81">
        <v>0</v>
      </c>
      <c r="AG249" s="85" t="s">
        <v>1162</v>
      </c>
      <c r="AH249" s="81" t="b">
        <v>0</v>
      </c>
      <c r="AI249" s="81" t="s">
        <v>1179</v>
      </c>
      <c r="AJ249" s="81"/>
      <c r="AK249" s="85" t="s">
        <v>1162</v>
      </c>
      <c r="AL249" s="81" t="b">
        <v>0</v>
      </c>
      <c r="AM249" s="81">
        <v>24</v>
      </c>
      <c r="AN249" s="85" t="s">
        <v>1139</v>
      </c>
      <c r="AO249" s="85" t="s">
        <v>1189</v>
      </c>
      <c r="AP249" s="81" t="b">
        <v>0</v>
      </c>
      <c r="AQ249" s="85" t="s">
        <v>1139</v>
      </c>
      <c r="AR249" s="81" t="s">
        <v>187</v>
      </c>
      <c r="AS249" s="81">
        <v>0</v>
      </c>
      <c r="AT249" s="81">
        <v>0</v>
      </c>
      <c r="AU249" s="81"/>
      <c r="AV249" s="81"/>
      <c r="AW249" s="81"/>
      <c r="AX249" s="81"/>
      <c r="AY249" s="81"/>
      <c r="AZ249" s="81"/>
      <c r="BA249" s="81"/>
      <c r="BB249" s="81"/>
      <c r="BC249">
        <v>1</v>
      </c>
      <c r="BD249" s="80" t="str">
        <f>REPLACE(INDEX(GroupVertices[Group],MATCH(Edges[[#This Row],[Vertex 1]],GroupVertices[Vertex],0)),1,1,"")</f>
        <v>4</v>
      </c>
      <c r="BE249" s="80" t="str">
        <f>REPLACE(INDEX(GroupVertices[Group],MATCH(Edges[[#This Row],[Vertex 2]],GroupVertices[Vertex],0)),1,1,"")</f>
        <v>4</v>
      </c>
      <c r="BF249" s="49">
        <v>0</v>
      </c>
      <c r="BG249" s="50">
        <v>0</v>
      </c>
      <c r="BH249" s="49">
        <v>0</v>
      </c>
      <c r="BI249" s="50">
        <v>0</v>
      </c>
      <c r="BJ249" s="49">
        <v>0</v>
      </c>
      <c r="BK249" s="50">
        <v>0</v>
      </c>
      <c r="BL249" s="49">
        <v>33</v>
      </c>
      <c r="BM249" s="50">
        <v>100</v>
      </c>
      <c r="BN249" s="49">
        <v>33</v>
      </c>
    </row>
    <row r="250" spans="1:66" ht="15">
      <c r="A250" s="65" t="s">
        <v>458</v>
      </c>
      <c r="B250" s="65" t="s">
        <v>483</v>
      </c>
      <c r="C250" s="66" t="s">
        <v>4392</v>
      </c>
      <c r="D250" s="67">
        <v>1</v>
      </c>
      <c r="E250" s="68" t="s">
        <v>132</v>
      </c>
      <c r="F250" s="69">
        <v>32</v>
      </c>
      <c r="G250" s="66" t="s">
        <v>51</v>
      </c>
      <c r="H250" s="70"/>
      <c r="I250" s="71"/>
      <c r="J250" s="71"/>
      <c r="K250" s="35" t="s">
        <v>65</v>
      </c>
      <c r="L250" s="79">
        <v>250</v>
      </c>
      <c r="M250" s="79"/>
      <c r="N250" s="73"/>
      <c r="O250" s="81" t="s">
        <v>504</v>
      </c>
      <c r="P250" s="83">
        <v>44645.42607638889</v>
      </c>
      <c r="Q250" s="81" t="s">
        <v>572</v>
      </c>
      <c r="R250" s="81"/>
      <c r="S250" s="81"/>
      <c r="T250" s="85" t="s">
        <v>594</v>
      </c>
      <c r="U250" s="81"/>
      <c r="V250" s="84" t="str">
        <f>HYPERLINK("https://pbs.twimg.com/profile_images/1404318005048270851/uO78qc5K_normal.jpg")</f>
        <v>https://pbs.twimg.com/profile_images/1404318005048270851/uO78qc5K_normal.jpg</v>
      </c>
      <c r="W250" s="83">
        <v>44645.42607638889</v>
      </c>
      <c r="X250" s="88">
        <v>44645</v>
      </c>
      <c r="Y250" s="85" t="s">
        <v>842</v>
      </c>
      <c r="Z250" s="84" t="str">
        <f>HYPERLINK("https://twitter.com/kreusharri/status/1507299641469067283")</f>
        <v>https://twitter.com/kreusharri/status/1507299641469067283</v>
      </c>
      <c r="AA250" s="81"/>
      <c r="AB250" s="81"/>
      <c r="AC250" s="85" t="s">
        <v>1112</v>
      </c>
      <c r="AD250" s="81"/>
      <c r="AE250" s="81" t="b">
        <v>0</v>
      </c>
      <c r="AF250" s="81">
        <v>0</v>
      </c>
      <c r="AG250" s="85" t="s">
        <v>1162</v>
      </c>
      <c r="AH250" s="81" t="b">
        <v>0</v>
      </c>
      <c r="AI250" s="81" t="s">
        <v>1179</v>
      </c>
      <c r="AJ250" s="81"/>
      <c r="AK250" s="85" t="s">
        <v>1162</v>
      </c>
      <c r="AL250" s="81" t="b">
        <v>0</v>
      </c>
      <c r="AM250" s="81">
        <v>24</v>
      </c>
      <c r="AN250" s="85" t="s">
        <v>1139</v>
      </c>
      <c r="AO250" s="85" t="s">
        <v>1188</v>
      </c>
      <c r="AP250" s="81" t="b">
        <v>0</v>
      </c>
      <c r="AQ250" s="85" t="s">
        <v>1139</v>
      </c>
      <c r="AR250" s="81" t="s">
        <v>187</v>
      </c>
      <c r="AS250" s="81">
        <v>0</v>
      </c>
      <c r="AT250" s="81">
        <v>0</v>
      </c>
      <c r="AU250" s="81"/>
      <c r="AV250" s="81"/>
      <c r="AW250" s="81"/>
      <c r="AX250" s="81"/>
      <c r="AY250" s="81"/>
      <c r="AZ250" s="81"/>
      <c r="BA250" s="81"/>
      <c r="BB250" s="81"/>
      <c r="BC250">
        <v>1</v>
      </c>
      <c r="BD250" s="80" t="str">
        <f>REPLACE(INDEX(GroupVertices[Group],MATCH(Edges[[#This Row],[Vertex 1]],GroupVertices[Vertex],0)),1,1,"")</f>
        <v>4</v>
      </c>
      <c r="BE250" s="80" t="str">
        <f>REPLACE(INDEX(GroupVertices[Group],MATCH(Edges[[#This Row],[Vertex 2]],GroupVertices[Vertex],0)),1,1,"")</f>
        <v>4</v>
      </c>
      <c r="BF250" s="49">
        <v>0</v>
      </c>
      <c r="BG250" s="50">
        <v>0</v>
      </c>
      <c r="BH250" s="49">
        <v>0</v>
      </c>
      <c r="BI250" s="50">
        <v>0</v>
      </c>
      <c r="BJ250" s="49">
        <v>0</v>
      </c>
      <c r="BK250" s="50">
        <v>0</v>
      </c>
      <c r="BL250" s="49">
        <v>33</v>
      </c>
      <c r="BM250" s="50">
        <v>100</v>
      </c>
      <c r="BN250" s="49">
        <v>33</v>
      </c>
    </row>
    <row r="251" spans="1:66" ht="15">
      <c r="A251" s="65" t="s">
        <v>459</v>
      </c>
      <c r="B251" s="65" t="s">
        <v>483</v>
      </c>
      <c r="C251" s="66" t="s">
        <v>4392</v>
      </c>
      <c r="D251" s="67">
        <v>1</v>
      </c>
      <c r="E251" s="68" t="s">
        <v>132</v>
      </c>
      <c r="F251" s="69">
        <v>32</v>
      </c>
      <c r="G251" s="66" t="s">
        <v>51</v>
      </c>
      <c r="H251" s="70"/>
      <c r="I251" s="71"/>
      <c r="J251" s="71"/>
      <c r="K251" s="35" t="s">
        <v>65</v>
      </c>
      <c r="L251" s="79">
        <v>251</v>
      </c>
      <c r="M251" s="79"/>
      <c r="N251" s="73"/>
      <c r="O251" s="81" t="s">
        <v>504</v>
      </c>
      <c r="P251" s="83">
        <v>44645.42685185185</v>
      </c>
      <c r="Q251" s="81" t="s">
        <v>572</v>
      </c>
      <c r="R251" s="81"/>
      <c r="S251" s="81"/>
      <c r="T251" s="85" t="s">
        <v>594</v>
      </c>
      <c r="U251" s="81"/>
      <c r="V251" s="84" t="str">
        <f>HYPERLINK("https://pbs.twimg.com/profile_images/1279396328498479105/CEClTohA_normal.jpg")</f>
        <v>https://pbs.twimg.com/profile_images/1279396328498479105/CEClTohA_normal.jpg</v>
      </c>
      <c r="W251" s="83">
        <v>44645.42685185185</v>
      </c>
      <c r="X251" s="88">
        <v>44645</v>
      </c>
      <c r="Y251" s="85" t="s">
        <v>843</v>
      </c>
      <c r="Z251" s="84" t="str">
        <f>HYPERLINK("https://twitter.com/rokrollhr/status/1507299924064587781")</f>
        <v>https://twitter.com/rokrollhr/status/1507299924064587781</v>
      </c>
      <c r="AA251" s="81"/>
      <c r="AB251" s="81"/>
      <c r="AC251" s="85" t="s">
        <v>1113</v>
      </c>
      <c r="AD251" s="81"/>
      <c r="AE251" s="81" t="b">
        <v>0</v>
      </c>
      <c r="AF251" s="81">
        <v>0</v>
      </c>
      <c r="AG251" s="85" t="s">
        <v>1162</v>
      </c>
      <c r="AH251" s="81" t="b">
        <v>0</v>
      </c>
      <c r="AI251" s="81" t="s">
        <v>1179</v>
      </c>
      <c r="AJ251" s="81"/>
      <c r="AK251" s="85" t="s">
        <v>1162</v>
      </c>
      <c r="AL251" s="81" t="b">
        <v>0</v>
      </c>
      <c r="AM251" s="81">
        <v>24</v>
      </c>
      <c r="AN251" s="85" t="s">
        <v>1139</v>
      </c>
      <c r="AO251" s="85" t="s">
        <v>1188</v>
      </c>
      <c r="AP251" s="81" t="b">
        <v>0</v>
      </c>
      <c r="AQ251" s="85" t="s">
        <v>1139</v>
      </c>
      <c r="AR251" s="81" t="s">
        <v>187</v>
      </c>
      <c r="AS251" s="81">
        <v>0</v>
      </c>
      <c r="AT251" s="81">
        <v>0</v>
      </c>
      <c r="AU251" s="81"/>
      <c r="AV251" s="81"/>
      <c r="AW251" s="81"/>
      <c r="AX251" s="81"/>
      <c r="AY251" s="81"/>
      <c r="AZ251" s="81"/>
      <c r="BA251" s="81"/>
      <c r="BB251" s="81"/>
      <c r="BC251">
        <v>1</v>
      </c>
      <c r="BD251" s="80" t="str">
        <f>REPLACE(INDEX(GroupVertices[Group],MATCH(Edges[[#This Row],[Vertex 1]],GroupVertices[Vertex],0)),1,1,"")</f>
        <v>4</v>
      </c>
      <c r="BE251" s="80" t="str">
        <f>REPLACE(INDEX(GroupVertices[Group],MATCH(Edges[[#This Row],[Vertex 2]],GroupVertices[Vertex],0)),1,1,"")</f>
        <v>4</v>
      </c>
      <c r="BF251" s="49">
        <v>0</v>
      </c>
      <c r="BG251" s="50">
        <v>0</v>
      </c>
      <c r="BH251" s="49">
        <v>0</v>
      </c>
      <c r="BI251" s="50">
        <v>0</v>
      </c>
      <c r="BJ251" s="49">
        <v>0</v>
      </c>
      <c r="BK251" s="50">
        <v>0</v>
      </c>
      <c r="BL251" s="49">
        <v>33</v>
      </c>
      <c r="BM251" s="50">
        <v>100</v>
      </c>
      <c r="BN251" s="49">
        <v>33</v>
      </c>
    </row>
    <row r="252" spans="1:66" ht="15">
      <c r="A252" s="65" t="s">
        <v>460</v>
      </c>
      <c r="B252" s="65" t="s">
        <v>499</v>
      </c>
      <c r="C252" s="66" t="s">
        <v>4392</v>
      </c>
      <c r="D252" s="67">
        <v>1</v>
      </c>
      <c r="E252" s="68" t="s">
        <v>132</v>
      </c>
      <c r="F252" s="69">
        <v>32</v>
      </c>
      <c r="G252" s="66" t="s">
        <v>51</v>
      </c>
      <c r="H252" s="70"/>
      <c r="I252" s="71"/>
      <c r="J252" s="71"/>
      <c r="K252" s="35" t="s">
        <v>65</v>
      </c>
      <c r="L252" s="79">
        <v>252</v>
      </c>
      <c r="M252" s="79"/>
      <c r="N252" s="73"/>
      <c r="O252" s="81" t="s">
        <v>501</v>
      </c>
      <c r="P252" s="83">
        <v>44645.42930555555</v>
      </c>
      <c r="Q252" s="81" t="s">
        <v>574</v>
      </c>
      <c r="R252" s="84" t="str">
        <f>HYPERLINK("https://www.lapinkansa.fi/pentik-sai-keramiikkatehtaalleen-posiolle-ymparist/4463159")</f>
        <v>https://www.lapinkansa.fi/pentik-sai-keramiikkatehtaalleen-posiolle-ymparist/4463159</v>
      </c>
      <c r="S252" s="81" t="s">
        <v>586</v>
      </c>
      <c r="T252" s="85" t="s">
        <v>602</v>
      </c>
      <c r="U252" s="81"/>
      <c r="V252" s="84" t="str">
        <f>HYPERLINK("https://pbs.twimg.com/profile_images/1169862969976471555/13qPGTdJ_normal.jpg")</f>
        <v>https://pbs.twimg.com/profile_images/1169862969976471555/13qPGTdJ_normal.jpg</v>
      </c>
      <c r="W252" s="83">
        <v>44645.42930555555</v>
      </c>
      <c r="X252" s="88">
        <v>44645</v>
      </c>
      <c r="Y252" s="85" t="s">
        <v>844</v>
      </c>
      <c r="Z252" s="84" t="str">
        <f>HYPERLINK("https://twitter.com/laplandbusiness/status/1507300810895548418")</f>
        <v>https://twitter.com/laplandbusiness/status/1507300810895548418</v>
      </c>
      <c r="AA252" s="81"/>
      <c r="AB252" s="81"/>
      <c r="AC252" s="85" t="s">
        <v>1114</v>
      </c>
      <c r="AD252" s="81"/>
      <c r="AE252" s="81" t="b">
        <v>0</v>
      </c>
      <c r="AF252" s="81">
        <v>0</v>
      </c>
      <c r="AG252" s="85" t="s">
        <v>1162</v>
      </c>
      <c r="AH252" s="81" t="b">
        <v>0</v>
      </c>
      <c r="AI252" s="81" t="s">
        <v>1179</v>
      </c>
      <c r="AJ252" s="81"/>
      <c r="AK252" s="85" t="s">
        <v>1162</v>
      </c>
      <c r="AL252" s="81" t="b">
        <v>0</v>
      </c>
      <c r="AM252" s="81">
        <v>0</v>
      </c>
      <c r="AN252" s="85" t="s">
        <v>1162</v>
      </c>
      <c r="AO252" s="85" t="s">
        <v>1189</v>
      </c>
      <c r="AP252" s="81" t="b">
        <v>0</v>
      </c>
      <c r="AQ252" s="85" t="s">
        <v>1114</v>
      </c>
      <c r="AR252" s="81" t="s">
        <v>187</v>
      </c>
      <c r="AS252" s="81">
        <v>0</v>
      </c>
      <c r="AT252" s="81">
        <v>0</v>
      </c>
      <c r="AU252" s="81"/>
      <c r="AV252" s="81"/>
      <c r="AW252" s="81"/>
      <c r="AX252" s="81"/>
      <c r="AY252" s="81"/>
      <c r="AZ252" s="81"/>
      <c r="BA252" s="81"/>
      <c r="BB252" s="81"/>
      <c r="BC252">
        <v>1</v>
      </c>
      <c r="BD252" s="80" t="str">
        <f>REPLACE(INDEX(GroupVertices[Group],MATCH(Edges[[#This Row],[Vertex 1]],GroupVertices[Vertex],0)),1,1,"")</f>
        <v>9</v>
      </c>
      <c r="BE252" s="80" t="str">
        <f>REPLACE(INDEX(GroupVertices[Group],MATCH(Edges[[#This Row],[Vertex 2]],GroupVertices[Vertex],0)),1,1,"")</f>
        <v>9</v>
      </c>
      <c r="BF252" s="49">
        <v>0</v>
      </c>
      <c r="BG252" s="50">
        <v>0</v>
      </c>
      <c r="BH252" s="49">
        <v>0</v>
      </c>
      <c r="BI252" s="50">
        <v>0</v>
      </c>
      <c r="BJ252" s="49">
        <v>0</v>
      </c>
      <c r="BK252" s="50">
        <v>0</v>
      </c>
      <c r="BL252" s="49">
        <v>18</v>
      </c>
      <c r="BM252" s="50">
        <v>100</v>
      </c>
      <c r="BN252" s="49">
        <v>18</v>
      </c>
    </row>
    <row r="253" spans="1:66" ht="15">
      <c r="A253" s="65" t="s">
        <v>461</v>
      </c>
      <c r="B253" s="65" t="s">
        <v>483</v>
      </c>
      <c r="C253" s="66" t="s">
        <v>4392</v>
      </c>
      <c r="D253" s="67">
        <v>1</v>
      </c>
      <c r="E253" s="68" t="s">
        <v>132</v>
      </c>
      <c r="F253" s="69">
        <v>32</v>
      </c>
      <c r="G253" s="66" t="s">
        <v>51</v>
      </c>
      <c r="H253" s="70"/>
      <c r="I253" s="71"/>
      <c r="J253" s="71"/>
      <c r="K253" s="35" t="s">
        <v>65</v>
      </c>
      <c r="L253" s="79">
        <v>253</v>
      </c>
      <c r="M253" s="79"/>
      <c r="N253" s="73"/>
      <c r="O253" s="81" t="s">
        <v>504</v>
      </c>
      <c r="P253" s="83">
        <v>44645.429606481484</v>
      </c>
      <c r="Q253" s="81" t="s">
        <v>572</v>
      </c>
      <c r="R253" s="81"/>
      <c r="S253" s="81"/>
      <c r="T253" s="85" t="s">
        <v>594</v>
      </c>
      <c r="U253" s="81"/>
      <c r="V253" s="84" t="str">
        <f>HYPERLINK("https://pbs.twimg.com/profile_images/1505938209871732740/zH53ZKXE_normal.jpg")</f>
        <v>https://pbs.twimg.com/profile_images/1505938209871732740/zH53ZKXE_normal.jpg</v>
      </c>
      <c r="W253" s="83">
        <v>44645.429606481484</v>
      </c>
      <c r="X253" s="88">
        <v>44645</v>
      </c>
      <c r="Y253" s="85" t="s">
        <v>845</v>
      </c>
      <c r="Z253" s="84" t="str">
        <f>HYPERLINK("https://twitter.com/jarkkod/status/1507300919263830018")</f>
        <v>https://twitter.com/jarkkod/status/1507300919263830018</v>
      </c>
      <c r="AA253" s="81"/>
      <c r="AB253" s="81"/>
      <c r="AC253" s="85" t="s">
        <v>1115</v>
      </c>
      <c r="AD253" s="81"/>
      <c r="AE253" s="81" t="b">
        <v>0</v>
      </c>
      <c r="AF253" s="81">
        <v>0</v>
      </c>
      <c r="AG253" s="85" t="s">
        <v>1162</v>
      </c>
      <c r="AH253" s="81" t="b">
        <v>0</v>
      </c>
      <c r="AI253" s="81" t="s">
        <v>1179</v>
      </c>
      <c r="AJ253" s="81"/>
      <c r="AK253" s="85" t="s">
        <v>1162</v>
      </c>
      <c r="AL253" s="81" t="b">
        <v>0</v>
      </c>
      <c r="AM253" s="81">
        <v>24</v>
      </c>
      <c r="AN253" s="85" t="s">
        <v>1139</v>
      </c>
      <c r="AO253" s="85" t="s">
        <v>1188</v>
      </c>
      <c r="AP253" s="81" t="b">
        <v>0</v>
      </c>
      <c r="AQ253" s="85" t="s">
        <v>1139</v>
      </c>
      <c r="AR253" s="81" t="s">
        <v>187</v>
      </c>
      <c r="AS253" s="81">
        <v>0</v>
      </c>
      <c r="AT253" s="81">
        <v>0</v>
      </c>
      <c r="AU253" s="81"/>
      <c r="AV253" s="81"/>
      <c r="AW253" s="81"/>
      <c r="AX253" s="81"/>
      <c r="AY253" s="81"/>
      <c r="AZ253" s="81"/>
      <c r="BA253" s="81"/>
      <c r="BB253" s="81"/>
      <c r="BC253">
        <v>1</v>
      </c>
      <c r="BD253" s="80" t="str">
        <f>REPLACE(INDEX(GroupVertices[Group],MATCH(Edges[[#This Row],[Vertex 1]],GroupVertices[Vertex],0)),1,1,"")</f>
        <v>4</v>
      </c>
      <c r="BE253" s="80" t="str">
        <f>REPLACE(INDEX(GroupVertices[Group],MATCH(Edges[[#This Row],[Vertex 2]],GroupVertices[Vertex],0)),1,1,"")</f>
        <v>4</v>
      </c>
      <c r="BF253" s="49">
        <v>0</v>
      </c>
      <c r="BG253" s="50">
        <v>0</v>
      </c>
      <c r="BH253" s="49">
        <v>0</v>
      </c>
      <c r="BI253" s="50">
        <v>0</v>
      </c>
      <c r="BJ253" s="49">
        <v>0</v>
      </c>
      <c r="BK253" s="50">
        <v>0</v>
      </c>
      <c r="BL253" s="49">
        <v>33</v>
      </c>
      <c r="BM253" s="50">
        <v>100</v>
      </c>
      <c r="BN253" s="49">
        <v>33</v>
      </c>
    </row>
    <row r="254" spans="1:66" ht="15">
      <c r="A254" s="65" t="s">
        <v>462</v>
      </c>
      <c r="B254" s="65" t="s">
        <v>483</v>
      </c>
      <c r="C254" s="66" t="s">
        <v>4392</v>
      </c>
      <c r="D254" s="67">
        <v>1</v>
      </c>
      <c r="E254" s="68" t="s">
        <v>132</v>
      </c>
      <c r="F254" s="69">
        <v>32</v>
      </c>
      <c r="G254" s="66" t="s">
        <v>51</v>
      </c>
      <c r="H254" s="70"/>
      <c r="I254" s="71"/>
      <c r="J254" s="71"/>
      <c r="K254" s="35" t="s">
        <v>65</v>
      </c>
      <c r="L254" s="79">
        <v>254</v>
      </c>
      <c r="M254" s="79"/>
      <c r="N254" s="73"/>
      <c r="O254" s="81" t="s">
        <v>504</v>
      </c>
      <c r="P254" s="83">
        <v>44645.42972222222</v>
      </c>
      <c r="Q254" s="81" t="s">
        <v>572</v>
      </c>
      <c r="R254" s="81"/>
      <c r="S254" s="81"/>
      <c r="T254" s="85" t="s">
        <v>594</v>
      </c>
      <c r="U254" s="81"/>
      <c r="V254" s="84" t="str">
        <f>HYPERLINK("https://pbs.twimg.com/profile_images/621038093022289920/Ce52AKNY_normal.jpg")</f>
        <v>https://pbs.twimg.com/profile_images/621038093022289920/Ce52AKNY_normal.jpg</v>
      </c>
      <c r="W254" s="83">
        <v>44645.42972222222</v>
      </c>
      <c r="X254" s="88">
        <v>44645</v>
      </c>
      <c r="Y254" s="85" t="s">
        <v>846</v>
      </c>
      <c r="Z254" s="84" t="str">
        <f>HYPERLINK("https://twitter.com/mustikkamunkki/status/1507300962381217796")</f>
        <v>https://twitter.com/mustikkamunkki/status/1507300962381217796</v>
      </c>
      <c r="AA254" s="81"/>
      <c r="AB254" s="81"/>
      <c r="AC254" s="85" t="s">
        <v>1116</v>
      </c>
      <c r="AD254" s="81"/>
      <c r="AE254" s="81" t="b">
        <v>0</v>
      </c>
      <c r="AF254" s="81">
        <v>0</v>
      </c>
      <c r="AG254" s="85" t="s">
        <v>1162</v>
      </c>
      <c r="AH254" s="81" t="b">
        <v>0</v>
      </c>
      <c r="AI254" s="81" t="s">
        <v>1179</v>
      </c>
      <c r="AJ254" s="81"/>
      <c r="AK254" s="85" t="s">
        <v>1162</v>
      </c>
      <c r="AL254" s="81" t="b">
        <v>0</v>
      </c>
      <c r="AM254" s="81">
        <v>24</v>
      </c>
      <c r="AN254" s="85" t="s">
        <v>1139</v>
      </c>
      <c r="AO254" s="85" t="s">
        <v>1189</v>
      </c>
      <c r="AP254" s="81" t="b">
        <v>0</v>
      </c>
      <c r="AQ254" s="85" t="s">
        <v>1139</v>
      </c>
      <c r="AR254" s="81" t="s">
        <v>187</v>
      </c>
      <c r="AS254" s="81">
        <v>0</v>
      </c>
      <c r="AT254" s="81">
        <v>0</v>
      </c>
      <c r="AU254" s="81"/>
      <c r="AV254" s="81"/>
      <c r="AW254" s="81"/>
      <c r="AX254" s="81"/>
      <c r="AY254" s="81"/>
      <c r="AZ254" s="81"/>
      <c r="BA254" s="81"/>
      <c r="BB254" s="81"/>
      <c r="BC254">
        <v>1</v>
      </c>
      <c r="BD254" s="80" t="str">
        <f>REPLACE(INDEX(GroupVertices[Group],MATCH(Edges[[#This Row],[Vertex 1]],GroupVertices[Vertex],0)),1,1,"")</f>
        <v>4</v>
      </c>
      <c r="BE254" s="80" t="str">
        <f>REPLACE(INDEX(GroupVertices[Group],MATCH(Edges[[#This Row],[Vertex 2]],GroupVertices[Vertex],0)),1,1,"")</f>
        <v>4</v>
      </c>
      <c r="BF254" s="49">
        <v>0</v>
      </c>
      <c r="BG254" s="50">
        <v>0</v>
      </c>
      <c r="BH254" s="49">
        <v>0</v>
      </c>
      <c r="BI254" s="50">
        <v>0</v>
      </c>
      <c r="BJ254" s="49">
        <v>0</v>
      </c>
      <c r="BK254" s="50">
        <v>0</v>
      </c>
      <c r="BL254" s="49">
        <v>33</v>
      </c>
      <c r="BM254" s="50">
        <v>100</v>
      </c>
      <c r="BN254" s="49">
        <v>33</v>
      </c>
    </row>
    <row r="255" spans="1:66" ht="15">
      <c r="A255" s="65" t="s">
        <v>463</v>
      </c>
      <c r="B255" s="65" t="s">
        <v>483</v>
      </c>
      <c r="C255" s="66" t="s">
        <v>4392</v>
      </c>
      <c r="D255" s="67">
        <v>1</v>
      </c>
      <c r="E255" s="68" t="s">
        <v>132</v>
      </c>
      <c r="F255" s="69">
        <v>32</v>
      </c>
      <c r="G255" s="66" t="s">
        <v>51</v>
      </c>
      <c r="H255" s="70"/>
      <c r="I255" s="71"/>
      <c r="J255" s="71"/>
      <c r="K255" s="35" t="s">
        <v>65</v>
      </c>
      <c r="L255" s="79">
        <v>255</v>
      </c>
      <c r="M255" s="79"/>
      <c r="N255" s="73"/>
      <c r="O255" s="81" t="s">
        <v>504</v>
      </c>
      <c r="P255" s="83">
        <v>44645.430659722224</v>
      </c>
      <c r="Q255" s="81" t="s">
        <v>572</v>
      </c>
      <c r="R255" s="81"/>
      <c r="S255" s="81"/>
      <c r="T255" s="85" t="s">
        <v>594</v>
      </c>
      <c r="U255" s="81"/>
      <c r="V255" s="84" t="str">
        <f>HYPERLINK("https://pbs.twimg.com/profile_images/1371532616818692097/PKWbhSgC_normal.jpg")</f>
        <v>https://pbs.twimg.com/profile_images/1371532616818692097/PKWbhSgC_normal.jpg</v>
      </c>
      <c r="W255" s="83">
        <v>44645.430659722224</v>
      </c>
      <c r="X255" s="88">
        <v>44645</v>
      </c>
      <c r="Y255" s="85" t="s">
        <v>847</v>
      </c>
      <c r="Z255" s="84" t="str">
        <f>HYPERLINK("https://twitter.com/eilapertti/status/1507301304355500036")</f>
        <v>https://twitter.com/eilapertti/status/1507301304355500036</v>
      </c>
      <c r="AA255" s="81"/>
      <c r="AB255" s="81"/>
      <c r="AC255" s="85" t="s">
        <v>1117</v>
      </c>
      <c r="AD255" s="81"/>
      <c r="AE255" s="81" t="b">
        <v>0</v>
      </c>
      <c r="AF255" s="81">
        <v>0</v>
      </c>
      <c r="AG255" s="85" t="s">
        <v>1162</v>
      </c>
      <c r="AH255" s="81" t="b">
        <v>0</v>
      </c>
      <c r="AI255" s="81" t="s">
        <v>1179</v>
      </c>
      <c r="AJ255" s="81"/>
      <c r="AK255" s="85" t="s">
        <v>1162</v>
      </c>
      <c r="AL255" s="81" t="b">
        <v>0</v>
      </c>
      <c r="AM255" s="81">
        <v>24</v>
      </c>
      <c r="AN255" s="85" t="s">
        <v>1139</v>
      </c>
      <c r="AO255" s="85" t="s">
        <v>1190</v>
      </c>
      <c r="AP255" s="81" t="b">
        <v>0</v>
      </c>
      <c r="AQ255" s="85" t="s">
        <v>1139</v>
      </c>
      <c r="AR255" s="81" t="s">
        <v>187</v>
      </c>
      <c r="AS255" s="81">
        <v>0</v>
      </c>
      <c r="AT255" s="81">
        <v>0</v>
      </c>
      <c r="AU255" s="81"/>
      <c r="AV255" s="81"/>
      <c r="AW255" s="81"/>
      <c r="AX255" s="81"/>
      <c r="AY255" s="81"/>
      <c r="AZ255" s="81"/>
      <c r="BA255" s="81"/>
      <c r="BB255" s="81"/>
      <c r="BC255">
        <v>1</v>
      </c>
      <c r="BD255" s="80" t="str">
        <f>REPLACE(INDEX(GroupVertices[Group],MATCH(Edges[[#This Row],[Vertex 1]],GroupVertices[Vertex],0)),1,1,"")</f>
        <v>4</v>
      </c>
      <c r="BE255" s="80" t="str">
        <f>REPLACE(INDEX(GroupVertices[Group],MATCH(Edges[[#This Row],[Vertex 2]],GroupVertices[Vertex],0)),1,1,"")</f>
        <v>4</v>
      </c>
      <c r="BF255" s="49">
        <v>0</v>
      </c>
      <c r="BG255" s="50">
        <v>0</v>
      </c>
      <c r="BH255" s="49">
        <v>0</v>
      </c>
      <c r="BI255" s="50">
        <v>0</v>
      </c>
      <c r="BJ255" s="49">
        <v>0</v>
      </c>
      <c r="BK255" s="50">
        <v>0</v>
      </c>
      <c r="BL255" s="49">
        <v>33</v>
      </c>
      <c r="BM255" s="50">
        <v>100</v>
      </c>
      <c r="BN255" s="49">
        <v>33</v>
      </c>
    </row>
    <row r="256" spans="1:66" ht="15">
      <c r="A256" s="65" t="s">
        <v>464</v>
      </c>
      <c r="B256" s="65" t="s">
        <v>483</v>
      </c>
      <c r="C256" s="66" t="s">
        <v>4392</v>
      </c>
      <c r="D256" s="67">
        <v>1</v>
      </c>
      <c r="E256" s="68" t="s">
        <v>132</v>
      </c>
      <c r="F256" s="69">
        <v>32</v>
      </c>
      <c r="G256" s="66" t="s">
        <v>51</v>
      </c>
      <c r="H256" s="70"/>
      <c r="I256" s="71"/>
      <c r="J256" s="71"/>
      <c r="K256" s="35" t="s">
        <v>65</v>
      </c>
      <c r="L256" s="79">
        <v>256</v>
      </c>
      <c r="M256" s="79"/>
      <c r="N256" s="73"/>
      <c r="O256" s="81" t="s">
        <v>504</v>
      </c>
      <c r="P256" s="83">
        <v>44645.43077546296</v>
      </c>
      <c r="Q256" s="81" t="s">
        <v>572</v>
      </c>
      <c r="R256" s="81"/>
      <c r="S256" s="81"/>
      <c r="T256" s="85" t="s">
        <v>594</v>
      </c>
      <c r="U256" s="81"/>
      <c r="V256" s="84" t="str">
        <f>HYPERLINK("https://pbs.twimg.com/profile_images/1477427063141322753/VsyrLSEt_normal.jpg")</f>
        <v>https://pbs.twimg.com/profile_images/1477427063141322753/VsyrLSEt_normal.jpg</v>
      </c>
      <c r="W256" s="83">
        <v>44645.43077546296</v>
      </c>
      <c r="X256" s="88">
        <v>44645</v>
      </c>
      <c r="Y256" s="85" t="s">
        <v>848</v>
      </c>
      <c r="Z256" s="84" t="str">
        <f>HYPERLINK("https://twitter.com/lauraemiliait/status/1507301344457428996")</f>
        <v>https://twitter.com/lauraemiliait/status/1507301344457428996</v>
      </c>
      <c r="AA256" s="81"/>
      <c r="AB256" s="81"/>
      <c r="AC256" s="85" t="s">
        <v>1118</v>
      </c>
      <c r="AD256" s="81"/>
      <c r="AE256" s="81" t="b">
        <v>0</v>
      </c>
      <c r="AF256" s="81">
        <v>0</v>
      </c>
      <c r="AG256" s="85" t="s">
        <v>1162</v>
      </c>
      <c r="AH256" s="81" t="b">
        <v>0</v>
      </c>
      <c r="AI256" s="81" t="s">
        <v>1179</v>
      </c>
      <c r="AJ256" s="81"/>
      <c r="AK256" s="85" t="s">
        <v>1162</v>
      </c>
      <c r="AL256" s="81" t="b">
        <v>0</v>
      </c>
      <c r="AM256" s="81">
        <v>24</v>
      </c>
      <c r="AN256" s="85" t="s">
        <v>1139</v>
      </c>
      <c r="AO256" s="85" t="s">
        <v>1190</v>
      </c>
      <c r="AP256" s="81" t="b">
        <v>0</v>
      </c>
      <c r="AQ256" s="85" t="s">
        <v>1139</v>
      </c>
      <c r="AR256" s="81" t="s">
        <v>187</v>
      </c>
      <c r="AS256" s="81">
        <v>0</v>
      </c>
      <c r="AT256" s="81">
        <v>0</v>
      </c>
      <c r="AU256" s="81"/>
      <c r="AV256" s="81"/>
      <c r="AW256" s="81"/>
      <c r="AX256" s="81"/>
      <c r="AY256" s="81"/>
      <c r="AZ256" s="81"/>
      <c r="BA256" s="81"/>
      <c r="BB256" s="81"/>
      <c r="BC256">
        <v>1</v>
      </c>
      <c r="BD256" s="80" t="str">
        <f>REPLACE(INDEX(GroupVertices[Group],MATCH(Edges[[#This Row],[Vertex 1]],GroupVertices[Vertex],0)),1,1,"")</f>
        <v>4</v>
      </c>
      <c r="BE256" s="80" t="str">
        <f>REPLACE(INDEX(GroupVertices[Group],MATCH(Edges[[#This Row],[Vertex 2]],GroupVertices[Vertex],0)),1,1,"")</f>
        <v>4</v>
      </c>
      <c r="BF256" s="49">
        <v>0</v>
      </c>
      <c r="BG256" s="50">
        <v>0</v>
      </c>
      <c r="BH256" s="49">
        <v>0</v>
      </c>
      <c r="BI256" s="50">
        <v>0</v>
      </c>
      <c r="BJ256" s="49">
        <v>0</v>
      </c>
      <c r="BK256" s="50">
        <v>0</v>
      </c>
      <c r="BL256" s="49">
        <v>33</v>
      </c>
      <c r="BM256" s="50">
        <v>100</v>
      </c>
      <c r="BN256" s="49">
        <v>33</v>
      </c>
    </row>
    <row r="257" spans="1:66" ht="15">
      <c r="A257" s="65" t="s">
        <v>465</v>
      </c>
      <c r="B257" s="65" t="s">
        <v>483</v>
      </c>
      <c r="C257" s="66" t="s">
        <v>4392</v>
      </c>
      <c r="D257" s="67">
        <v>1</v>
      </c>
      <c r="E257" s="68" t="s">
        <v>132</v>
      </c>
      <c r="F257" s="69">
        <v>32</v>
      </c>
      <c r="G257" s="66" t="s">
        <v>51</v>
      </c>
      <c r="H257" s="70"/>
      <c r="I257" s="71"/>
      <c r="J257" s="71"/>
      <c r="K257" s="35" t="s">
        <v>65</v>
      </c>
      <c r="L257" s="79">
        <v>257</v>
      </c>
      <c r="M257" s="79"/>
      <c r="N257" s="73"/>
      <c r="O257" s="81" t="s">
        <v>504</v>
      </c>
      <c r="P257" s="83">
        <v>44645.43189814815</v>
      </c>
      <c r="Q257" s="81" t="s">
        <v>572</v>
      </c>
      <c r="R257" s="81"/>
      <c r="S257" s="81"/>
      <c r="T257" s="85" t="s">
        <v>594</v>
      </c>
      <c r="U257" s="81"/>
      <c r="V257" s="84" t="str">
        <f>HYPERLINK("https://pbs.twimg.com/profile_images/1485265767218229253/QvI1V0Cd_normal.jpg")</f>
        <v>https://pbs.twimg.com/profile_images/1485265767218229253/QvI1V0Cd_normal.jpg</v>
      </c>
      <c r="W257" s="83">
        <v>44645.43189814815</v>
      </c>
      <c r="X257" s="88">
        <v>44645</v>
      </c>
      <c r="Y257" s="85" t="s">
        <v>849</v>
      </c>
      <c r="Z257" s="84" t="str">
        <f>HYPERLINK("https://twitter.com/palloholisti/status/1507301750579027988")</f>
        <v>https://twitter.com/palloholisti/status/1507301750579027988</v>
      </c>
      <c r="AA257" s="81"/>
      <c r="AB257" s="81"/>
      <c r="AC257" s="85" t="s">
        <v>1119</v>
      </c>
      <c r="AD257" s="81"/>
      <c r="AE257" s="81" t="b">
        <v>0</v>
      </c>
      <c r="AF257" s="81">
        <v>0</v>
      </c>
      <c r="AG257" s="85" t="s">
        <v>1162</v>
      </c>
      <c r="AH257" s="81" t="b">
        <v>0</v>
      </c>
      <c r="AI257" s="81" t="s">
        <v>1179</v>
      </c>
      <c r="AJ257" s="81"/>
      <c r="AK257" s="85" t="s">
        <v>1162</v>
      </c>
      <c r="AL257" s="81" t="b">
        <v>0</v>
      </c>
      <c r="AM257" s="81">
        <v>24</v>
      </c>
      <c r="AN257" s="85" t="s">
        <v>1139</v>
      </c>
      <c r="AO257" s="85" t="s">
        <v>1189</v>
      </c>
      <c r="AP257" s="81" t="b">
        <v>0</v>
      </c>
      <c r="AQ257" s="85" t="s">
        <v>1139</v>
      </c>
      <c r="AR257" s="81" t="s">
        <v>187</v>
      </c>
      <c r="AS257" s="81">
        <v>0</v>
      </c>
      <c r="AT257" s="81">
        <v>0</v>
      </c>
      <c r="AU257" s="81"/>
      <c r="AV257" s="81"/>
      <c r="AW257" s="81"/>
      <c r="AX257" s="81"/>
      <c r="AY257" s="81"/>
      <c r="AZ257" s="81"/>
      <c r="BA257" s="81"/>
      <c r="BB257" s="81"/>
      <c r="BC257">
        <v>1</v>
      </c>
      <c r="BD257" s="80" t="str">
        <f>REPLACE(INDEX(GroupVertices[Group],MATCH(Edges[[#This Row],[Vertex 1]],GroupVertices[Vertex],0)),1,1,"")</f>
        <v>4</v>
      </c>
      <c r="BE257" s="80" t="str">
        <f>REPLACE(INDEX(GroupVertices[Group],MATCH(Edges[[#This Row],[Vertex 2]],GroupVertices[Vertex],0)),1,1,"")</f>
        <v>4</v>
      </c>
      <c r="BF257" s="49">
        <v>0</v>
      </c>
      <c r="BG257" s="50">
        <v>0</v>
      </c>
      <c r="BH257" s="49">
        <v>0</v>
      </c>
      <c r="BI257" s="50">
        <v>0</v>
      </c>
      <c r="BJ257" s="49">
        <v>0</v>
      </c>
      <c r="BK257" s="50">
        <v>0</v>
      </c>
      <c r="BL257" s="49">
        <v>33</v>
      </c>
      <c r="BM257" s="50">
        <v>100</v>
      </c>
      <c r="BN257" s="49">
        <v>33</v>
      </c>
    </row>
    <row r="258" spans="1:66" ht="15">
      <c r="A258" s="65" t="s">
        <v>466</v>
      </c>
      <c r="B258" s="65" t="s">
        <v>483</v>
      </c>
      <c r="C258" s="66" t="s">
        <v>4392</v>
      </c>
      <c r="D258" s="67">
        <v>1</v>
      </c>
      <c r="E258" s="68" t="s">
        <v>132</v>
      </c>
      <c r="F258" s="69">
        <v>32</v>
      </c>
      <c r="G258" s="66" t="s">
        <v>51</v>
      </c>
      <c r="H258" s="70"/>
      <c r="I258" s="71"/>
      <c r="J258" s="71"/>
      <c r="K258" s="35" t="s">
        <v>65</v>
      </c>
      <c r="L258" s="79">
        <v>258</v>
      </c>
      <c r="M258" s="79"/>
      <c r="N258" s="73"/>
      <c r="O258" s="81" t="s">
        <v>504</v>
      </c>
      <c r="P258" s="83">
        <v>44645.433958333335</v>
      </c>
      <c r="Q258" s="81" t="s">
        <v>572</v>
      </c>
      <c r="R258" s="81"/>
      <c r="S258" s="81"/>
      <c r="T258" s="85" t="s">
        <v>594</v>
      </c>
      <c r="U258" s="81"/>
      <c r="V258" s="84" t="str">
        <f>HYPERLINK("https://pbs.twimg.com/profile_images/1361602487480967171/lUdsHwlq_normal.jpg")</f>
        <v>https://pbs.twimg.com/profile_images/1361602487480967171/lUdsHwlq_normal.jpg</v>
      </c>
      <c r="W258" s="83">
        <v>44645.433958333335</v>
      </c>
      <c r="X258" s="88">
        <v>44645</v>
      </c>
      <c r="Y258" s="85" t="s">
        <v>850</v>
      </c>
      <c r="Z258" s="84" t="str">
        <f>HYPERLINK("https://twitter.com/peltolapeltsi/status/1507302499287552001")</f>
        <v>https://twitter.com/peltolapeltsi/status/1507302499287552001</v>
      </c>
      <c r="AA258" s="81"/>
      <c r="AB258" s="81"/>
      <c r="AC258" s="85" t="s">
        <v>1120</v>
      </c>
      <c r="AD258" s="81"/>
      <c r="AE258" s="81" t="b">
        <v>0</v>
      </c>
      <c r="AF258" s="81">
        <v>0</v>
      </c>
      <c r="AG258" s="85" t="s">
        <v>1162</v>
      </c>
      <c r="AH258" s="81" t="b">
        <v>0</v>
      </c>
      <c r="AI258" s="81" t="s">
        <v>1179</v>
      </c>
      <c r="AJ258" s="81"/>
      <c r="AK258" s="85" t="s">
        <v>1162</v>
      </c>
      <c r="AL258" s="81" t="b">
        <v>0</v>
      </c>
      <c r="AM258" s="81">
        <v>24</v>
      </c>
      <c r="AN258" s="85" t="s">
        <v>1139</v>
      </c>
      <c r="AO258" s="85" t="s">
        <v>1188</v>
      </c>
      <c r="AP258" s="81" t="b">
        <v>0</v>
      </c>
      <c r="AQ258" s="85" t="s">
        <v>1139</v>
      </c>
      <c r="AR258" s="81" t="s">
        <v>187</v>
      </c>
      <c r="AS258" s="81">
        <v>0</v>
      </c>
      <c r="AT258" s="81">
        <v>0</v>
      </c>
      <c r="AU258" s="81"/>
      <c r="AV258" s="81"/>
      <c r="AW258" s="81"/>
      <c r="AX258" s="81"/>
      <c r="AY258" s="81"/>
      <c r="AZ258" s="81"/>
      <c r="BA258" s="81"/>
      <c r="BB258" s="81"/>
      <c r="BC258">
        <v>1</v>
      </c>
      <c r="BD258" s="80" t="str">
        <f>REPLACE(INDEX(GroupVertices[Group],MATCH(Edges[[#This Row],[Vertex 1]],GroupVertices[Vertex],0)),1,1,"")</f>
        <v>4</v>
      </c>
      <c r="BE258" s="80" t="str">
        <f>REPLACE(INDEX(GroupVertices[Group],MATCH(Edges[[#This Row],[Vertex 2]],GroupVertices[Vertex],0)),1,1,"")</f>
        <v>4</v>
      </c>
      <c r="BF258" s="49">
        <v>0</v>
      </c>
      <c r="BG258" s="50">
        <v>0</v>
      </c>
      <c r="BH258" s="49">
        <v>0</v>
      </c>
      <c r="BI258" s="50">
        <v>0</v>
      </c>
      <c r="BJ258" s="49">
        <v>0</v>
      </c>
      <c r="BK258" s="50">
        <v>0</v>
      </c>
      <c r="BL258" s="49">
        <v>33</v>
      </c>
      <c r="BM258" s="50">
        <v>100</v>
      </c>
      <c r="BN258" s="49">
        <v>33</v>
      </c>
    </row>
    <row r="259" spans="1:66" ht="15">
      <c r="A259" s="65" t="s">
        <v>467</v>
      </c>
      <c r="B259" s="65" t="s">
        <v>483</v>
      </c>
      <c r="C259" s="66" t="s">
        <v>4392</v>
      </c>
      <c r="D259" s="67">
        <v>1</v>
      </c>
      <c r="E259" s="68" t="s">
        <v>132</v>
      </c>
      <c r="F259" s="69">
        <v>32</v>
      </c>
      <c r="G259" s="66" t="s">
        <v>51</v>
      </c>
      <c r="H259" s="70"/>
      <c r="I259" s="71"/>
      <c r="J259" s="71"/>
      <c r="K259" s="35" t="s">
        <v>65</v>
      </c>
      <c r="L259" s="79">
        <v>259</v>
      </c>
      <c r="M259" s="79"/>
      <c r="N259" s="73"/>
      <c r="O259" s="81" t="s">
        <v>504</v>
      </c>
      <c r="P259" s="83">
        <v>44645.43475694444</v>
      </c>
      <c r="Q259" s="81" t="s">
        <v>572</v>
      </c>
      <c r="R259" s="81"/>
      <c r="S259" s="81"/>
      <c r="T259" s="85" t="s">
        <v>594</v>
      </c>
      <c r="U259" s="81"/>
      <c r="V259" s="84" t="str">
        <f>HYPERLINK("https://pbs.twimg.com/profile_images/1302177831439474688/Og45wudf_normal.jpg")</f>
        <v>https://pbs.twimg.com/profile_images/1302177831439474688/Og45wudf_normal.jpg</v>
      </c>
      <c r="W259" s="83">
        <v>44645.43475694444</v>
      </c>
      <c r="X259" s="88">
        <v>44645</v>
      </c>
      <c r="Y259" s="85" t="s">
        <v>851</v>
      </c>
      <c r="Z259" s="84" t="str">
        <f>HYPERLINK("https://twitter.com/wallellaa/status/1507302786551144459")</f>
        <v>https://twitter.com/wallellaa/status/1507302786551144459</v>
      </c>
      <c r="AA259" s="81"/>
      <c r="AB259" s="81"/>
      <c r="AC259" s="85" t="s">
        <v>1121</v>
      </c>
      <c r="AD259" s="81"/>
      <c r="AE259" s="81" t="b">
        <v>0</v>
      </c>
      <c r="AF259" s="81">
        <v>0</v>
      </c>
      <c r="AG259" s="85" t="s">
        <v>1162</v>
      </c>
      <c r="AH259" s="81" t="b">
        <v>0</v>
      </c>
      <c r="AI259" s="81" t="s">
        <v>1179</v>
      </c>
      <c r="AJ259" s="81"/>
      <c r="AK259" s="85" t="s">
        <v>1162</v>
      </c>
      <c r="AL259" s="81" t="b">
        <v>0</v>
      </c>
      <c r="AM259" s="81">
        <v>24</v>
      </c>
      <c r="AN259" s="85" t="s">
        <v>1139</v>
      </c>
      <c r="AO259" s="85" t="s">
        <v>1188</v>
      </c>
      <c r="AP259" s="81" t="b">
        <v>0</v>
      </c>
      <c r="AQ259" s="85" t="s">
        <v>1139</v>
      </c>
      <c r="AR259" s="81" t="s">
        <v>187</v>
      </c>
      <c r="AS259" s="81">
        <v>0</v>
      </c>
      <c r="AT259" s="81">
        <v>0</v>
      </c>
      <c r="AU259" s="81"/>
      <c r="AV259" s="81"/>
      <c r="AW259" s="81"/>
      <c r="AX259" s="81"/>
      <c r="AY259" s="81"/>
      <c r="AZ259" s="81"/>
      <c r="BA259" s="81"/>
      <c r="BB259" s="81"/>
      <c r="BC259">
        <v>1</v>
      </c>
      <c r="BD259" s="80" t="str">
        <f>REPLACE(INDEX(GroupVertices[Group],MATCH(Edges[[#This Row],[Vertex 1]],GroupVertices[Vertex],0)),1,1,"")</f>
        <v>4</v>
      </c>
      <c r="BE259" s="80" t="str">
        <f>REPLACE(INDEX(GroupVertices[Group],MATCH(Edges[[#This Row],[Vertex 2]],GroupVertices[Vertex],0)),1,1,"")</f>
        <v>4</v>
      </c>
      <c r="BF259" s="49">
        <v>0</v>
      </c>
      <c r="BG259" s="50">
        <v>0</v>
      </c>
      <c r="BH259" s="49">
        <v>0</v>
      </c>
      <c r="BI259" s="50">
        <v>0</v>
      </c>
      <c r="BJ259" s="49">
        <v>0</v>
      </c>
      <c r="BK259" s="50">
        <v>0</v>
      </c>
      <c r="BL259" s="49">
        <v>33</v>
      </c>
      <c r="BM259" s="50">
        <v>100</v>
      </c>
      <c r="BN259" s="49">
        <v>33</v>
      </c>
    </row>
    <row r="260" spans="1:66" ht="15">
      <c r="A260" s="65" t="s">
        <v>468</v>
      </c>
      <c r="B260" s="65" t="s">
        <v>479</v>
      </c>
      <c r="C260" s="66" t="s">
        <v>4392</v>
      </c>
      <c r="D260" s="67">
        <v>1</v>
      </c>
      <c r="E260" s="68" t="s">
        <v>132</v>
      </c>
      <c r="F260" s="69">
        <v>32</v>
      </c>
      <c r="G260" s="66" t="s">
        <v>51</v>
      </c>
      <c r="H260" s="70"/>
      <c r="I260" s="71"/>
      <c r="J260" s="71"/>
      <c r="K260" s="35" t="s">
        <v>65</v>
      </c>
      <c r="L260" s="79">
        <v>260</v>
      </c>
      <c r="M260" s="79"/>
      <c r="N260" s="73"/>
      <c r="O260" s="81" t="s">
        <v>504</v>
      </c>
      <c r="P260" s="83">
        <v>44644.80232638889</v>
      </c>
      <c r="Q260" s="81" t="s">
        <v>539</v>
      </c>
      <c r="R260" s="84" t="str">
        <f>HYPERLINK("https://www.hs.fi/talous/art-2000008704863.html")</f>
        <v>https://www.hs.fi/talous/art-2000008704863.html</v>
      </c>
      <c r="S260" s="81" t="s">
        <v>582</v>
      </c>
      <c r="T260" s="81"/>
      <c r="U260" s="81"/>
      <c r="V260" s="84" t="str">
        <f>HYPERLINK("https://pbs.twimg.com/profile_images/1498972590198689793/KdYnmh5G_normal.jpg")</f>
        <v>https://pbs.twimg.com/profile_images/1498972590198689793/KdYnmh5G_normal.jpg</v>
      </c>
      <c r="W260" s="83">
        <v>44644.80232638889</v>
      </c>
      <c r="X260" s="88">
        <v>44644</v>
      </c>
      <c r="Y260" s="85" t="s">
        <v>852</v>
      </c>
      <c r="Z260" s="84" t="str">
        <f>HYPERLINK("https://twitter.com/annakaisapirila/status/1507073604109885440")</f>
        <v>https://twitter.com/annakaisapirila/status/1507073604109885440</v>
      </c>
      <c r="AA260" s="81"/>
      <c r="AB260" s="81"/>
      <c r="AC260" s="85" t="s">
        <v>1122</v>
      </c>
      <c r="AD260" s="81"/>
      <c r="AE260" s="81" t="b">
        <v>0</v>
      </c>
      <c r="AF260" s="81">
        <v>0</v>
      </c>
      <c r="AG260" s="85" t="s">
        <v>1162</v>
      </c>
      <c r="AH260" s="81" t="b">
        <v>0</v>
      </c>
      <c r="AI260" s="81" t="s">
        <v>1179</v>
      </c>
      <c r="AJ260" s="81"/>
      <c r="AK260" s="85" t="s">
        <v>1162</v>
      </c>
      <c r="AL260" s="81" t="b">
        <v>0</v>
      </c>
      <c r="AM260" s="81">
        <v>103</v>
      </c>
      <c r="AN260" s="85" t="s">
        <v>1134</v>
      </c>
      <c r="AO260" s="85" t="s">
        <v>1190</v>
      </c>
      <c r="AP260" s="81" t="b">
        <v>0</v>
      </c>
      <c r="AQ260" s="85" t="s">
        <v>1134</v>
      </c>
      <c r="AR260" s="81" t="s">
        <v>187</v>
      </c>
      <c r="AS260" s="81">
        <v>0</v>
      </c>
      <c r="AT260" s="81">
        <v>0</v>
      </c>
      <c r="AU260" s="81"/>
      <c r="AV260" s="81"/>
      <c r="AW260" s="81"/>
      <c r="AX260" s="81"/>
      <c r="AY260" s="81"/>
      <c r="AZ260" s="81"/>
      <c r="BA260" s="81"/>
      <c r="BB260" s="81"/>
      <c r="BC260">
        <v>1</v>
      </c>
      <c r="BD260" s="80" t="str">
        <f>REPLACE(INDEX(GroupVertices[Group],MATCH(Edges[[#This Row],[Vertex 1]],GroupVertices[Vertex],0)),1,1,"")</f>
        <v>4</v>
      </c>
      <c r="BE260" s="80" t="str">
        <f>REPLACE(INDEX(GroupVertices[Group],MATCH(Edges[[#This Row],[Vertex 2]],GroupVertices[Vertex],0)),1,1,"")</f>
        <v>1</v>
      </c>
      <c r="BF260" s="49">
        <v>0</v>
      </c>
      <c r="BG260" s="50">
        <v>0</v>
      </c>
      <c r="BH260" s="49">
        <v>0</v>
      </c>
      <c r="BI260" s="50">
        <v>0</v>
      </c>
      <c r="BJ260" s="49">
        <v>0</v>
      </c>
      <c r="BK260" s="50">
        <v>0</v>
      </c>
      <c r="BL260" s="49">
        <v>33</v>
      </c>
      <c r="BM260" s="50">
        <v>100</v>
      </c>
      <c r="BN260" s="49">
        <v>33</v>
      </c>
    </row>
    <row r="261" spans="1:66" ht="15">
      <c r="A261" s="65" t="s">
        <v>468</v>
      </c>
      <c r="B261" s="65" t="s">
        <v>483</v>
      </c>
      <c r="C261" s="66" t="s">
        <v>4392</v>
      </c>
      <c r="D261" s="67">
        <v>1</v>
      </c>
      <c r="E261" s="68" t="s">
        <v>132</v>
      </c>
      <c r="F261" s="69">
        <v>32</v>
      </c>
      <c r="G261" s="66" t="s">
        <v>51</v>
      </c>
      <c r="H261" s="70"/>
      <c r="I261" s="71"/>
      <c r="J261" s="71"/>
      <c r="K261" s="35" t="s">
        <v>65</v>
      </c>
      <c r="L261" s="79">
        <v>261</v>
      </c>
      <c r="M261" s="79"/>
      <c r="N261" s="73"/>
      <c r="O261" s="81" t="s">
        <v>504</v>
      </c>
      <c r="P261" s="83">
        <v>44645.43570601852</v>
      </c>
      <c r="Q261" s="81" t="s">
        <v>572</v>
      </c>
      <c r="R261" s="81"/>
      <c r="S261" s="81"/>
      <c r="T261" s="85" t="s">
        <v>594</v>
      </c>
      <c r="U261" s="81"/>
      <c r="V261" s="84" t="str">
        <f>HYPERLINK("https://pbs.twimg.com/profile_images/1498972590198689793/KdYnmh5G_normal.jpg")</f>
        <v>https://pbs.twimg.com/profile_images/1498972590198689793/KdYnmh5G_normal.jpg</v>
      </c>
      <c r="W261" s="83">
        <v>44645.43570601852</v>
      </c>
      <c r="X261" s="88">
        <v>44645</v>
      </c>
      <c r="Y261" s="85" t="s">
        <v>853</v>
      </c>
      <c r="Z261" s="84" t="str">
        <f>HYPERLINK("https://twitter.com/annakaisapirila/status/1507303133109755904")</f>
        <v>https://twitter.com/annakaisapirila/status/1507303133109755904</v>
      </c>
      <c r="AA261" s="81"/>
      <c r="AB261" s="81"/>
      <c r="AC261" s="85" t="s">
        <v>1123</v>
      </c>
      <c r="AD261" s="81"/>
      <c r="AE261" s="81" t="b">
        <v>0</v>
      </c>
      <c r="AF261" s="81">
        <v>0</v>
      </c>
      <c r="AG261" s="85" t="s">
        <v>1162</v>
      </c>
      <c r="AH261" s="81" t="b">
        <v>0</v>
      </c>
      <c r="AI261" s="81" t="s">
        <v>1179</v>
      </c>
      <c r="AJ261" s="81"/>
      <c r="AK261" s="85" t="s">
        <v>1162</v>
      </c>
      <c r="AL261" s="81" t="b">
        <v>0</v>
      </c>
      <c r="AM261" s="81">
        <v>24</v>
      </c>
      <c r="AN261" s="85" t="s">
        <v>1139</v>
      </c>
      <c r="AO261" s="85" t="s">
        <v>1190</v>
      </c>
      <c r="AP261" s="81" t="b">
        <v>0</v>
      </c>
      <c r="AQ261" s="85" t="s">
        <v>1139</v>
      </c>
      <c r="AR261" s="81" t="s">
        <v>187</v>
      </c>
      <c r="AS261" s="81">
        <v>0</v>
      </c>
      <c r="AT261" s="81">
        <v>0</v>
      </c>
      <c r="AU261" s="81"/>
      <c r="AV261" s="81"/>
      <c r="AW261" s="81"/>
      <c r="AX261" s="81"/>
      <c r="AY261" s="81"/>
      <c r="AZ261" s="81"/>
      <c r="BA261" s="81"/>
      <c r="BB261" s="81"/>
      <c r="BC261">
        <v>1</v>
      </c>
      <c r="BD261" s="80" t="str">
        <f>REPLACE(INDEX(GroupVertices[Group],MATCH(Edges[[#This Row],[Vertex 1]],GroupVertices[Vertex],0)),1,1,"")</f>
        <v>4</v>
      </c>
      <c r="BE261" s="80" t="str">
        <f>REPLACE(INDEX(GroupVertices[Group],MATCH(Edges[[#This Row],[Vertex 2]],GroupVertices[Vertex],0)),1,1,"")</f>
        <v>4</v>
      </c>
      <c r="BF261" s="49">
        <v>0</v>
      </c>
      <c r="BG261" s="50">
        <v>0</v>
      </c>
      <c r="BH261" s="49">
        <v>0</v>
      </c>
      <c r="BI261" s="50">
        <v>0</v>
      </c>
      <c r="BJ261" s="49">
        <v>0</v>
      </c>
      <c r="BK261" s="50">
        <v>0</v>
      </c>
      <c r="BL261" s="49">
        <v>33</v>
      </c>
      <c r="BM261" s="50">
        <v>100</v>
      </c>
      <c r="BN261" s="49">
        <v>33</v>
      </c>
    </row>
    <row r="262" spans="1:66" ht="15">
      <c r="A262" s="65" t="s">
        <v>469</v>
      </c>
      <c r="B262" s="65" t="s">
        <v>483</v>
      </c>
      <c r="C262" s="66" t="s">
        <v>4392</v>
      </c>
      <c r="D262" s="67">
        <v>1</v>
      </c>
      <c r="E262" s="68" t="s">
        <v>132</v>
      </c>
      <c r="F262" s="69">
        <v>32</v>
      </c>
      <c r="G262" s="66" t="s">
        <v>51</v>
      </c>
      <c r="H262" s="70"/>
      <c r="I262" s="71"/>
      <c r="J262" s="71"/>
      <c r="K262" s="35" t="s">
        <v>65</v>
      </c>
      <c r="L262" s="79">
        <v>262</v>
      </c>
      <c r="M262" s="79"/>
      <c r="N262" s="73"/>
      <c r="O262" s="81" t="s">
        <v>504</v>
      </c>
      <c r="P262" s="83">
        <v>44645.43702546296</v>
      </c>
      <c r="Q262" s="81" t="s">
        <v>572</v>
      </c>
      <c r="R262" s="81"/>
      <c r="S262" s="81"/>
      <c r="T262" s="85" t="s">
        <v>594</v>
      </c>
      <c r="U262" s="81"/>
      <c r="V262" s="84" t="str">
        <f>HYPERLINK("https://pbs.twimg.com/profile_images/516848328089149440/Zm-RZcB6_normal.jpeg")</f>
        <v>https://pbs.twimg.com/profile_images/516848328089149440/Zm-RZcB6_normal.jpeg</v>
      </c>
      <c r="W262" s="83">
        <v>44645.43702546296</v>
      </c>
      <c r="X262" s="88">
        <v>44645</v>
      </c>
      <c r="Y262" s="85" t="s">
        <v>854</v>
      </c>
      <c r="Z262" s="84" t="str">
        <f>HYPERLINK("https://twitter.com/rikupul/status/1507303609913991184")</f>
        <v>https://twitter.com/rikupul/status/1507303609913991184</v>
      </c>
      <c r="AA262" s="81"/>
      <c r="AB262" s="81"/>
      <c r="AC262" s="85" t="s">
        <v>1124</v>
      </c>
      <c r="AD262" s="81"/>
      <c r="AE262" s="81" t="b">
        <v>0</v>
      </c>
      <c r="AF262" s="81">
        <v>0</v>
      </c>
      <c r="AG262" s="85" t="s">
        <v>1162</v>
      </c>
      <c r="AH262" s="81" t="b">
        <v>0</v>
      </c>
      <c r="AI262" s="81" t="s">
        <v>1179</v>
      </c>
      <c r="AJ262" s="81"/>
      <c r="AK262" s="85" t="s">
        <v>1162</v>
      </c>
      <c r="AL262" s="81" t="b">
        <v>0</v>
      </c>
      <c r="AM262" s="81">
        <v>24</v>
      </c>
      <c r="AN262" s="85" t="s">
        <v>1139</v>
      </c>
      <c r="AO262" s="85" t="s">
        <v>1190</v>
      </c>
      <c r="AP262" s="81" t="b">
        <v>0</v>
      </c>
      <c r="AQ262" s="85" t="s">
        <v>1139</v>
      </c>
      <c r="AR262" s="81" t="s">
        <v>187</v>
      </c>
      <c r="AS262" s="81">
        <v>0</v>
      </c>
      <c r="AT262" s="81">
        <v>0</v>
      </c>
      <c r="AU262" s="81"/>
      <c r="AV262" s="81"/>
      <c r="AW262" s="81"/>
      <c r="AX262" s="81"/>
      <c r="AY262" s="81"/>
      <c r="AZ262" s="81"/>
      <c r="BA262" s="81"/>
      <c r="BB262" s="81"/>
      <c r="BC262">
        <v>1</v>
      </c>
      <c r="BD262" s="80" t="str">
        <f>REPLACE(INDEX(GroupVertices[Group],MATCH(Edges[[#This Row],[Vertex 1]],GroupVertices[Vertex],0)),1,1,"")</f>
        <v>4</v>
      </c>
      <c r="BE262" s="80" t="str">
        <f>REPLACE(INDEX(GroupVertices[Group],MATCH(Edges[[#This Row],[Vertex 2]],GroupVertices[Vertex],0)),1,1,"")</f>
        <v>4</v>
      </c>
      <c r="BF262" s="49">
        <v>0</v>
      </c>
      <c r="BG262" s="50">
        <v>0</v>
      </c>
      <c r="BH262" s="49">
        <v>0</v>
      </c>
      <c r="BI262" s="50">
        <v>0</v>
      </c>
      <c r="BJ262" s="49">
        <v>0</v>
      </c>
      <c r="BK262" s="50">
        <v>0</v>
      </c>
      <c r="BL262" s="49">
        <v>33</v>
      </c>
      <c r="BM262" s="50">
        <v>100</v>
      </c>
      <c r="BN262" s="49">
        <v>33</v>
      </c>
    </row>
    <row r="263" spans="1:66" ht="15">
      <c r="A263" s="65" t="s">
        <v>470</v>
      </c>
      <c r="B263" s="65" t="s">
        <v>483</v>
      </c>
      <c r="C263" s="66" t="s">
        <v>4392</v>
      </c>
      <c r="D263" s="67">
        <v>1</v>
      </c>
      <c r="E263" s="68" t="s">
        <v>132</v>
      </c>
      <c r="F263" s="69">
        <v>32</v>
      </c>
      <c r="G263" s="66" t="s">
        <v>51</v>
      </c>
      <c r="H263" s="70"/>
      <c r="I263" s="71"/>
      <c r="J263" s="71"/>
      <c r="K263" s="35" t="s">
        <v>65</v>
      </c>
      <c r="L263" s="79">
        <v>263</v>
      </c>
      <c r="M263" s="79"/>
      <c r="N263" s="73"/>
      <c r="O263" s="81" t="s">
        <v>504</v>
      </c>
      <c r="P263" s="83">
        <v>44645.43709490741</v>
      </c>
      <c r="Q263" s="81" t="s">
        <v>572</v>
      </c>
      <c r="R263" s="81"/>
      <c r="S263" s="81"/>
      <c r="T263" s="85" t="s">
        <v>594</v>
      </c>
      <c r="U263" s="81"/>
      <c r="V263" s="84" t="str">
        <f>HYPERLINK("https://pbs.twimg.com/profile_images/1248971729453621248/wgzlhaUF_normal.jpg")</f>
        <v>https://pbs.twimg.com/profile_images/1248971729453621248/wgzlhaUF_normal.jpg</v>
      </c>
      <c r="W263" s="83">
        <v>44645.43709490741</v>
      </c>
      <c r="X263" s="88">
        <v>44645</v>
      </c>
      <c r="Y263" s="85" t="s">
        <v>855</v>
      </c>
      <c r="Z263" s="84" t="str">
        <f>HYPERLINK("https://twitter.com/joniaittola/status/1507303635079905282")</f>
        <v>https://twitter.com/joniaittola/status/1507303635079905282</v>
      </c>
      <c r="AA263" s="81"/>
      <c r="AB263" s="81"/>
      <c r="AC263" s="85" t="s">
        <v>1125</v>
      </c>
      <c r="AD263" s="81"/>
      <c r="AE263" s="81" t="b">
        <v>0</v>
      </c>
      <c r="AF263" s="81">
        <v>0</v>
      </c>
      <c r="AG263" s="85" t="s">
        <v>1162</v>
      </c>
      <c r="AH263" s="81" t="b">
        <v>0</v>
      </c>
      <c r="AI263" s="81" t="s">
        <v>1179</v>
      </c>
      <c r="AJ263" s="81"/>
      <c r="AK263" s="85" t="s">
        <v>1162</v>
      </c>
      <c r="AL263" s="81" t="b">
        <v>0</v>
      </c>
      <c r="AM263" s="81">
        <v>24</v>
      </c>
      <c r="AN263" s="85" t="s">
        <v>1139</v>
      </c>
      <c r="AO263" s="85" t="s">
        <v>1188</v>
      </c>
      <c r="AP263" s="81" t="b">
        <v>0</v>
      </c>
      <c r="AQ263" s="85" t="s">
        <v>1139</v>
      </c>
      <c r="AR263" s="81" t="s">
        <v>187</v>
      </c>
      <c r="AS263" s="81">
        <v>0</v>
      </c>
      <c r="AT263" s="81">
        <v>0</v>
      </c>
      <c r="AU263" s="81"/>
      <c r="AV263" s="81"/>
      <c r="AW263" s="81"/>
      <c r="AX263" s="81"/>
      <c r="AY263" s="81"/>
      <c r="AZ263" s="81"/>
      <c r="BA263" s="81"/>
      <c r="BB263" s="81"/>
      <c r="BC263">
        <v>1</v>
      </c>
      <c r="BD263" s="80" t="str">
        <f>REPLACE(INDEX(GroupVertices[Group],MATCH(Edges[[#This Row],[Vertex 1]],GroupVertices[Vertex],0)),1,1,"")</f>
        <v>4</v>
      </c>
      <c r="BE263" s="80" t="str">
        <f>REPLACE(INDEX(GroupVertices[Group],MATCH(Edges[[#This Row],[Vertex 2]],GroupVertices[Vertex],0)),1,1,"")</f>
        <v>4</v>
      </c>
      <c r="BF263" s="49">
        <v>0</v>
      </c>
      <c r="BG263" s="50">
        <v>0</v>
      </c>
      <c r="BH263" s="49">
        <v>0</v>
      </c>
      <c r="BI263" s="50">
        <v>0</v>
      </c>
      <c r="BJ263" s="49">
        <v>0</v>
      </c>
      <c r="BK263" s="50">
        <v>0</v>
      </c>
      <c r="BL263" s="49">
        <v>33</v>
      </c>
      <c r="BM263" s="50">
        <v>100</v>
      </c>
      <c r="BN263" s="49">
        <v>33</v>
      </c>
    </row>
    <row r="264" spans="1:66" ht="15">
      <c r="A264" s="65" t="s">
        <v>471</v>
      </c>
      <c r="B264" s="65" t="s">
        <v>483</v>
      </c>
      <c r="C264" s="66" t="s">
        <v>4392</v>
      </c>
      <c r="D264" s="67">
        <v>1</v>
      </c>
      <c r="E264" s="68" t="s">
        <v>132</v>
      </c>
      <c r="F264" s="69">
        <v>32</v>
      </c>
      <c r="G264" s="66" t="s">
        <v>51</v>
      </c>
      <c r="H264" s="70"/>
      <c r="I264" s="71"/>
      <c r="J264" s="71"/>
      <c r="K264" s="35" t="s">
        <v>65</v>
      </c>
      <c r="L264" s="79">
        <v>264</v>
      </c>
      <c r="M264" s="79"/>
      <c r="N264" s="73"/>
      <c r="O264" s="81" t="s">
        <v>504</v>
      </c>
      <c r="P264" s="83">
        <v>44645.439305555556</v>
      </c>
      <c r="Q264" s="81" t="s">
        <v>572</v>
      </c>
      <c r="R264" s="81"/>
      <c r="S264" s="81"/>
      <c r="T264" s="85" t="s">
        <v>594</v>
      </c>
      <c r="U264" s="81"/>
      <c r="V264" s="84" t="str">
        <f>HYPERLINK("https://pbs.twimg.com/profile_images/1412097919071686659/quuIPyEQ_normal.jpg")</f>
        <v>https://pbs.twimg.com/profile_images/1412097919071686659/quuIPyEQ_normal.jpg</v>
      </c>
      <c r="W264" s="83">
        <v>44645.439305555556</v>
      </c>
      <c r="X264" s="88">
        <v>44645</v>
      </c>
      <c r="Y264" s="85" t="s">
        <v>856</v>
      </c>
      <c r="Z264" s="84" t="str">
        <f>HYPERLINK("https://twitter.com/paakonhele/status/1507304437446066178")</f>
        <v>https://twitter.com/paakonhele/status/1507304437446066178</v>
      </c>
      <c r="AA264" s="81"/>
      <c r="AB264" s="81"/>
      <c r="AC264" s="85" t="s">
        <v>1126</v>
      </c>
      <c r="AD264" s="81"/>
      <c r="AE264" s="81" t="b">
        <v>0</v>
      </c>
      <c r="AF264" s="81">
        <v>0</v>
      </c>
      <c r="AG264" s="85" t="s">
        <v>1162</v>
      </c>
      <c r="AH264" s="81" t="b">
        <v>0</v>
      </c>
      <c r="AI264" s="81" t="s">
        <v>1179</v>
      </c>
      <c r="AJ264" s="81"/>
      <c r="AK264" s="85" t="s">
        <v>1162</v>
      </c>
      <c r="AL264" s="81" t="b">
        <v>0</v>
      </c>
      <c r="AM264" s="81">
        <v>24</v>
      </c>
      <c r="AN264" s="85" t="s">
        <v>1139</v>
      </c>
      <c r="AO264" s="85" t="s">
        <v>1188</v>
      </c>
      <c r="AP264" s="81" t="b">
        <v>0</v>
      </c>
      <c r="AQ264" s="85" t="s">
        <v>1139</v>
      </c>
      <c r="AR264" s="81" t="s">
        <v>187</v>
      </c>
      <c r="AS264" s="81">
        <v>0</v>
      </c>
      <c r="AT264" s="81">
        <v>0</v>
      </c>
      <c r="AU264" s="81"/>
      <c r="AV264" s="81"/>
      <c r="AW264" s="81"/>
      <c r="AX264" s="81"/>
      <c r="AY264" s="81"/>
      <c r="AZ264" s="81"/>
      <c r="BA264" s="81"/>
      <c r="BB264" s="81"/>
      <c r="BC264">
        <v>1</v>
      </c>
      <c r="BD264" s="80" t="str">
        <f>REPLACE(INDEX(GroupVertices[Group],MATCH(Edges[[#This Row],[Vertex 1]],GroupVertices[Vertex],0)),1,1,"")</f>
        <v>4</v>
      </c>
      <c r="BE264" s="80" t="str">
        <f>REPLACE(INDEX(GroupVertices[Group],MATCH(Edges[[#This Row],[Vertex 2]],GroupVertices[Vertex],0)),1,1,"")</f>
        <v>4</v>
      </c>
      <c r="BF264" s="49">
        <v>0</v>
      </c>
      <c r="BG264" s="50">
        <v>0</v>
      </c>
      <c r="BH264" s="49">
        <v>0</v>
      </c>
      <c r="BI264" s="50">
        <v>0</v>
      </c>
      <c r="BJ264" s="49">
        <v>0</v>
      </c>
      <c r="BK264" s="50">
        <v>0</v>
      </c>
      <c r="BL264" s="49">
        <v>33</v>
      </c>
      <c r="BM264" s="50">
        <v>100</v>
      </c>
      <c r="BN264" s="49">
        <v>33</v>
      </c>
    </row>
    <row r="265" spans="1:66" ht="15">
      <c r="A265" s="65" t="s">
        <v>472</v>
      </c>
      <c r="B265" s="65" t="s">
        <v>483</v>
      </c>
      <c r="C265" s="66" t="s">
        <v>4392</v>
      </c>
      <c r="D265" s="67">
        <v>1</v>
      </c>
      <c r="E265" s="68" t="s">
        <v>132</v>
      </c>
      <c r="F265" s="69">
        <v>32</v>
      </c>
      <c r="G265" s="66" t="s">
        <v>51</v>
      </c>
      <c r="H265" s="70"/>
      <c r="I265" s="71"/>
      <c r="J265" s="71"/>
      <c r="K265" s="35" t="s">
        <v>65</v>
      </c>
      <c r="L265" s="79">
        <v>265</v>
      </c>
      <c r="M265" s="79"/>
      <c r="N265" s="73"/>
      <c r="O265" s="81" t="s">
        <v>504</v>
      </c>
      <c r="P265" s="83">
        <v>44645.4399537037</v>
      </c>
      <c r="Q265" s="81" t="s">
        <v>572</v>
      </c>
      <c r="R265" s="81"/>
      <c r="S265" s="81"/>
      <c r="T265" s="85" t="s">
        <v>594</v>
      </c>
      <c r="U265" s="81"/>
      <c r="V265" s="84" t="str">
        <f>HYPERLINK("https://pbs.twimg.com/profile_images/1417520737016029189/EdM_evPh_normal.jpg")</f>
        <v>https://pbs.twimg.com/profile_images/1417520737016029189/EdM_evPh_normal.jpg</v>
      </c>
      <c r="W265" s="83">
        <v>44645.4399537037</v>
      </c>
      <c r="X265" s="88">
        <v>44645</v>
      </c>
      <c r="Y265" s="85" t="s">
        <v>857</v>
      </c>
      <c r="Z265" s="84" t="str">
        <f>HYPERLINK("https://twitter.com/jjrehn1/status/1507304672557740032")</f>
        <v>https://twitter.com/jjrehn1/status/1507304672557740032</v>
      </c>
      <c r="AA265" s="81"/>
      <c r="AB265" s="81"/>
      <c r="AC265" s="85" t="s">
        <v>1127</v>
      </c>
      <c r="AD265" s="81"/>
      <c r="AE265" s="81" t="b">
        <v>0</v>
      </c>
      <c r="AF265" s="81">
        <v>0</v>
      </c>
      <c r="AG265" s="85" t="s">
        <v>1162</v>
      </c>
      <c r="AH265" s="81" t="b">
        <v>0</v>
      </c>
      <c r="AI265" s="81" t="s">
        <v>1179</v>
      </c>
      <c r="AJ265" s="81"/>
      <c r="AK265" s="85" t="s">
        <v>1162</v>
      </c>
      <c r="AL265" s="81" t="b">
        <v>0</v>
      </c>
      <c r="AM265" s="81">
        <v>24</v>
      </c>
      <c r="AN265" s="85" t="s">
        <v>1139</v>
      </c>
      <c r="AO265" s="85" t="s">
        <v>1189</v>
      </c>
      <c r="AP265" s="81" t="b">
        <v>0</v>
      </c>
      <c r="AQ265" s="85" t="s">
        <v>1139</v>
      </c>
      <c r="AR265" s="81" t="s">
        <v>187</v>
      </c>
      <c r="AS265" s="81">
        <v>0</v>
      </c>
      <c r="AT265" s="81">
        <v>0</v>
      </c>
      <c r="AU265" s="81"/>
      <c r="AV265" s="81"/>
      <c r="AW265" s="81"/>
      <c r="AX265" s="81"/>
      <c r="AY265" s="81"/>
      <c r="AZ265" s="81"/>
      <c r="BA265" s="81"/>
      <c r="BB265" s="81"/>
      <c r="BC265">
        <v>1</v>
      </c>
      <c r="BD265" s="80" t="str">
        <f>REPLACE(INDEX(GroupVertices[Group],MATCH(Edges[[#This Row],[Vertex 1]],GroupVertices[Vertex],0)),1,1,"")</f>
        <v>4</v>
      </c>
      <c r="BE265" s="80" t="str">
        <f>REPLACE(INDEX(GroupVertices[Group],MATCH(Edges[[#This Row],[Vertex 2]],GroupVertices[Vertex],0)),1,1,"")</f>
        <v>4</v>
      </c>
      <c r="BF265" s="49">
        <v>0</v>
      </c>
      <c r="BG265" s="50">
        <v>0</v>
      </c>
      <c r="BH265" s="49">
        <v>0</v>
      </c>
      <c r="BI265" s="50">
        <v>0</v>
      </c>
      <c r="BJ265" s="49">
        <v>0</v>
      </c>
      <c r="BK265" s="50">
        <v>0</v>
      </c>
      <c r="BL265" s="49">
        <v>33</v>
      </c>
      <c r="BM265" s="50">
        <v>100</v>
      </c>
      <c r="BN265" s="49">
        <v>33</v>
      </c>
    </row>
    <row r="266" spans="1:66" ht="15">
      <c r="A266" s="65" t="s">
        <v>473</v>
      </c>
      <c r="B266" s="65" t="s">
        <v>483</v>
      </c>
      <c r="C266" s="66" t="s">
        <v>4392</v>
      </c>
      <c r="D266" s="67">
        <v>1</v>
      </c>
      <c r="E266" s="68" t="s">
        <v>132</v>
      </c>
      <c r="F266" s="69">
        <v>32</v>
      </c>
      <c r="G266" s="66" t="s">
        <v>51</v>
      </c>
      <c r="H266" s="70"/>
      <c r="I266" s="71"/>
      <c r="J266" s="71"/>
      <c r="K266" s="35" t="s">
        <v>65</v>
      </c>
      <c r="L266" s="79">
        <v>266</v>
      </c>
      <c r="M266" s="79"/>
      <c r="N266" s="73"/>
      <c r="O266" s="81" t="s">
        <v>504</v>
      </c>
      <c r="P266" s="83">
        <v>44645.44024305556</v>
      </c>
      <c r="Q266" s="81" t="s">
        <v>572</v>
      </c>
      <c r="R266" s="81"/>
      <c r="S266" s="81"/>
      <c r="T266" s="85" t="s">
        <v>594</v>
      </c>
      <c r="U266" s="81"/>
      <c r="V266" s="84" t="str">
        <f>HYPERLINK("https://pbs.twimg.com/profile_images/1417078664861192198/M0DtOFMD_normal.jpg")</f>
        <v>https://pbs.twimg.com/profile_images/1417078664861192198/M0DtOFMD_normal.jpg</v>
      </c>
      <c r="W266" s="83">
        <v>44645.44024305556</v>
      </c>
      <c r="X266" s="88">
        <v>44645</v>
      </c>
      <c r="Y266" s="85" t="s">
        <v>858</v>
      </c>
      <c r="Z266" s="84" t="str">
        <f>HYPERLINK("https://twitter.com/jatkis/status/1507304777260179456")</f>
        <v>https://twitter.com/jatkis/status/1507304777260179456</v>
      </c>
      <c r="AA266" s="81"/>
      <c r="AB266" s="81"/>
      <c r="AC266" s="85" t="s">
        <v>1128</v>
      </c>
      <c r="AD266" s="81"/>
      <c r="AE266" s="81" t="b">
        <v>0</v>
      </c>
      <c r="AF266" s="81">
        <v>0</v>
      </c>
      <c r="AG266" s="85" t="s">
        <v>1162</v>
      </c>
      <c r="AH266" s="81" t="b">
        <v>0</v>
      </c>
      <c r="AI266" s="81" t="s">
        <v>1179</v>
      </c>
      <c r="AJ266" s="81"/>
      <c r="AK266" s="85" t="s">
        <v>1162</v>
      </c>
      <c r="AL266" s="81" t="b">
        <v>0</v>
      </c>
      <c r="AM266" s="81">
        <v>24</v>
      </c>
      <c r="AN266" s="85" t="s">
        <v>1139</v>
      </c>
      <c r="AO266" s="85" t="s">
        <v>1188</v>
      </c>
      <c r="AP266" s="81" t="b">
        <v>0</v>
      </c>
      <c r="AQ266" s="85" t="s">
        <v>1139</v>
      </c>
      <c r="AR266" s="81" t="s">
        <v>187</v>
      </c>
      <c r="AS266" s="81">
        <v>0</v>
      </c>
      <c r="AT266" s="81">
        <v>0</v>
      </c>
      <c r="AU266" s="81"/>
      <c r="AV266" s="81"/>
      <c r="AW266" s="81"/>
      <c r="AX266" s="81"/>
      <c r="AY266" s="81"/>
      <c r="AZ266" s="81"/>
      <c r="BA266" s="81"/>
      <c r="BB266" s="81"/>
      <c r="BC266">
        <v>1</v>
      </c>
      <c r="BD266" s="80" t="str">
        <f>REPLACE(INDEX(GroupVertices[Group],MATCH(Edges[[#This Row],[Vertex 1]],GroupVertices[Vertex],0)),1,1,"")</f>
        <v>4</v>
      </c>
      <c r="BE266" s="80" t="str">
        <f>REPLACE(INDEX(GroupVertices[Group],MATCH(Edges[[#This Row],[Vertex 2]],GroupVertices[Vertex],0)),1,1,"")</f>
        <v>4</v>
      </c>
      <c r="BF266" s="49">
        <v>0</v>
      </c>
      <c r="BG266" s="50">
        <v>0</v>
      </c>
      <c r="BH266" s="49">
        <v>0</v>
      </c>
      <c r="BI266" s="50">
        <v>0</v>
      </c>
      <c r="BJ266" s="49">
        <v>0</v>
      </c>
      <c r="BK266" s="50">
        <v>0</v>
      </c>
      <c r="BL266" s="49">
        <v>33</v>
      </c>
      <c r="BM266" s="50">
        <v>100</v>
      </c>
      <c r="BN266" s="49">
        <v>33</v>
      </c>
    </row>
    <row r="267" spans="1:66" ht="15">
      <c r="A267" s="65" t="s">
        <v>474</v>
      </c>
      <c r="B267" s="65" t="s">
        <v>483</v>
      </c>
      <c r="C267" s="66" t="s">
        <v>4392</v>
      </c>
      <c r="D267" s="67">
        <v>1</v>
      </c>
      <c r="E267" s="68" t="s">
        <v>132</v>
      </c>
      <c r="F267" s="69">
        <v>32</v>
      </c>
      <c r="G267" s="66" t="s">
        <v>51</v>
      </c>
      <c r="H267" s="70"/>
      <c r="I267" s="71"/>
      <c r="J267" s="71"/>
      <c r="K267" s="35" t="s">
        <v>65</v>
      </c>
      <c r="L267" s="79">
        <v>267</v>
      </c>
      <c r="M267" s="79"/>
      <c r="N267" s="73"/>
      <c r="O267" s="81" t="s">
        <v>504</v>
      </c>
      <c r="P267" s="83">
        <v>44645.440405092595</v>
      </c>
      <c r="Q267" s="81" t="s">
        <v>572</v>
      </c>
      <c r="R267" s="81"/>
      <c r="S267" s="81"/>
      <c r="T267" s="85" t="s">
        <v>594</v>
      </c>
      <c r="U267" s="81"/>
      <c r="V267" s="84" t="str">
        <f>HYPERLINK("https://pbs.twimg.com/profile_images/1493314674418409477/XXWqPBRy_normal.jpg")</f>
        <v>https://pbs.twimg.com/profile_images/1493314674418409477/XXWqPBRy_normal.jpg</v>
      </c>
      <c r="W267" s="83">
        <v>44645.440405092595</v>
      </c>
      <c r="X267" s="88">
        <v>44645</v>
      </c>
      <c r="Y267" s="85" t="s">
        <v>859</v>
      </c>
      <c r="Z267" s="84" t="str">
        <f>HYPERLINK("https://twitter.com/maaninkavaara/status/1507304833312862210")</f>
        <v>https://twitter.com/maaninkavaara/status/1507304833312862210</v>
      </c>
      <c r="AA267" s="81"/>
      <c r="AB267" s="81"/>
      <c r="AC267" s="85" t="s">
        <v>1129</v>
      </c>
      <c r="AD267" s="81"/>
      <c r="AE267" s="81" t="b">
        <v>0</v>
      </c>
      <c r="AF267" s="81">
        <v>0</v>
      </c>
      <c r="AG267" s="85" t="s">
        <v>1162</v>
      </c>
      <c r="AH267" s="81" t="b">
        <v>0</v>
      </c>
      <c r="AI267" s="81" t="s">
        <v>1179</v>
      </c>
      <c r="AJ267" s="81"/>
      <c r="AK267" s="85" t="s">
        <v>1162</v>
      </c>
      <c r="AL267" s="81" t="b">
        <v>0</v>
      </c>
      <c r="AM267" s="81">
        <v>24</v>
      </c>
      <c r="AN267" s="85" t="s">
        <v>1139</v>
      </c>
      <c r="AO267" s="85" t="s">
        <v>1190</v>
      </c>
      <c r="AP267" s="81" t="b">
        <v>0</v>
      </c>
      <c r="AQ267" s="85" t="s">
        <v>1139</v>
      </c>
      <c r="AR267" s="81" t="s">
        <v>187</v>
      </c>
      <c r="AS267" s="81">
        <v>0</v>
      </c>
      <c r="AT267" s="81">
        <v>0</v>
      </c>
      <c r="AU267" s="81"/>
      <c r="AV267" s="81"/>
      <c r="AW267" s="81"/>
      <c r="AX267" s="81"/>
      <c r="AY267" s="81"/>
      <c r="AZ267" s="81"/>
      <c r="BA267" s="81"/>
      <c r="BB267" s="81"/>
      <c r="BC267">
        <v>1</v>
      </c>
      <c r="BD267" s="80" t="str">
        <f>REPLACE(INDEX(GroupVertices[Group],MATCH(Edges[[#This Row],[Vertex 1]],GroupVertices[Vertex],0)),1,1,"")</f>
        <v>4</v>
      </c>
      <c r="BE267" s="80" t="str">
        <f>REPLACE(INDEX(GroupVertices[Group],MATCH(Edges[[#This Row],[Vertex 2]],GroupVertices[Vertex],0)),1,1,"")</f>
        <v>4</v>
      </c>
      <c r="BF267" s="49">
        <v>0</v>
      </c>
      <c r="BG267" s="50">
        <v>0</v>
      </c>
      <c r="BH267" s="49">
        <v>0</v>
      </c>
      <c r="BI267" s="50">
        <v>0</v>
      </c>
      <c r="BJ267" s="49">
        <v>0</v>
      </c>
      <c r="BK267" s="50">
        <v>0</v>
      </c>
      <c r="BL267" s="49">
        <v>33</v>
      </c>
      <c r="BM267" s="50">
        <v>100</v>
      </c>
      <c r="BN267" s="49">
        <v>33</v>
      </c>
    </row>
    <row r="268" spans="1:66" ht="15">
      <c r="A268" s="65" t="s">
        <v>475</v>
      </c>
      <c r="B268" s="65" t="s">
        <v>475</v>
      </c>
      <c r="C268" s="66" t="s">
        <v>4392</v>
      </c>
      <c r="D268" s="67">
        <v>1</v>
      </c>
      <c r="E268" s="68" t="s">
        <v>132</v>
      </c>
      <c r="F268" s="69">
        <v>32</v>
      </c>
      <c r="G268" s="66" t="s">
        <v>51</v>
      </c>
      <c r="H268" s="70"/>
      <c r="I268" s="71"/>
      <c r="J268" s="71"/>
      <c r="K268" s="35" t="s">
        <v>65</v>
      </c>
      <c r="L268" s="79">
        <v>268</v>
      </c>
      <c r="M268" s="79"/>
      <c r="N268" s="73"/>
      <c r="O268" s="81" t="s">
        <v>187</v>
      </c>
      <c r="P268" s="83">
        <v>44645.4409375</v>
      </c>
      <c r="Q268" s="81" t="s">
        <v>575</v>
      </c>
      <c r="R268" s="84" t="str">
        <f>HYPERLINK("https://twitter.com/MinnaLampinen/status/1507295956009639939")</f>
        <v>https://twitter.com/MinnaLampinen/status/1507295956009639939</v>
      </c>
      <c r="S268" s="81" t="s">
        <v>580</v>
      </c>
      <c r="T268" s="85" t="s">
        <v>603</v>
      </c>
      <c r="U268" s="81"/>
      <c r="V268" s="84" t="str">
        <f>HYPERLINK("https://pbs.twimg.com/profile_images/1497760917798465542/M2z49jOP_normal.jpg")</f>
        <v>https://pbs.twimg.com/profile_images/1497760917798465542/M2z49jOP_normal.jpg</v>
      </c>
      <c r="W268" s="83">
        <v>44645.4409375</v>
      </c>
      <c r="X268" s="88">
        <v>44645</v>
      </c>
      <c r="Y268" s="85" t="s">
        <v>860</v>
      </c>
      <c r="Z268" s="84" t="str">
        <f>HYPERLINK("https://twitter.com/aapo_haavi/status/1507305025185452034")</f>
        <v>https://twitter.com/aapo_haavi/status/1507305025185452034</v>
      </c>
      <c r="AA268" s="81"/>
      <c r="AB268" s="81"/>
      <c r="AC268" s="85" t="s">
        <v>1130</v>
      </c>
      <c r="AD268" s="81"/>
      <c r="AE268" s="81" t="b">
        <v>0</v>
      </c>
      <c r="AF268" s="81">
        <v>0</v>
      </c>
      <c r="AG268" s="85" t="s">
        <v>1162</v>
      </c>
      <c r="AH268" s="81" t="b">
        <v>1</v>
      </c>
      <c r="AI268" s="81" t="s">
        <v>1179</v>
      </c>
      <c r="AJ268" s="81"/>
      <c r="AK268" s="85" t="s">
        <v>1139</v>
      </c>
      <c r="AL268" s="81" t="b">
        <v>0</v>
      </c>
      <c r="AM268" s="81">
        <v>0</v>
      </c>
      <c r="AN268" s="85" t="s">
        <v>1162</v>
      </c>
      <c r="AO268" s="85" t="s">
        <v>1188</v>
      </c>
      <c r="AP268" s="81" t="b">
        <v>0</v>
      </c>
      <c r="AQ268" s="85" t="s">
        <v>1130</v>
      </c>
      <c r="AR268" s="81" t="s">
        <v>187</v>
      </c>
      <c r="AS268" s="81">
        <v>0</v>
      </c>
      <c r="AT268" s="81">
        <v>0</v>
      </c>
      <c r="AU268" s="81"/>
      <c r="AV268" s="81"/>
      <c r="AW268" s="81"/>
      <c r="AX268" s="81"/>
      <c r="AY268" s="81"/>
      <c r="AZ268" s="81"/>
      <c r="BA268" s="81"/>
      <c r="BB268" s="81"/>
      <c r="BC268">
        <v>1</v>
      </c>
      <c r="BD268" s="80" t="str">
        <f>REPLACE(INDEX(GroupVertices[Group],MATCH(Edges[[#This Row],[Vertex 1]],GroupVertices[Vertex],0)),1,1,"")</f>
        <v>3</v>
      </c>
      <c r="BE268" s="80" t="str">
        <f>REPLACE(INDEX(GroupVertices[Group],MATCH(Edges[[#This Row],[Vertex 2]],GroupVertices[Vertex],0)),1,1,"")</f>
        <v>3</v>
      </c>
      <c r="BF268" s="49">
        <v>0</v>
      </c>
      <c r="BG268" s="50">
        <v>0</v>
      </c>
      <c r="BH268" s="49">
        <v>0</v>
      </c>
      <c r="BI268" s="50">
        <v>0</v>
      </c>
      <c r="BJ268" s="49">
        <v>0</v>
      </c>
      <c r="BK268" s="50">
        <v>0</v>
      </c>
      <c r="BL268" s="49">
        <v>15</v>
      </c>
      <c r="BM268" s="50">
        <v>100</v>
      </c>
      <c r="BN268" s="49">
        <v>15</v>
      </c>
    </row>
    <row r="269" spans="1:66" ht="15">
      <c r="A269" s="65" t="s">
        <v>476</v>
      </c>
      <c r="B269" s="65" t="s">
        <v>483</v>
      </c>
      <c r="C269" s="66" t="s">
        <v>4392</v>
      </c>
      <c r="D269" s="67">
        <v>1</v>
      </c>
      <c r="E269" s="68" t="s">
        <v>132</v>
      </c>
      <c r="F269" s="69">
        <v>32</v>
      </c>
      <c r="G269" s="66" t="s">
        <v>51</v>
      </c>
      <c r="H269" s="70"/>
      <c r="I269" s="71"/>
      <c r="J269" s="71"/>
      <c r="K269" s="35" t="s">
        <v>65</v>
      </c>
      <c r="L269" s="79">
        <v>269</v>
      </c>
      <c r="M269" s="79"/>
      <c r="N269" s="73"/>
      <c r="O269" s="81" t="s">
        <v>504</v>
      </c>
      <c r="P269" s="83">
        <v>44645.441030092596</v>
      </c>
      <c r="Q269" s="81" t="s">
        <v>572</v>
      </c>
      <c r="R269" s="81"/>
      <c r="S269" s="81"/>
      <c r="T269" s="85" t="s">
        <v>594</v>
      </c>
      <c r="U269" s="81"/>
      <c r="V269" s="84" t="str">
        <f>HYPERLINK("https://pbs.twimg.com/profile_images/1460860804924907522/f1r6hKXp_normal.jpg")</f>
        <v>https://pbs.twimg.com/profile_images/1460860804924907522/f1r6hKXp_normal.jpg</v>
      </c>
      <c r="W269" s="83">
        <v>44645.441030092596</v>
      </c>
      <c r="X269" s="88">
        <v>44645</v>
      </c>
      <c r="Y269" s="85" t="s">
        <v>861</v>
      </c>
      <c r="Z269" s="84" t="str">
        <f>HYPERLINK("https://twitter.com/__danc/status/1507305060522418216")</f>
        <v>https://twitter.com/__danc/status/1507305060522418216</v>
      </c>
      <c r="AA269" s="81"/>
      <c r="AB269" s="81"/>
      <c r="AC269" s="85" t="s">
        <v>1131</v>
      </c>
      <c r="AD269" s="81"/>
      <c r="AE269" s="81" t="b">
        <v>0</v>
      </c>
      <c r="AF269" s="81">
        <v>0</v>
      </c>
      <c r="AG269" s="85" t="s">
        <v>1162</v>
      </c>
      <c r="AH269" s="81" t="b">
        <v>0</v>
      </c>
      <c r="AI269" s="81" t="s">
        <v>1179</v>
      </c>
      <c r="AJ269" s="81"/>
      <c r="AK269" s="85" t="s">
        <v>1162</v>
      </c>
      <c r="AL269" s="81" t="b">
        <v>0</v>
      </c>
      <c r="AM269" s="81">
        <v>24</v>
      </c>
      <c r="AN269" s="85" t="s">
        <v>1139</v>
      </c>
      <c r="AO269" s="85" t="s">
        <v>1190</v>
      </c>
      <c r="AP269" s="81" t="b">
        <v>0</v>
      </c>
      <c r="AQ269" s="85" t="s">
        <v>1139</v>
      </c>
      <c r="AR269" s="81" t="s">
        <v>187</v>
      </c>
      <c r="AS269" s="81">
        <v>0</v>
      </c>
      <c r="AT269" s="81">
        <v>0</v>
      </c>
      <c r="AU269" s="81"/>
      <c r="AV269" s="81"/>
      <c r="AW269" s="81"/>
      <c r="AX269" s="81"/>
      <c r="AY269" s="81"/>
      <c r="AZ269" s="81"/>
      <c r="BA269" s="81"/>
      <c r="BB269" s="81"/>
      <c r="BC269">
        <v>1</v>
      </c>
      <c r="BD269" s="80" t="str">
        <f>REPLACE(INDEX(GroupVertices[Group],MATCH(Edges[[#This Row],[Vertex 1]],GroupVertices[Vertex],0)),1,1,"")</f>
        <v>4</v>
      </c>
      <c r="BE269" s="80" t="str">
        <f>REPLACE(INDEX(GroupVertices[Group],MATCH(Edges[[#This Row],[Vertex 2]],GroupVertices[Vertex],0)),1,1,"")</f>
        <v>4</v>
      </c>
      <c r="BF269" s="49">
        <v>0</v>
      </c>
      <c r="BG269" s="50">
        <v>0</v>
      </c>
      <c r="BH269" s="49">
        <v>0</v>
      </c>
      <c r="BI269" s="50">
        <v>0</v>
      </c>
      <c r="BJ269" s="49">
        <v>0</v>
      </c>
      <c r="BK269" s="50">
        <v>0</v>
      </c>
      <c r="BL269" s="49">
        <v>33</v>
      </c>
      <c r="BM269" s="50">
        <v>100</v>
      </c>
      <c r="BN269" s="49">
        <v>33</v>
      </c>
    </row>
    <row r="270" spans="1:66" ht="15">
      <c r="A270" s="65" t="s">
        <v>477</v>
      </c>
      <c r="B270" s="65" t="s">
        <v>479</v>
      </c>
      <c r="C270" s="66" t="s">
        <v>4392</v>
      </c>
      <c r="D270" s="67">
        <v>1</v>
      </c>
      <c r="E270" s="68" t="s">
        <v>132</v>
      </c>
      <c r="F270" s="69">
        <v>32</v>
      </c>
      <c r="G270" s="66" t="s">
        <v>51</v>
      </c>
      <c r="H270" s="70"/>
      <c r="I270" s="71"/>
      <c r="J270" s="71"/>
      <c r="K270" s="35" t="s">
        <v>65</v>
      </c>
      <c r="L270" s="79">
        <v>270</v>
      </c>
      <c r="M270" s="79"/>
      <c r="N270" s="73"/>
      <c r="O270" s="81" t="s">
        <v>501</v>
      </c>
      <c r="P270" s="83">
        <v>44645.44185185185</v>
      </c>
      <c r="Q270" s="81" t="s">
        <v>576</v>
      </c>
      <c r="R270" s="81"/>
      <c r="S270" s="81"/>
      <c r="T270" s="81"/>
      <c r="U270" s="81"/>
      <c r="V270" s="84" t="str">
        <f>HYPERLINK("https://pbs.twimg.com/profile_images/1456997595365138432/-R0yYqQN_normal.jpg")</f>
        <v>https://pbs.twimg.com/profile_images/1456997595365138432/-R0yYqQN_normal.jpg</v>
      </c>
      <c r="W270" s="83">
        <v>44645.44185185185</v>
      </c>
      <c r="X270" s="88">
        <v>44645</v>
      </c>
      <c r="Y270" s="85" t="s">
        <v>862</v>
      </c>
      <c r="Z270" s="84" t="str">
        <f>HYPERLINK("https://twitter.com/artovee/status/1507305359614042137")</f>
        <v>https://twitter.com/artovee/status/1507305359614042137</v>
      </c>
      <c r="AA270" s="81"/>
      <c r="AB270" s="81"/>
      <c r="AC270" s="85" t="s">
        <v>1132</v>
      </c>
      <c r="AD270" s="85" t="s">
        <v>1155</v>
      </c>
      <c r="AE270" s="81" t="b">
        <v>0</v>
      </c>
      <c r="AF270" s="81">
        <v>0</v>
      </c>
      <c r="AG270" s="85" t="s">
        <v>1173</v>
      </c>
      <c r="AH270" s="81" t="b">
        <v>0</v>
      </c>
      <c r="AI270" s="81" t="s">
        <v>1179</v>
      </c>
      <c r="AJ270" s="81"/>
      <c r="AK270" s="85" t="s">
        <v>1162</v>
      </c>
      <c r="AL270" s="81" t="b">
        <v>0</v>
      </c>
      <c r="AM270" s="81">
        <v>0</v>
      </c>
      <c r="AN270" s="85" t="s">
        <v>1162</v>
      </c>
      <c r="AO270" s="85" t="s">
        <v>1189</v>
      </c>
      <c r="AP270" s="81" t="b">
        <v>0</v>
      </c>
      <c r="AQ270" s="85" t="s">
        <v>1155</v>
      </c>
      <c r="AR270" s="81" t="s">
        <v>187</v>
      </c>
      <c r="AS270" s="81">
        <v>0</v>
      </c>
      <c r="AT270" s="81">
        <v>0</v>
      </c>
      <c r="AU270" s="81"/>
      <c r="AV270" s="81"/>
      <c r="AW270" s="81"/>
      <c r="AX270" s="81"/>
      <c r="AY270" s="81"/>
      <c r="AZ270" s="81"/>
      <c r="BA270" s="81"/>
      <c r="BB270" s="81"/>
      <c r="BC270">
        <v>1</v>
      </c>
      <c r="BD270" s="80" t="str">
        <f>REPLACE(INDEX(GroupVertices[Group],MATCH(Edges[[#This Row],[Vertex 1]],GroupVertices[Vertex],0)),1,1,"")</f>
        <v>4</v>
      </c>
      <c r="BE270" s="80" t="str">
        <f>REPLACE(INDEX(GroupVertices[Group],MATCH(Edges[[#This Row],[Vertex 2]],GroupVertices[Vertex],0)),1,1,"")</f>
        <v>1</v>
      </c>
      <c r="BF270" s="49"/>
      <c r="BG270" s="50"/>
      <c r="BH270" s="49"/>
      <c r="BI270" s="50"/>
      <c r="BJ270" s="49"/>
      <c r="BK270" s="50"/>
      <c r="BL270" s="49"/>
      <c r="BM270" s="50"/>
      <c r="BN270" s="49"/>
    </row>
    <row r="271" spans="1:66" ht="15">
      <c r="A271" s="65" t="s">
        <v>477</v>
      </c>
      <c r="B271" s="65" t="s">
        <v>483</v>
      </c>
      <c r="C271" s="66" t="s">
        <v>4392</v>
      </c>
      <c r="D271" s="67">
        <v>1</v>
      </c>
      <c r="E271" s="68" t="s">
        <v>132</v>
      </c>
      <c r="F271" s="69">
        <v>32</v>
      </c>
      <c r="G271" s="66" t="s">
        <v>51</v>
      </c>
      <c r="H271" s="70"/>
      <c r="I271" s="71"/>
      <c r="J271" s="71"/>
      <c r="K271" s="35" t="s">
        <v>65</v>
      </c>
      <c r="L271" s="79">
        <v>271</v>
      </c>
      <c r="M271" s="79"/>
      <c r="N271" s="73"/>
      <c r="O271" s="81" t="s">
        <v>502</v>
      </c>
      <c r="P271" s="83">
        <v>44645.44185185185</v>
      </c>
      <c r="Q271" s="81" t="s">
        <v>576</v>
      </c>
      <c r="R271" s="81"/>
      <c r="S271" s="81"/>
      <c r="T271" s="81"/>
      <c r="U271" s="81"/>
      <c r="V271" s="84" t="str">
        <f>HYPERLINK("https://pbs.twimg.com/profile_images/1456997595365138432/-R0yYqQN_normal.jpg")</f>
        <v>https://pbs.twimg.com/profile_images/1456997595365138432/-R0yYqQN_normal.jpg</v>
      </c>
      <c r="W271" s="83">
        <v>44645.44185185185</v>
      </c>
      <c r="X271" s="88">
        <v>44645</v>
      </c>
      <c r="Y271" s="85" t="s">
        <v>862</v>
      </c>
      <c r="Z271" s="84" t="str">
        <f>HYPERLINK("https://twitter.com/artovee/status/1507305359614042137")</f>
        <v>https://twitter.com/artovee/status/1507305359614042137</v>
      </c>
      <c r="AA271" s="81"/>
      <c r="AB271" s="81"/>
      <c r="AC271" s="85" t="s">
        <v>1132</v>
      </c>
      <c r="AD271" s="85" t="s">
        <v>1155</v>
      </c>
      <c r="AE271" s="81" t="b">
        <v>0</v>
      </c>
      <c r="AF271" s="81">
        <v>0</v>
      </c>
      <c r="AG271" s="85" t="s">
        <v>1173</v>
      </c>
      <c r="AH271" s="81" t="b">
        <v>0</v>
      </c>
      <c r="AI271" s="81" t="s">
        <v>1179</v>
      </c>
      <c r="AJ271" s="81"/>
      <c r="AK271" s="85" t="s">
        <v>1162</v>
      </c>
      <c r="AL271" s="81" t="b">
        <v>0</v>
      </c>
      <c r="AM271" s="81">
        <v>0</v>
      </c>
      <c r="AN271" s="85" t="s">
        <v>1162</v>
      </c>
      <c r="AO271" s="85" t="s">
        <v>1189</v>
      </c>
      <c r="AP271" s="81" t="b">
        <v>0</v>
      </c>
      <c r="AQ271" s="85" t="s">
        <v>1155</v>
      </c>
      <c r="AR271" s="81" t="s">
        <v>187</v>
      </c>
      <c r="AS271" s="81">
        <v>0</v>
      </c>
      <c r="AT271" s="81">
        <v>0</v>
      </c>
      <c r="AU271" s="81"/>
      <c r="AV271" s="81"/>
      <c r="AW271" s="81"/>
      <c r="AX271" s="81"/>
      <c r="AY271" s="81"/>
      <c r="AZ271" s="81"/>
      <c r="BA271" s="81"/>
      <c r="BB271" s="81"/>
      <c r="BC271">
        <v>1</v>
      </c>
      <c r="BD271" s="80" t="str">
        <f>REPLACE(INDEX(GroupVertices[Group],MATCH(Edges[[#This Row],[Vertex 1]],GroupVertices[Vertex],0)),1,1,"")</f>
        <v>4</v>
      </c>
      <c r="BE271" s="80" t="str">
        <f>REPLACE(INDEX(GroupVertices[Group],MATCH(Edges[[#This Row],[Vertex 2]],GroupVertices[Vertex],0)),1,1,"")</f>
        <v>4</v>
      </c>
      <c r="BF271" s="49">
        <v>0</v>
      </c>
      <c r="BG271" s="50">
        <v>0</v>
      </c>
      <c r="BH271" s="49">
        <v>0</v>
      </c>
      <c r="BI271" s="50">
        <v>0</v>
      </c>
      <c r="BJ271" s="49">
        <v>0</v>
      </c>
      <c r="BK271" s="50">
        <v>0</v>
      </c>
      <c r="BL271" s="49">
        <v>7</v>
      </c>
      <c r="BM271" s="50">
        <v>100</v>
      </c>
      <c r="BN271" s="49">
        <v>7</v>
      </c>
    </row>
    <row r="272" spans="1:66" ht="15">
      <c r="A272" s="65" t="s">
        <v>478</v>
      </c>
      <c r="B272" s="65" t="s">
        <v>483</v>
      </c>
      <c r="C272" s="66" t="s">
        <v>4392</v>
      </c>
      <c r="D272" s="67">
        <v>1</v>
      </c>
      <c r="E272" s="68" t="s">
        <v>132</v>
      </c>
      <c r="F272" s="69">
        <v>32</v>
      </c>
      <c r="G272" s="66" t="s">
        <v>51</v>
      </c>
      <c r="H272" s="70"/>
      <c r="I272" s="71"/>
      <c r="J272" s="71"/>
      <c r="K272" s="35" t="s">
        <v>65</v>
      </c>
      <c r="L272" s="79">
        <v>272</v>
      </c>
      <c r="M272" s="79"/>
      <c r="N272" s="73"/>
      <c r="O272" s="81" t="s">
        <v>504</v>
      </c>
      <c r="P272" s="83">
        <v>44645.44253472222</v>
      </c>
      <c r="Q272" s="81" t="s">
        <v>572</v>
      </c>
      <c r="R272" s="81"/>
      <c r="S272" s="81"/>
      <c r="T272" s="85" t="s">
        <v>594</v>
      </c>
      <c r="U272" s="81"/>
      <c r="V272" s="84" t="str">
        <f>HYPERLINK("https://pbs.twimg.com/profile_images/1494592467479502853/TgAN7EVR_normal.jpg")</f>
        <v>https://pbs.twimg.com/profile_images/1494592467479502853/TgAN7EVR_normal.jpg</v>
      </c>
      <c r="W272" s="83">
        <v>44645.44253472222</v>
      </c>
      <c r="X272" s="88">
        <v>44645</v>
      </c>
      <c r="Y272" s="85" t="s">
        <v>863</v>
      </c>
      <c r="Z272" s="84" t="str">
        <f>HYPERLINK("https://twitter.com/muoriskaj/status/1507305607497494529")</f>
        <v>https://twitter.com/muoriskaj/status/1507305607497494529</v>
      </c>
      <c r="AA272" s="81"/>
      <c r="AB272" s="81"/>
      <c r="AC272" s="85" t="s">
        <v>1133</v>
      </c>
      <c r="AD272" s="81"/>
      <c r="AE272" s="81" t="b">
        <v>0</v>
      </c>
      <c r="AF272" s="81">
        <v>0</v>
      </c>
      <c r="AG272" s="85" t="s">
        <v>1162</v>
      </c>
      <c r="AH272" s="81" t="b">
        <v>0</v>
      </c>
      <c r="AI272" s="81" t="s">
        <v>1179</v>
      </c>
      <c r="AJ272" s="81"/>
      <c r="AK272" s="85" t="s">
        <v>1162</v>
      </c>
      <c r="AL272" s="81" t="b">
        <v>0</v>
      </c>
      <c r="AM272" s="81">
        <v>24</v>
      </c>
      <c r="AN272" s="85" t="s">
        <v>1139</v>
      </c>
      <c r="AO272" s="85" t="s">
        <v>1188</v>
      </c>
      <c r="AP272" s="81" t="b">
        <v>0</v>
      </c>
      <c r="AQ272" s="85" t="s">
        <v>1139</v>
      </c>
      <c r="AR272" s="81" t="s">
        <v>187</v>
      </c>
      <c r="AS272" s="81">
        <v>0</v>
      </c>
      <c r="AT272" s="81">
        <v>0</v>
      </c>
      <c r="AU272" s="81"/>
      <c r="AV272" s="81"/>
      <c r="AW272" s="81"/>
      <c r="AX272" s="81"/>
      <c r="AY272" s="81"/>
      <c r="AZ272" s="81"/>
      <c r="BA272" s="81"/>
      <c r="BB272" s="81"/>
      <c r="BC272">
        <v>1</v>
      </c>
      <c r="BD272" s="80" t="str">
        <f>REPLACE(INDEX(GroupVertices[Group],MATCH(Edges[[#This Row],[Vertex 1]],GroupVertices[Vertex],0)),1,1,"")</f>
        <v>4</v>
      </c>
      <c r="BE272" s="80" t="str">
        <f>REPLACE(INDEX(GroupVertices[Group],MATCH(Edges[[#This Row],[Vertex 2]],GroupVertices[Vertex],0)),1,1,"")</f>
        <v>4</v>
      </c>
      <c r="BF272" s="49">
        <v>0</v>
      </c>
      <c r="BG272" s="50">
        <v>0</v>
      </c>
      <c r="BH272" s="49">
        <v>0</v>
      </c>
      <c r="BI272" s="50">
        <v>0</v>
      </c>
      <c r="BJ272" s="49">
        <v>0</v>
      </c>
      <c r="BK272" s="50">
        <v>0</v>
      </c>
      <c r="BL272" s="49">
        <v>33</v>
      </c>
      <c r="BM272" s="50">
        <v>100</v>
      </c>
      <c r="BN272" s="49">
        <v>33</v>
      </c>
    </row>
    <row r="273" spans="1:66" ht="15">
      <c r="A273" s="65" t="s">
        <v>479</v>
      </c>
      <c r="B273" s="65" t="s">
        <v>479</v>
      </c>
      <c r="C273" s="66" t="s">
        <v>4392</v>
      </c>
      <c r="D273" s="67">
        <v>1</v>
      </c>
      <c r="E273" s="68" t="s">
        <v>132</v>
      </c>
      <c r="F273" s="69">
        <v>32</v>
      </c>
      <c r="G273" s="66" t="s">
        <v>51</v>
      </c>
      <c r="H273" s="70"/>
      <c r="I273" s="71"/>
      <c r="J273" s="71"/>
      <c r="K273" s="35" t="s">
        <v>65</v>
      </c>
      <c r="L273" s="79">
        <v>273</v>
      </c>
      <c r="M273" s="79"/>
      <c r="N273" s="73"/>
      <c r="O273" s="81" t="s">
        <v>187</v>
      </c>
      <c r="P273" s="83">
        <v>44644.583553240744</v>
      </c>
      <c r="Q273" s="81" t="s">
        <v>539</v>
      </c>
      <c r="R273" s="84" t="str">
        <f>HYPERLINK("https://www.hs.fi/talous/art-2000008704863.html")</f>
        <v>https://www.hs.fi/talous/art-2000008704863.html</v>
      </c>
      <c r="S273" s="81" t="s">
        <v>582</v>
      </c>
      <c r="T273" s="81"/>
      <c r="U273" s="81"/>
      <c r="V273" s="84" t="str">
        <f>HYPERLINK("https://pbs.twimg.com/profile_images/1260447350994227200/L6VCGuqB_normal.jpg")</f>
        <v>https://pbs.twimg.com/profile_images/1260447350994227200/L6VCGuqB_normal.jpg</v>
      </c>
      <c r="W273" s="83">
        <v>44644.583553240744</v>
      </c>
      <c r="X273" s="88">
        <v>44644</v>
      </c>
      <c r="Y273" s="85" t="s">
        <v>864</v>
      </c>
      <c r="Z273" s="84" t="str">
        <f>HYPERLINK("https://twitter.com/almaonali/status/1506994320288759817")</f>
        <v>https://twitter.com/almaonali/status/1506994320288759817</v>
      </c>
      <c r="AA273" s="81"/>
      <c r="AB273" s="81"/>
      <c r="AC273" s="85" t="s">
        <v>1134</v>
      </c>
      <c r="AD273" s="81"/>
      <c r="AE273" s="81" t="b">
        <v>0</v>
      </c>
      <c r="AF273" s="81">
        <v>2592</v>
      </c>
      <c r="AG273" s="85" t="s">
        <v>1162</v>
      </c>
      <c r="AH273" s="81" t="b">
        <v>0</v>
      </c>
      <c r="AI273" s="81" t="s">
        <v>1179</v>
      </c>
      <c r="AJ273" s="81"/>
      <c r="AK273" s="85" t="s">
        <v>1162</v>
      </c>
      <c r="AL273" s="81" t="b">
        <v>0</v>
      </c>
      <c r="AM273" s="81">
        <v>103</v>
      </c>
      <c r="AN273" s="85" t="s">
        <v>1162</v>
      </c>
      <c r="AO273" s="85" t="s">
        <v>1189</v>
      </c>
      <c r="AP273" s="81" t="b">
        <v>0</v>
      </c>
      <c r="AQ273" s="85" t="s">
        <v>1134</v>
      </c>
      <c r="AR273" s="81" t="s">
        <v>187</v>
      </c>
      <c r="AS273" s="81">
        <v>0</v>
      </c>
      <c r="AT273" s="81">
        <v>0</v>
      </c>
      <c r="AU273" s="81"/>
      <c r="AV273" s="81"/>
      <c r="AW273" s="81"/>
      <c r="AX273" s="81"/>
      <c r="AY273" s="81"/>
      <c r="AZ273" s="81"/>
      <c r="BA273" s="81"/>
      <c r="BB273" s="81"/>
      <c r="BC273">
        <v>1</v>
      </c>
      <c r="BD273" s="80" t="str">
        <f>REPLACE(INDEX(GroupVertices[Group],MATCH(Edges[[#This Row],[Vertex 1]],GroupVertices[Vertex],0)),1,1,"")</f>
        <v>1</v>
      </c>
      <c r="BE273" s="80" t="str">
        <f>REPLACE(INDEX(GroupVertices[Group],MATCH(Edges[[#This Row],[Vertex 2]],GroupVertices[Vertex],0)),1,1,"")</f>
        <v>1</v>
      </c>
      <c r="BF273" s="49">
        <v>0</v>
      </c>
      <c r="BG273" s="50">
        <v>0</v>
      </c>
      <c r="BH273" s="49">
        <v>0</v>
      </c>
      <c r="BI273" s="50">
        <v>0</v>
      </c>
      <c r="BJ273" s="49">
        <v>0</v>
      </c>
      <c r="BK273" s="50">
        <v>0</v>
      </c>
      <c r="BL273" s="49">
        <v>33</v>
      </c>
      <c r="BM273" s="50">
        <v>100</v>
      </c>
      <c r="BN273" s="49">
        <v>33</v>
      </c>
    </row>
    <row r="274" spans="1:66" ht="15">
      <c r="A274" s="65" t="s">
        <v>480</v>
      </c>
      <c r="B274" s="65" t="s">
        <v>479</v>
      </c>
      <c r="C274" s="66" t="s">
        <v>4392</v>
      </c>
      <c r="D274" s="67">
        <v>1</v>
      </c>
      <c r="E274" s="68" t="s">
        <v>132</v>
      </c>
      <c r="F274" s="69">
        <v>32</v>
      </c>
      <c r="G274" s="66" t="s">
        <v>51</v>
      </c>
      <c r="H274" s="70"/>
      <c r="I274" s="71"/>
      <c r="J274" s="71"/>
      <c r="K274" s="35" t="s">
        <v>65</v>
      </c>
      <c r="L274" s="79">
        <v>274</v>
      </c>
      <c r="M274" s="79"/>
      <c r="N274" s="73"/>
      <c r="O274" s="81" t="s">
        <v>504</v>
      </c>
      <c r="P274" s="83">
        <v>44645.442777777775</v>
      </c>
      <c r="Q274" s="81" t="s">
        <v>539</v>
      </c>
      <c r="R274" s="84" t="str">
        <f>HYPERLINK("https://www.hs.fi/talous/art-2000008704863.html")</f>
        <v>https://www.hs.fi/talous/art-2000008704863.html</v>
      </c>
      <c r="S274" s="81" t="s">
        <v>582</v>
      </c>
      <c r="T274" s="81"/>
      <c r="U274" s="81"/>
      <c r="V274" s="84" t="str">
        <f>HYPERLINK("https://pbs.twimg.com/profile_images/1494690575425101828/bMgp4vjV_normal.jpg")</f>
        <v>https://pbs.twimg.com/profile_images/1494690575425101828/bMgp4vjV_normal.jpg</v>
      </c>
      <c r="W274" s="83">
        <v>44645.442777777775</v>
      </c>
      <c r="X274" s="88">
        <v>44645</v>
      </c>
      <c r="Y274" s="85" t="s">
        <v>865</v>
      </c>
      <c r="Z274" s="84" t="str">
        <f>HYPERLINK("https://twitter.com/datironass/status/1507305695158358018")</f>
        <v>https://twitter.com/datironass/status/1507305695158358018</v>
      </c>
      <c r="AA274" s="81"/>
      <c r="AB274" s="81"/>
      <c r="AC274" s="85" t="s">
        <v>1135</v>
      </c>
      <c r="AD274" s="81"/>
      <c r="AE274" s="81" t="b">
        <v>0</v>
      </c>
      <c r="AF274" s="81">
        <v>0</v>
      </c>
      <c r="AG274" s="85" t="s">
        <v>1162</v>
      </c>
      <c r="AH274" s="81" t="b">
        <v>0</v>
      </c>
      <c r="AI274" s="81" t="s">
        <v>1179</v>
      </c>
      <c r="AJ274" s="81"/>
      <c r="AK274" s="85" t="s">
        <v>1162</v>
      </c>
      <c r="AL274" s="81" t="b">
        <v>0</v>
      </c>
      <c r="AM274" s="81">
        <v>103</v>
      </c>
      <c r="AN274" s="85" t="s">
        <v>1134</v>
      </c>
      <c r="AO274" s="85" t="s">
        <v>1188</v>
      </c>
      <c r="AP274" s="81" t="b">
        <v>0</v>
      </c>
      <c r="AQ274" s="85" t="s">
        <v>1134</v>
      </c>
      <c r="AR274" s="81" t="s">
        <v>187</v>
      </c>
      <c r="AS274" s="81">
        <v>0</v>
      </c>
      <c r="AT274" s="81">
        <v>0</v>
      </c>
      <c r="AU274" s="81"/>
      <c r="AV274" s="81"/>
      <c r="AW274" s="81"/>
      <c r="AX274" s="81"/>
      <c r="AY274" s="81"/>
      <c r="AZ274" s="81"/>
      <c r="BA274" s="81"/>
      <c r="BB274" s="81"/>
      <c r="BC274">
        <v>1</v>
      </c>
      <c r="BD274" s="80" t="str">
        <f>REPLACE(INDEX(GroupVertices[Group],MATCH(Edges[[#This Row],[Vertex 1]],GroupVertices[Vertex],0)),1,1,"")</f>
        <v>1</v>
      </c>
      <c r="BE274" s="80" t="str">
        <f>REPLACE(INDEX(GroupVertices[Group],MATCH(Edges[[#This Row],[Vertex 2]],GroupVertices[Vertex],0)),1,1,"")</f>
        <v>1</v>
      </c>
      <c r="BF274" s="49">
        <v>0</v>
      </c>
      <c r="BG274" s="50">
        <v>0</v>
      </c>
      <c r="BH274" s="49">
        <v>0</v>
      </c>
      <c r="BI274" s="50">
        <v>0</v>
      </c>
      <c r="BJ274" s="49">
        <v>0</v>
      </c>
      <c r="BK274" s="50">
        <v>0</v>
      </c>
      <c r="BL274" s="49">
        <v>33</v>
      </c>
      <c r="BM274" s="50">
        <v>100</v>
      </c>
      <c r="BN274" s="49">
        <v>33</v>
      </c>
    </row>
    <row r="275" spans="1:66" ht="15">
      <c r="A275" s="65" t="s">
        <v>481</v>
      </c>
      <c r="B275" s="65" t="s">
        <v>483</v>
      </c>
      <c r="C275" s="66" t="s">
        <v>4392</v>
      </c>
      <c r="D275" s="67">
        <v>1</v>
      </c>
      <c r="E275" s="68" t="s">
        <v>132</v>
      </c>
      <c r="F275" s="69">
        <v>32</v>
      </c>
      <c r="G275" s="66" t="s">
        <v>51</v>
      </c>
      <c r="H275" s="70"/>
      <c r="I275" s="71"/>
      <c r="J275" s="71"/>
      <c r="K275" s="35" t="s">
        <v>65</v>
      </c>
      <c r="L275" s="79">
        <v>275</v>
      </c>
      <c r="M275" s="79"/>
      <c r="N275" s="73"/>
      <c r="O275" s="81" t="s">
        <v>504</v>
      </c>
      <c r="P275" s="83">
        <v>44645.443402777775</v>
      </c>
      <c r="Q275" s="81" t="s">
        <v>572</v>
      </c>
      <c r="R275" s="81"/>
      <c r="S275" s="81"/>
      <c r="T275" s="85" t="s">
        <v>594</v>
      </c>
      <c r="U275" s="81"/>
      <c r="V275" s="84" t="str">
        <f>HYPERLINK("https://pbs.twimg.com/profile_images/1244349645347848199/mYXRYWY3_normal.jpg")</f>
        <v>https://pbs.twimg.com/profile_images/1244349645347848199/mYXRYWY3_normal.jpg</v>
      </c>
      <c r="W275" s="83">
        <v>44645.443402777775</v>
      </c>
      <c r="X275" s="88">
        <v>44645</v>
      </c>
      <c r="Y275" s="85" t="s">
        <v>866</v>
      </c>
      <c r="Z275" s="84" t="str">
        <f>HYPERLINK("https://twitter.com/liljestrommarko/status/1507305921613029385")</f>
        <v>https://twitter.com/liljestrommarko/status/1507305921613029385</v>
      </c>
      <c r="AA275" s="81"/>
      <c r="AB275" s="81"/>
      <c r="AC275" s="85" t="s">
        <v>1136</v>
      </c>
      <c r="AD275" s="81"/>
      <c r="AE275" s="81" t="b">
        <v>0</v>
      </c>
      <c r="AF275" s="81">
        <v>0</v>
      </c>
      <c r="AG275" s="85" t="s">
        <v>1162</v>
      </c>
      <c r="AH275" s="81" t="b">
        <v>0</v>
      </c>
      <c r="AI275" s="81" t="s">
        <v>1179</v>
      </c>
      <c r="AJ275" s="81"/>
      <c r="AK275" s="85" t="s">
        <v>1162</v>
      </c>
      <c r="AL275" s="81" t="b">
        <v>0</v>
      </c>
      <c r="AM275" s="81">
        <v>24</v>
      </c>
      <c r="AN275" s="85" t="s">
        <v>1139</v>
      </c>
      <c r="AO275" s="85" t="s">
        <v>1196</v>
      </c>
      <c r="AP275" s="81" t="b">
        <v>0</v>
      </c>
      <c r="AQ275" s="85" t="s">
        <v>1139</v>
      </c>
      <c r="AR275" s="81" t="s">
        <v>187</v>
      </c>
      <c r="AS275" s="81">
        <v>0</v>
      </c>
      <c r="AT275" s="81">
        <v>0</v>
      </c>
      <c r="AU275" s="81"/>
      <c r="AV275" s="81"/>
      <c r="AW275" s="81"/>
      <c r="AX275" s="81"/>
      <c r="AY275" s="81"/>
      <c r="AZ275" s="81"/>
      <c r="BA275" s="81"/>
      <c r="BB275" s="81"/>
      <c r="BC275">
        <v>1</v>
      </c>
      <c r="BD275" s="80" t="str">
        <f>REPLACE(INDEX(GroupVertices[Group],MATCH(Edges[[#This Row],[Vertex 1]],GroupVertices[Vertex],0)),1,1,"")</f>
        <v>4</v>
      </c>
      <c r="BE275" s="80" t="str">
        <f>REPLACE(INDEX(GroupVertices[Group],MATCH(Edges[[#This Row],[Vertex 2]],GroupVertices[Vertex],0)),1,1,"")</f>
        <v>4</v>
      </c>
      <c r="BF275" s="49">
        <v>0</v>
      </c>
      <c r="BG275" s="50">
        <v>0</v>
      </c>
      <c r="BH275" s="49">
        <v>0</v>
      </c>
      <c r="BI275" s="50">
        <v>0</v>
      </c>
      <c r="BJ275" s="49">
        <v>0</v>
      </c>
      <c r="BK275" s="50">
        <v>0</v>
      </c>
      <c r="BL275" s="49">
        <v>33</v>
      </c>
      <c r="BM275" s="50">
        <v>100</v>
      </c>
      <c r="BN275" s="49">
        <v>33</v>
      </c>
    </row>
    <row r="276" spans="1:66" ht="15">
      <c r="A276" s="65" t="s">
        <v>482</v>
      </c>
      <c r="B276" s="65" t="s">
        <v>483</v>
      </c>
      <c r="C276" s="66" t="s">
        <v>4392</v>
      </c>
      <c r="D276" s="67">
        <v>1</v>
      </c>
      <c r="E276" s="68" t="s">
        <v>132</v>
      </c>
      <c r="F276" s="69">
        <v>32</v>
      </c>
      <c r="G276" s="66" t="s">
        <v>51</v>
      </c>
      <c r="H276" s="70"/>
      <c r="I276" s="71"/>
      <c r="J276" s="71"/>
      <c r="K276" s="35" t="s">
        <v>65</v>
      </c>
      <c r="L276" s="79">
        <v>276</v>
      </c>
      <c r="M276" s="79"/>
      <c r="N276" s="73"/>
      <c r="O276" s="81" t="s">
        <v>504</v>
      </c>
      <c r="P276" s="83">
        <v>44645.44364583334</v>
      </c>
      <c r="Q276" s="81" t="s">
        <v>572</v>
      </c>
      <c r="R276" s="81"/>
      <c r="S276" s="81"/>
      <c r="T276" s="85" t="s">
        <v>594</v>
      </c>
      <c r="U276" s="81"/>
      <c r="V276" s="84" t="str">
        <f>HYPERLINK("https://pbs.twimg.com/profile_images/1443543209955766276/Wjq6pUeL_normal.jpg")</f>
        <v>https://pbs.twimg.com/profile_images/1443543209955766276/Wjq6pUeL_normal.jpg</v>
      </c>
      <c r="W276" s="83">
        <v>44645.44364583334</v>
      </c>
      <c r="X276" s="88">
        <v>44645</v>
      </c>
      <c r="Y276" s="85" t="s">
        <v>867</v>
      </c>
      <c r="Z276" s="84" t="str">
        <f>HYPERLINK("https://twitter.com/joelrouvinen/status/1507306009303343128")</f>
        <v>https://twitter.com/joelrouvinen/status/1507306009303343128</v>
      </c>
      <c r="AA276" s="81"/>
      <c r="AB276" s="81"/>
      <c r="AC276" s="85" t="s">
        <v>1137</v>
      </c>
      <c r="AD276" s="81"/>
      <c r="AE276" s="81" t="b">
        <v>0</v>
      </c>
      <c r="AF276" s="81">
        <v>0</v>
      </c>
      <c r="AG276" s="85" t="s">
        <v>1162</v>
      </c>
      <c r="AH276" s="81" t="b">
        <v>0</v>
      </c>
      <c r="AI276" s="81" t="s">
        <v>1179</v>
      </c>
      <c r="AJ276" s="81"/>
      <c r="AK276" s="85" t="s">
        <v>1162</v>
      </c>
      <c r="AL276" s="81" t="b">
        <v>0</v>
      </c>
      <c r="AM276" s="81">
        <v>24</v>
      </c>
      <c r="AN276" s="85" t="s">
        <v>1139</v>
      </c>
      <c r="AO276" s="85" t="s">
        <v>1189</v>
      </c>
      <c r="AP276" s="81" t="b">
        <v>0</v>
      </c>
      <c r="AQ276" s="85" t="s">
        <v>1139</v>
      </c>
      <c r="AR276" s="81" t="s">
        <v>187</v>
      </c>
      <c r="AS276" s="81">
        <v>0</v>
      </c>
      <c r="AT276" s="81">
        <v>0</v>
      </c>
      <c r="AU276" s="81"/>
      <c r="AV276" s="81"/>
      <c r="AW276" s="81"/>
      <c r="AX276" s="81"/>
      <c r="AY276" s="81"/>
      <c r="AZ276" s="81"/>
      <c r="BA276" s="81"/>
      <c r="BB276" s="81"/>
      <c r="BC276">
        <v>1</v>
      </c>
      <c r="BD276" s="80" t="str">
        <f>REPLACE(INDEX(GroupVertices[Group],MATCH(Edges[[#This Row],[Vertex 1]],GroupVertices[Vertex],0)),1,1,"")</f>
        <v>4</v>
      </c>
      <c r="BE276" s="80" t="str">
        <f>REPLACE(INDEX(GroupVertices[Group],MATCH(Edges[[#This Row],[Vertex 2]],GroupVertices[Vertex],0)),1,1,"")</f>
        <v>4</v>
      </c>
      <c r="BF276" s="49">
        <v>0</v>
      </c>
      <c r="BG276" s="50">
        <v>0</v>
      </c>
      <c r="BH276" s="49">
        <v>0</v>
      </c>
      <c r="BI276" s="50">
        <v>0</v>
      </c>
      <c r="BJ276" s="49">
        <v>0</v>
      </c>
      <c r="BK276" s="50">
        <v>0</v>
      </c>
      <c r="BL276" s="49">
        <v>33</v>
      </c>
      <c r="BM276" s="50">
        <v>100</v>
      </c>
      <c r="BN276" s="49">
        <v>33</v>
      </c>
    </row>
    <row r="277" spans="1:66" ht="15">
      <c r="A277" s="65" t="s">
        <v>483</v>
      </c>
      <c r="B277" s="65" t="s">
        <v>483</v>
      </c>
      <c r="C277" s="66" t="s">
        <v>4393</v>
      </c>
      <c r="D277" s="67">
        <v>1</v>
      </c>
      <c r="E277" s="68" t="s">
        <v>132</v>
      </c>
      <c r="F277" s="69">
        <v>32</v>
      </c>
      <c r="G277" s="66" t="s">
        <v>51</v>
      </c>
      <c r="H277" s="70"/>
      <c r="I277" s="71"/>
      <c r="J277" s="71"/>
      <c r="K277" s="35" t="s">
        <v>65</v>
      </c>
      <c r="L277" s="79">
        <v>277</v>
      </c>
      <c r="M277" s="79"/>
      <c r="N277" s="73"/>
      <c r="O277" s="81" t="s">
        <v>187</v>
      </c>
      <c r="P277" s="83">
        <v>44645.32494212963</v>
      </c>
      <c r="Q277" s="81" t="s">
        <v>577</v>
      </c>
      <c r="R277" s="81"/>
      <c r="S277" s="81"/>
      <c r="T277" s="85" t="s">
        <v>594</v>
      </c>
      <c r="U277" s="84" t="str">
        <f>HYPERLINK("https://pbs.twimg.com/media/FOrfswMXwAQsiVr.jpg")</f>
        <v>https://pbs.twimg.com/media/FOrfswMXwAQsiVr.jpg</v>
      </c>
      <c r="V277" s="84" t="str">
        <f>HYPERLINK("https://pbs.twimg.com/media/FOrfswMXwAQsiVr.jpg")</f>
        <v>https://pbs.twimg.com/media/FOrfswMXwAQsiVr.jpg</v>
      </c>
      <c r="W277" s="83">
        <v>44645.32494212963</v>
      </c>
      <c r="X277" s="88">
        <v>44645</v>
      </c>
      <c r="Y277" s="85" t="s">
        <v>868</v>
      </c>
      <c r="Z277" s="84" t="str">
        <f>HYPERLINK("https://twitter.com/minnalampinen/status/1507262991108124672")</f>
        <v>https://twitter.com/minnalampinen/status/1507262991108124672</v>
      </c>
      <c r="AA277" s="81"/>
      <c r="AB277" s="81"/>
      <c r="AC277" s="85" t="s">
        <v>1138</v>
      </c>
      <c r="AD277" s="81"/>
      <c r="AE277" s="81" t="b">
        <v>0</v>
      </c>
      <c r="AF277" s="81">
        <v>35</v>
      </c>
      <c r="AG277" s="85" t="s">
        <v>1162</v>
      </c>
      <c r="AH277" s="81" t="b">
        <v>0</v>
      </c>
      <c r="AI277" s="81" t="s">
        <v>1179</v>
      </c>
      <c r="AJ277" s="81"/>
      <c r="AK277" s="85" t="s">
        <v>1162</v>
      </c>
      <c r="AL277" s="81" t="b">
        <v>0</v>
      </c>
      <c r="AM277" s="81">
        <v>0</v>
      </c>
      <c r="AN277" s="85" t="s">
        <v>1162</v>
      </c>
      <c r="AO277" s="85" t="s">
        <v>1190</v>
      </c>
      <c r="AP277" s="81" t="b">
        <v>0</v>
      </c>
      <c r="AQ277" s="85" t="s">
        <v>1138</v>
      </c>
      <c r="AR277" s="81" t="s">
        <v>187</v>
      </c>
      <c r="AS277" s="81">
        <v>0</v>
      </c>
      <c r="AT277" s="81">
        <v>0</v>
      </c>
      <c r="AU277" s="81"/>
      <c r="AV277" s="81"/>
      <c r="AW277" s="81"/>
      <c r="AX277" s="81"/>
      <c r="AY277" s="81"/>
      <c r="AZ277" s="81"/>
      <c r="BA277" s="81"/>
      <c r="BB277" s="81"/>
      <c r="BC277">
        <v>3</v>
      </c>
      <c r="BD277" s="80" t="str">
        <f>REPLACE(INDEX(GroupVertices[Group],MATCH(Edges[[#This Row],[Vertex 1]],GroupVertices[Vertex],0)),1,1,"")</f>
        <v>4</v>
      </c>
      <c r="BE277" s="80" t="str">
        <f>REPLACE(INDEX(GroupVertices[Group],MATCH(Edges[[#This Row],[Vertex 2]],GroupVertices[Vertex],0)),1,1,"")</f>
        <v>4</v>
      </c>
      <c r="BF277" s="49">
        <v>0</v>
      </c>
      <c r="BG277" s="50">
        <v>0</v>
      </c>
      <c r="BH277" s="49">
        <v>0</v>
      </c>
      <c r="BI277" s="50">
        <v>0</v>
      </c>
      <c r="BJ277" s="49">
        <v>0</v>
      </c>
      <c r="BK277" s="50">
        <v>0</v>
      </c>
      <c r="BL277" s="49">
        <v>6</v>
      </c>
      <c r="BM277" s="50">
        <v>100</v>
      </c>
      <c r="BN277" s="49">
        <v>6</v>
      </c>
    </row>
    <row r="278" spans="1:66" ht="15">
      <c r="A278" s="65" t="s">
        <v>483</v>
      </c>
      <c r="B278" s="65" t="s">
        <v>483</v>
      </c>
      <c r="C278" s="66" t="s">
        <v>4393</v>
      </c>
      <c r="D278" s="67">
        <v>1</v>
      </c>
      <c r="E278" s="68" t="s">
        <v>132</v>
      </c>
      <c r="F278" s="69">
        <v>32</v>
      </c>
      <c r="G278" s="66" t="s">
        <v>51</v>
      </c>
      <c r="H278" s="70"/>
      <c r="I278" s="71"/>
      <c r="J278" s="71"/>
      <c r="K278" s="35" t="s">
        <v>65</v>
      </c>
      <c r="L278" s="79">
        <v>278</v>
      </c>
      <c r="M278" s="79"/>
      <c r="N278" s="73"/>
      <c r="O278" s="81" t="s">
        <v>187</v>
      </c>
      <c r="P278" s="83">
        <v>44645.41590277778</v>
      </c>
      <c r="Q278" s="81" t="s">
        <v>572</v>
      </c>
      <c r="R278" s="81"/>
      <c r="S278" s="81"/>
      <c r="T278" s="85" t="s">
        <v>594</v>
      </c>
      <c r="U278" s="81"/>
      <c r="V278" s="84" t="str">
        <f>HYPERLINK("https://pbs.twimg.com/profile_images/1230036647196217344/X7d8MC-j_normal.jpg")</f>
        <v>https://pbs.twimg.com/profile_images/1230036647196217344/X7d8MC-j_normal.jpg</v>
      </c>
      <c r="W278" s="83">
        <v>44645.41590277778</v>
      </c>
      <c r="X278" s="88">
        <v>44645</v>
      </c>
      <c r="Y278" s="85" t="s">
        <v>869</v>
      </c>
      <c r="Z278" s="84" t="str">
        <f>HYPERLINK("https://twitter.com/minnalampinen/status/1507295956009639939")</f>
        <v>https://twitter.com/minnalampinen/status/1507295956009639939</v>
      </c>
      <c r="AA278" s="81"/>
      <c r="AB278" s="81"/>
      <c r="AC278" s="85" t="s">
        <v>1139</v>
      </c>
      <c r="AD278" s="81"/>
      <c r="AE278" s="81" t="b">
        <v>0</v>
      </c>
      <c r="AF278" s="81">
        <v>363</v>
      </c>
      <c r="AG278" s="85" t="s">
        <v>1162</v>
      </c>
      <c r="AH278" s="81" t="b">
        <v>0</v>
      </c>
      <c r="AI278" s="81" t="s">
        <v>1179</v>
      </c>
      <c r="AJ278" s="81"/>
      <c r="AK278" s="85" t="s">
        <v>1162</v>
      </c>
      <c r="AL278" s="81" t="b">
        <v>0</v>
      </c>
      <c r="AM278" s="81">
        <v>24</v>
      </c>
      <c r="AN278" s="85" t="s">
        <v>1162</v>
      </c>
      <c r="AO278" s="85" t="s">
        <v>1190</v>
      </c>
      <c r="AP278" s="81" t="b">
        <v>0</v>
      </c>
      <c r="AQ278" s="85" t="s">
        <v>1139</v>
      </c>
      <c r="AR278" s="81" t="s">
        <v>187</v>
      </c>
      <c r="AS278" s="81">
        <v>0</v>
      </c>
      <c r="AT278" s="81">
        <v>0</v>
      </c>
      <c r="AU278" s="81"/>
      <c r="AV278" s="81"/>
      <c r="AW278" s="81"/>
      <c r="AX278" s="81"/>
      <c r="AY278" s="81"/>
      <c r="AZ278" s="81"/>
      <c r="BA278" s="81"/>
      <c r="BB278" s="81"/>
      <c r="BC278">
        <v>3</v>
      </c>
      <c r="BD278" s="80" t="str">
        <f>REPLACE(INDEX(GroupVertices[Group],MATCH(Edges[[#This Row],[Vertex 1]],GroupVertices[Vertex],0)),1,1,"")</f>
        <v>4</v>
      </c>
      <c r="BE278" s="80" t="str">
        <f>REPLACE(INDEX(GroupVertices[Group],MATCH(Edges[[#This Row],[Vertex 2]],GroupVertices[Vertex],0)),1,1,"")</f>
        <v>4</v>
      </c>
      <c r="BF278" s="49">
        <v>0</v>
      </c>
      <c r="BG278" s="50">
        <v>0</v>
      </c>
      <c r="BH278" s="49">
        <v>0</v>
      </c>
      <c r="BI278" s="50">
        <v>0</v>
      </c>
      <c r="BJ278" s="49">
        <v>0</v>
      </c>
      <c r="BK278" s="50">
        <v>0</v>
      </c>
      <c r="BL278" s="49">
        <v>33</v>
      </c>
      <c r="BM278" s="50">
        <v>100</v>
      </c>
      <c r="BN278" s="49">
        <v>33</v>
      </c>
    </row>
    <row r="279" spans="1:66" ht="15">
      <c r="A279" s="65" t="s">
        <v>483</v>
      </c>
      <c r="B279" s="65" t="s">
        <v>483</v>
      </c>
      <c r="C279" s="66" t="s">
        <v>4393</v>
      </c>
      <c r="D279" s="67">
        <v>1</v>
      </c>
      <c r="E279" s="68" t="s">
        <v>132</v>
      </c>
      <c r="F279" s="69">
        <v>32</v>
      </c>
      <c r="G279" s="66" t="s">
        <v>51</v>
      </c>
      <c r="H279" s="70"/>
      <c r="I279" s="71"/>
      <c r="J279" s="71"/>
      <c r="K279" s="35" t="s">
        <v>65</v>
      </c>
      <c r="L279" s="79">
        <v>279</v>
      </c>
      <c r="M279" s="79"/>
      <c r="N279" s="73"/>
      <c r="O279" s="81" t="s">
        <v>187</v>
      </c>
      <c r="P279" s="83">
        <v>44645.42065972222</v>
      </c>
      <c r="Q279" s="84" t="str">
        <f>HYPERLINK("https://t.co/zIEj95jMCo")</f>
        <v>https://t.co/zIEj95jMCo</v>
      </c>
      <c r="R279" s="84" t="str">
        <f>HYPERLINK("https://www.pentik.com/collections/anis")</f>
        <v>https://www.pentik.com/collections/anis</v>
      </c>
      <c r="S279" s="81" t="s">
        <v>584</v>
      </c>
      <c r="T279" s="81"/>
      <c r="U279" s="81"/>
      <c r="V279" s="84" t="str">
        <f>HYPERLINK("https://pbs.twimg.com/profile_images/1230036647196217344/X7d8MC-j_normal.jpg")</f>
        <v>https://pbs.twimg.com/profile_images/1230036647196217344/X7d8MC-j_normal.jpg</v>
      </c>
      <c r="W279" s="83">
        <v>44645.42065972222</v>
      </c>
      <c r="X279" s="88">
        <v>44645</v>
      </c>
      <c r="Y279" s="85" t="s">
        <v>870</v>
      </c>
      <c r="Z279" s="84" t="str">
        <f>HYPERLINK("https://twitter.com/minnalampinen/status/1507297677159157760")</f>
        <v>https://twitter.com/minnalampinen/status/1507297677159157760</v>
      </c>
      <c r="AA279" s="81"/>
      <c r="AB279" s="81"/>
      <c r="AC279" s="85" t="s">
        <v>1140</v>
      </c>
      <c r="AD279" s="85" t="s">
        <v>1139</v>
      </c>
      <c r="AE279" s="81" t="b">
        <v>0</v>
      </c>
      <c r="AF279" s="81">
        <v>7</v>
      </c>
      <c r="AG279" s="85" t="s">
        <v>1173</v>
      </c>
      <c r="AH279" s="81" t="b">
        <v>0</v>
      </c>
      <c r="AI279" s="81" t="s">
        <v>1184</v>
      </c>
      <c r="AJ279" s="81"/>
      <c r="AK279" s="85" t="s">
        <v>1162</v>
      </c>
      <c r="AL279" s="81" t="b">
        <v>0</v>
      </c>
      <c r="AM279" s="81">
        <v>0</v>
      </c>
      <c r="AN279" s="85" t="s">
        <v>1162</v>
      </c>
      <c r="AO279" s="85" t="s">
        <v>1190</v>
      </c>
      <c r="AP279" s="81" t="b">
        <v>0</v>
      </c>
      <c r="AQ279" s="85" t="s">
        <v>1139</v>
      </c>
      <c r="AR279" s="81" t="s">
        <v>187</v>
      </c>
      <c r="AS279" s="81">
        <v>0</v>
      </c>
      <c r="AT279" s="81">
        <v>0</v>
      </c>
      <c r="AU279" s="81"/>
      <c r="AV279" s="81"/>
      <c r="AW279" s="81"/>
      <c r="AX279" s="81"/>
      <c r="AY279" s="81"/>
      <c r="AZ279" s="81"/>
      <c r="BA279" s="81"/>
      <c r="BB279" s="81"/>
      <c r="BC279">
        <v>3</v>
      </c>
      <c r="BD279" s="80" t="str">
        <f>REPLACE(INDEX(GroupVertices[Group],MATCH(Edges[[#This Row],[Vertex 1]],GroupVertices[Vertex],0)),1,1,"")</f>
        <v>4</v>
      </c>
      <c r="BE279" s="80" t="str">
        <f>REPLACE(INDEX(GroupVertices[Group],MATCH(Edges[[#This Row],[Vertex 2]],GroupVertices[Vertex],0)),1,1,"")</f>
        <v>4</v>
      </c>
      <c r="BF279" s="49">
        <v>0</v>
      </c>
      <c r="BG279" s="50">
        <v>0</v>
      </c>
      <c r="BH279" s="49">
        <v>0</v>
      </c>
      <c r="BI279" s="50">
        <v>0</v>
      </c>
      <c r="BJ279" s="49">
        <v>0</v>
      </c>
      <c r="BK279" s="50">
        <v>0</v>
      </c>
      <c r="BL279" s="49">
        <v>0</v>
      </c>
      <c r="BM279" s="50">
        <v>0</v>
      </c>
      <c r="BN279" s="49">
        <v>0</v>
      </c>
    </row>
    <row r="280" spans="1:66" ht="15">
      <c r="A280" s="65" t="s">
        <v>484</v>
      </c>
      <c r="B280" s="65" t="s">
        <v>483</v>
      </c>
      <c r="C280" s="66" t="s">
        <v>4392</v>
      </c>
      <c r="D280" s="67">
        <v>1</v>
      </c>
      <c r="E280" s="68" t="s">
        <v>132</v>
      </c>
      <c r="F280" s="69">
        <v>32</v>
      </c>
      <c r="G280" s="66" t="s">
        <v>51</v>
      </c>
      <c r="H280" s="70"/>
      <c r="I280" s="71"/>
      <c r="J280" s="71"/>
      <c r="K280" s="35" t="s">
        <v>65</v>
      </c>
      <c r="L280" s="79">
        <v>280</v>
      </c>
      <c r="M280" s="79"/>
      <c r="N280" s="73"/>
      <c r="O280" s="81" t="s">
        <v>504</v>
      </c>
      <c r="P280" s="83">
        <v>44645.44400462963</v>
      </c>
      <c r="Q280" s="81" t="s">
        <v>572</v>
      </c>
      <c r="R280" s="81"/>
      <c r="S280" s="81"/>
      <c r="T280" s="85" t="s">
        <v>594</v>
      </c>
      <c r="U280" s="81"/>
      <c r="V280" s="84" t="str">
        <f>HYPERLINK("https://pbs.twimg.com/profile_images/378800000039893893/944c4257ef135a5bf3451cf59ea4a1b2_normal.jpeg")</f>
        <v>https://pbs.twimg.com/profile_images/378800000039893893/944c4257ef135a5bf3451cf59ea4a1b2_normal.jpeg</v>
      </c>
      <c r="W280" s="83">
        <v>44645.44400462963</v>
      </c>
      <c r="X280" s="88">
        <v>44645</v>
      </c>
      <c r="Y280" s="85" t="s">
        <v>871</v>
      </c>
      <c r="Z280" s="84" t="str">
        <f>HYPERLINK("https://twitter.com/sarjakuvakauppa/status/1507306139444207630")</f>
        <v>https://twitter.com/sarjakuvakauppa/status/1507306139444207630</v>
      </c>
      <c r="AA280" s="81"/>
      <c r="AB280" s="81"/>
      <c r="AC280" s="85" t="s">
        <v>1141</v>
      </c>
      <c r="AD280" s="81"/>
      <c r="AE280" s="81" t="b">
        <v>0</v>
      </c>
      <c r="AF280" s="81">
        <v>0</v>
      </c>
      <c r="AG280" s="85" t="s">
        <v>1162</v>
      </c>
      <c r="AH280" s="81" t="b">
        <v>0</v>
      </c>
      <c r="AI280" s="81" t="s">
        <v>1179</v>
      </c>
      <c r="AJ280" s="81"/>
      <c r="AK280" s="85" t="s">
        <v>1162</v>
      </c>
      <c r="AL280" s="81" t="b">
        <v>0</v>
      </c>
      <c r="AM280" s="81">
        <v>24</v>
      </c>
      <c r="AN280" s="85" t="s">
        <v>1139</v>
      </c>
      <c r="AO280" s="85" t="s">
        <v>1188</v>
      </c>
      <c r="AP280" s="81" t="b">
        <v>0</v>
      </c>
      <c r="AQ280" s="85" t="s">
        <v>1139</v>
      </c>
      <c r="AR280" s="81" t="s">
        <v>187</v>
      </c>
      <c r="AS280" s="81">
        <v>0</v>
      </c>
      <c r="AT280" s="81">
        <v>0</v>
      </c>
      <c r="AU280" s="81"/>
      <c r="AV280" s="81"/>
      <c r="AW280" s="81"/>
      <c r="AX280" s="81"/>
      <c r="AY280" s="81"/>
      <c r="AZ280" s="81"/>
      <c r="BA280" s="81"/>
      <c r="BB280" s="81"/>
      <c r="BC280">
        <v>1</v>
      </c>
      <c r="BD280" s="80" t="str">
        <f>REPLACE(INDEX(GroupVertices[Group],MATCH(Edges[[#This Row],[Vertex 1]],GroupVertices[Vertex],0)),1,1,"")</f>
        <v>4</v>
      </c>
      <c r="BE280" s="80" t="str">
        <f>REPLACE(INDEX(GroupVertices[Group],MATCH(Edges[[#This Row],[Vertex 2]],GroupVertices[Vertex],0)),1,1,"")</f>
        <v>4</v>
      </c>
      <c r="BF280" s="49">
        <v>0</v>
      </c>
      <c r="BG280" s="50">
        <v>0</v>
      </c>
      <c r="BH280" s="49">
        <v>0</v>
      </c>
      <c r="BI280" s="50">
        <v>0</v>
      </c>
      <c r="BJ280" s="49">
        <v>0</v>
      </c>
      <c r="BK280" s="50">
        <v>0</v>
      </c>
      <c r="BL280" s="49">
        <v>33</v>
      </c>
      <c r="BM280" s="50">
        <v>100</v>
      </c>
      <c r="BN280"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0"/>
    <dataValidation allowBlank="1" showErrorMessage="1" sqref="N2:N2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0"/>
    <dataValidation allowBlank="1" showInputMessage="1" promptTitle="Edge Color" prompt="To select an optional edge color, right-click and select Select Color on the right-click menu." sqref="C3:C280"/>
    <dataValidation allowBlank="1" showInputMessage="1" promptTitle="Edge Width" prompt="Enter an optional edge width between 1 and 10." errorTitle="Invalid Edge Width" error="The optional edge width must be a whole number between 1 and 10." sqref="D3:D280"/>
    <dataValidation allowBlank="1" showInputMessage="1" promptTitle="Edge Opacity" prompt="Enter an optional edge opacity between 0 (transparent) and 100 (opaque)." errorTitle="Invalid Edge Opacity" error="The optional edge opacity must be a whole number between 0 and 10." sqref="F3:F2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0">
      <formula1>ValidEdgeVisibilities</formula1>
    </dataValidation>
    <dataValidation allowBlank="1" showInputMessage="1" showErrorMessage="1" promptTitle="Vertex 1 Name" prompt="Enter the name of the edge's first vertex." sqref="A3:A280"/>
    <dataValidation allowBlank="1" showInputMessage="1" showErrorMessage="1" promptTitle="Vertex 2 Name" prompt="Enter the name of the edge's second vertex." sqref="B3:B280"/>
    <dataValidation allowBlank="1" showInputMessage="1" showErrorMessage="1" promptTitle="Edge Label" prompt="Enter an optional edge label." errorTitle="Invalid Edge Visibility" error="You have entered an unrecognized edge visibility.  Try selecting from the drop-down list instead." sqref="H3:H2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FDB48-5C51-4995-B845-0A71720CC790}">
  <dimension ref="A1:C485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2689</v>
      </c>
      <c r="B1" s="13" t="s">
        <v>2465</v>
      </c>
      <c r="C1" s="13" t="s">
        <v>199</v>
      </c>
    </row>
    <row r="2" spans="1:3" ht="15">
      <c r="A2" s="80" t="s">
        <v>484</v>
      </c>
      <c r="B2" s="80" t="s">
        <v>2690</v>
      </c>
      <c r="C2" s="89" t="s">
        <v>1141</v>
      </c>
    </row>
    <row r="3" spans="1:3" ht="15">
      <c r="A3" s="81" t="s">
        <v>484</v>
      </c>
      <c r="B3" s="80" t="s">
        <v>2500</v>
      </c>
      <c r="C3" s="89" t="s">
        <v>1141</v>
      </c>
    </row>
    <row r="4" spans="1:3" ht="15">
      <c r="A4" s="81" t="s">
        <v>484</v>
      </c>
      <c r="B4" s="80" t="s">
        <v>2691</v>
      </c>
      <c r="C4" s="89" t="s">
        <v>1141</v>
      </c>
    </row>
    <row r="5" spans="1:3" ht="15">
      <c r="A5" s="81" t="s">
        <v>484</v>
      </c>
      <c r="B5" s="80" t="s">
        <v>2692</v>
      </c>
      <c r="C5" s="89" t="s">
        <v>1141</v>
      </c>
    </row>
    <row r="6" spans="1:3" ht="15">
      <c r="A6" s="81" t="s">
        <v>484</v>
      </c>
      <c r="B6" s="80" t="s">
        <v>2498</v>
      </c>
      <c r="C6" s="89" t="s">
        <v>1141</v>
      </c>
    </row>
    <row r="7" spans="1:3" ht="15">
      <c r="A7" s="81" t="s">
        <v>484</v>
      </c>
      <c r="B7" s="80" t="s">
        <v>2477</v>
      </c>
      <c r="C7" s="89" t="s">
        <v>1141</v>
      </c>
    </row>
    <row r="8" spans="1:3" ht="15">
      <c r="A8" s="81" t="s">
        <v>484</v>
      </c>
      <c r="B8" s="80" t="s">
        <v>2501</v>
      </c>
      <c r="C8" s="89" t="s">
        <v>1141</v>
      </c>
    </row>
    <row r="9" spans="1:3" ht="15">
      <c r="A9" s="81" t="s">
        <v>484</v>
      </c>
      <c r="B9" s="80" t="s">
        <v>2693</v>
      </c>
      <c r="C9" s="89" t="s">
        <v>1141</v>
      </c>
    </row>
    <row r="10" spans="1:3" ht="15">
      <c r="A10" s="81" t="s">
        <v>484</v>
      </c>
      <c r="B10" s="80" t="s">
        <v>2478</v>
      </c>
      <c r="C10" s="89" t="s">
        <v>1141</v>
      </c>
    </row>
    <row r="11" spans="1:3" ht="15">
      <c r="A11" s="81" t="s">
        <v>484</v>
      </c>
      <c r="B11" s="80" t="s">
        <v>2476</v>
      </c>
      <c r="C11" s="89" t="s">
        <v>1141</v>
      </c>
    </row>
    <row r="12" spans="1:3" ht="15">
      <c r="A12" s="81" t="s">
        <v>484</v>
      </c>
      <c r="B12" s="80" t="s">
        <v>2502</v>
      </c>
      <c r="C12" s="89" t="s">
        <v>1141</v>
      </c>
    </row>
    <row r="13" spans="1:3" ht="15">
      <c r="A13" s="81" t="s">
        <v>484</v>
      </c>
      <c r="B13" s="80" t="s">
        <v>2694</v>
      </c>
      <c r="C13" s="89" t="s">
        <v>1141</v>
      </c>
    </row>
    <row r="14" spans="1:3" ht="15">
      <c r="A14" s="81" t="s">
        <v>484</v>
      </c>
      <c r="B14" s="80" t="s">
        <v>2695</v>
      </c>
      <c r="C14" s="89" t="s">
        <v>1141</v>
      </c>
    </row>
    <row r="15" spans="1:3" ht="15">
      <c r="A15" s="81" t="s">
        <v>484</v>
      </c>
      <c r="B15" s="80" t="s">
        <v>2696</v>
      </c>
      <c r="C15" s="89" t="s">
        <v>1141</v>
      </c>
    </row>
    <row r="16" spans="1:3" ht="15">
      <c r="A16" s="81" t="s">
        <v>484</v>
      </c>
      <c r="B16" s="80" t="s">
        <v>2504</v>
      </c>
      <c r="C16" s="89" t="s">
        <v>1141</v>
      </c>
    </row>
    <row r="17" spans="1:3" ht="15">
      <c r="A17" s="81" t="s">
        <v>484</v>
      </c>
      <c r="B17" s="80" t="s">
        <v>2505</v>
      </c>
      <c r="C17" s="89" t="s">
        <v>1141</v>
      </c>
    </row>
    <row r="18" spans="1:3" ht="15">
      <c r="A18" s="81" t="s">
        <v>484</v>
      </c>
      <c r="B18" s="80" t="s">
        <v>2499</v>
      </c>
      <c r="C18" s="89" t="s">
        <v>1141</v>
      </c>
    </row>
    <row r="19" spans="1:3" ht="15">
      <c r="A19" s="81" t="s">
        <v>484</v>
      </c>
      <c r="B19" s="80">
        <v>20</v>
      </c>
      <c r="C19" s="89" t="s">
        <v>1141</v>
      </c>
    </row>
    <row r="20" spans="1:3" ht="15">
      <c r="A20" s="81" t="s">
        <v>484</v>
      </c>
      <c r="B20" s="80" t="s">
        <v>2507</v>
      </c>
      <c r="C20" s="89" t="s">
        <v>1141</v>
      </c>
    </row>
    <row r="21" spans="1:3" ht="15">
      <c r="A21" s="81" t="s">
        <v>484</v>
      </c>
      <c r="B21" s="80" t="s">
        <v>2508</v>
      </c>
      <c r="C21" s="89" t="s">
        <v>1141</v>
      </c>
    </row>
    <row r="22" spans="1:3" ht="15">
      <c r="A22" s="81" t="s">
        <v>484</v>
      </c>
      <c r="B22" s="80" t="s">
        <v>2509</v>
      </c>
      <c r="C22" s="89" t="s">
        <v>1141</v>
      </c>
    </row>
    <row r="23" spans="1:3" ht="15">
      <c r="A23" s="81" t="s">
        <v>484</v>
      </c>
      <c r="B23" s="80" t="s">
        <v>2510</v>
      </c>
      <c r="C23" s="89" t="s">
        <v>1141</v>
      </c>
    </row>
    <row r="24" spans="1:3" ht="15">
      <c r="A24" s="81" t="s">
        <v>484</v>
      </c>
      <c r="B24" s="80" t="s">
        <v>2697</v>
      </c>
      <c r="C24" s="89" t="s">
        <v>1141</v>
      </c>
    </row>
    <row r="25" spans="1:3" ht="15">
      <c r="A25" s="81" t="s">
        <v>484</v>
      </c>
      <c r="B25" s="80" t="s">
        <v>2512</v>
      </c>
      <c r="C25" s="89" t="s">
        <v>1141</v>
      </c>
    </row>
    <row r="26" spans="1:3" ht="15">
      <c r="A26" s="81" t="s">
        <v>484</v>
      </c>
      <c r="B26" s="80" t="s">
        <v>2513</v>
      </c>
      <c r="C26" s="89" t="s">
        <v>1141</v>
      </c>
    </row>
    <row r="27" spans="1:3" ht="15">
      <c r="A27" s="81" t="s">
        <v>484</v>
      </c>
      <c r="B27" s="80">
        <v>26</v>
      </c>
      <c r="C27" s="89" t="s">
        <v>1141</v>
      </c>
    </row>
    <row r="28" spans="1:3" ht="15">
      <c r="A28" s="81" t="s">
        <v>484</v>
      </c>
      <c r="B28" s="80">
        <v>3</v>
      </c>
      <c r="C28" s="89" t="s">
        <v>1141</v>
      </c>
    </row>
    <row r="29" spans="1:3" ht="15">
      <c r="A29" s="81" t="s">
        <v>484</v>
      </c>
      <c r="B29" s="80" t="s">
        <v>2516</v>
      </c>
      <c r="C29" s="89" t="s">
        <v>1141</v>
      </c>
    </row>
    <row r="30" spans="1:3" ht="15">
      <c r="A30" s="81" t="s">
        <v>484</v>
      </c>
      <c r="B30" s="80">
        <v>23</v>
      </c>
      <c r="C30" s="89" t="s">
        <v>1141</v>
      </c>
    </row>
    <row r="31" spans="1:3" ht="15">
      <c r="A31" s="81" t="s">
        <v>484</v>
      </c>
      <c r="B31" s="80">
        <v>59</v>
      </c>
      <c r="C31" s="89" t="s">
        <v>1141</v>
      </c>
    </row>
    <row r="32" spans="1:3" ht="15">
      <c r="A32" s="81" t="s">
        <v>484</v>
      </c>
      <c r="B32" s="80" t="s">
        <v>2698</v>
      </c>
      <c r="C32" s="89" t="s">
        <v>1141</v>
      </c>
    </row>
    <row r="33" spans="1:3" ht="15">
      <c r="A33" s="81" t="s">
        <v>484</v>
      </c>
      <c r="B33" s="80" t="s">
        <v>2699</v>
      </c>
      <c r="C33" s="89" t="s">
        <v>1141</v>
      </c>
    </row>
    <row r="34" spans="1:3" ht="15">
      <c r="A34" s="81" t="s">
        <v>482</v>
      </c>
      <c r="B34" s="80" t="s">
        <v>2690</v>
      </c>
      <c r="C34" s="89" t="s">
        <v>1137</v>
      </c>
    </row>
    <row r="35" spans="1:3" ht="15">
      <c r="A35" s="81" t="s">
        <v>482</v>
      </c>
      <c r="B35" s="80" t="s">
        <v>2500</v>
      </c>
      <c r="C35" s="89" t="s">
        <v>1137</v>
      </c>
    </row>
    <row r="36" spans="1:3" ht="15">
      <c r="A36" s="81" t="s">
        <v>482</v>
      </c>
      <c r="B36" s="80" t="s">
        <v>2691</v>
      </c>
      <c r="C36" s="89" t="s">
        <v>1137</v>
      </c>
    </row>
    <row r="37" spans="1:3" ht="15">
      <c r="A37" s="81" t="s">
        <v>482</v>
      </c>
      <c r="B37" s="80" t="s">
        <v>2692</v>
      </c>
      <c r="C37" s="89" t="s">
        <v>1137</v>
      </c>
    </row>
    <row r="38" spans="1:3" ht="15">
      <c r="A38" s="81" t="s">
        <v>482</v>
      </c>
      <c r="B38" s="80" t="s">
        <v>2498</v>
      </c>
      <c r="C38" s="89" t="s">
        <v>1137</v>
      </c>
    </row>
    <row r="39" spans="1:3" ht="15">
      <c r="A39" s="81" t="s">
        <v>482</v>
      </c>
      <c r="B39" s="80" t="s">
        <v>2477</v>
      </c>
      <c r="C39" s="89" t="s">
        <v>1137</v>
      </c>
    </row>
    <row r="40" spans="1:3" ht="15">
      <c r="A40" s="81" t="s">
        <v>482</v>
      </c>
      <c r="B40" s="80" t="s">
        <v>2501</v>
      </c>
      <c r="C40" s="89" t="s">
        <v>1137</v>
      </c>
    </row>
    <row r="41" spans="1:3" ht="15">
      <c r="A41" s="81" t="s">
        <v>482</v>
      </c>
      <c r="B41" s="80" t="s">
        <v>2693</v>
      </c>
      <c r="C41" s="89" t="s">
        <v>1137</v>
      </c>
    </row>
    <row r="42" spans="1:3" ht="15">
      <c r="A42" s="81" t="s">
        <v>482</v>
      </c>
      <c r="B42" s="80" t="s">
        <v>2478</v>
      </c>
      <c r="C42" s="89" t="s">
        <v>1137</v>
      </c>
    </row>
    <row r="43" spans="1:3" ht="15">
      <c r="A43" s="81" t="s">
        <v>482</v>
      </c>
      <c r="B43" s="80" t="s">
        <v>2476</v>
      </c>
      <c r="C43" s="89" t="s">
        <v>1137</v>
      </c>
    </row>
    <row r="44" spans="1:3" ht="15">
      <c r="A44" s="81" t="s">
        <v>482</v>
      </c>
      <c r="B44" s="80" t="s">
        <v>2502</v>
      </c>
      <c r="C44" s="89" t="s">
        <v>1137</v>
      </c>
    </row>
    <row r="45" spans="1:3" ht="15">
      <c r="A45" s="81" t="s">
        <v>482</v>
      </c>
      <c r="B45" s="80" t="s">
        <v>2694</v>
      </c>
      <c r="C45" s="89" t="s">
        <v>1137</v>
      </c>
    </row>
    <row r="46" spans="1:3" ht="15">
      <c r="A46" s="81" t="s">
        <v>482</v>
      </c>
      <c r="B46" s="80" t="s">
        <v>2695</v>
      </c>
      <c r="C46" s="89" t="s">
        <v>1137</v>
      </c>
    </row>
    <row r="47" spans="1:3" ht="15">
      <c r="A47" s="81" t="s">
        <v>482</v>
      </c>
      <c r="B47" s="80" t="s">
        <v>2696</v>
      </c>
      <c r="C47" s="89" t="s">
        <v>1137</v>
      </c>
    </row>
    <row r="48" spans="1:3" ht="15">
      <c r="A48" s="81" t="s">
        <v>482</v>
      </c>
      <c r="B48" s="80" t="s">
        <v>2504</v>
      </c>
      <c r="C48" s="89" t="s">
        <v>1137</v>
      </c>
    </row>
    <row r="49" spans="1:3" ht="15">
      <c r="A49" s="81" t="s">
        <v>482</v>
      </c>
      <c r="B49" s="80" t="s">
        <v>2505</v>
      </c>
      <c r="C49" s="89" t="s">
        <v>1137</v>
      </c>
    </row>
    <row r="50" spans="1:3" ht="15">
      <c r="A50" s="81" t="s">
        <v>482</v>
      </c>
      <c r="B50" s="80" t="s">
        <v>2499</v>
      </c>
      <c r="C50" s="89" t="s">
        <v>1137</v>
      </c>
    </row>
    <row r="51" spans="1:3" ht="15">
      <c r="A51" s="81" t="s">
        <v>482</v>
      </c>
      <c r="B51" s="80">
        <v>20</v>
      </c>
      <c r="C51" s="89" t="s">
        <v>1137</v>
      </c>
    </row>
    <row r="52" spans="1:3" ht="15">
      <c r="A52" s="81" t="s">
        <v>482</v>
      </c>
      <c r="B52" s="80" t="s">
        <v>2507</v>
      </c>
      <c r="C52" s="89" t="s">
        <v>1137</v>
      </c>
    </row>
    <row r="53" spans="1:3" ht="15">
      <c r="A53" s="81" t="s">
        <v>482</v>
      </c>
      <c r="B53" s="80" t="s">
        <v>2508</v>
      </c>
      <c r="C53" s="89" t="s">
        <v>1137</v>
      </c>
    </row>
    <row r="54" spans="1:3" ht="15">
      <c r="A54" s="81" t="s">
        <v>482</v>
      </c>
      <c r="B54" s="80" t="s">
        <v>2509</v>
      </c>
      <c r="C54" s="89" t="s">
        <v>1137</v>
      </c>
    </row>
    <row r="55" spans="1:3" ht="15">
      <c r="A55" s="81" t="s">
        <v>482</v>
      </c>
      <c r="B55" s="80" t="s">
        <v>2510</v>
      </c>
      <c r="C55" s="89" t="s">
        <v>1137</v>
      </c>
    </row>
    <row r="56" spans="1:3" ht="15">
      <c r="A56" s="81" t="s">
        <v>482</v>
      </c>
      <c r="B56" s="80" t="s">
        <v>2697</v>
      </c>
      <c r="C56" s="89" t="s">
        <v>1137</v>
      </c>
    </row>
    <row r="57" spans="1:3" ht="15">
      <c r="A57" s="81" t="s">
        <v>482</v>
      </c>
      <c r="B57" s="80" t="s">
        <v>2512</v>
      </c>
      <c r="C57" s="89" t="s">
        <v>1137</v>
      </c>
    </row>
    <row r="58" spans="1:3" ht="15">
      <c r="A58" s="81" t="s">
        <v>482</v>
      </c>
      <c r="B58" s="80" t="s">
        <v>2513</v>
      </c>
      <c r="C58" s="89" t="s">
        <v>1137</v>
      </c>
    </row>
    <row r="59" spans="1:3" ht="15">
      <c r="A59" s="81" t="s">
        <v>482</v>
      </c>
      <c r="B59" s="80">
        <v>26</v>
      </c>
      <c r="C59" s="89" t="s">
        <v>1137</v>
      </c>
    </row>
    <row r="60" spans="1:3" ht="15">
      <c r="A60" s="81" t="s">
        <v>482</v>
      </c>
      <c r="B60" s="80">
        <v>3</v>
      </c>
      <c r="C60" s="89" t="s">
        <v>1137</v>
      </c>
    </row>
    <row r="61" spans="1:3" ht="15">
      <c r="A61" s="81" t="s">
        <v>482</v>
      </c>
      <c r="B61" s="80" t="s">
        <v>2516</v>
      </c>
      <c r="C61" s="89" t="s">
        <v>1137</v>
      </c>
    </row>
    <row r="62" spans="1:3" ht="15">
      <c r="A62" s="81" t="s">
        <v>482</v>
      </c>
      <c r="B62" s="80">
        <v>23</v>
      </c>
      <c r="C62" s="89" t="s">
        <v>1137</v>
      </c>
    </row>
    <row r="63" spans="1:3" ht="15">
      <c r="A63" s="81" t="s">
        <v>482</v>
      </c>
      <c r="B63" s="80">
        <v>59</v>
      </c>
      <c r="C63" s="89" t="s">
        <v>1137</v>
      </c>
    </row>
    <row r="64" spans="1:3" ht="15">
      <c r="A64" s="81" t="s">
        <v>482</v>
      </c>
      <c r="B64" s="80" t="s">
        <v>2698</v>
      </c>
      <c r="C64" s="89" t="s">
        <v>1137</v>
      </c>
    </row>
    <row r="65" spans="1:3" ht="15">
      <c r="A65" s="81" t="s">
        <v>482</v>
      </c>
      <c r="B65" s="80" t="s">
        <v>2699</v>
      </c>
      <c r="C65" s="89" t="s">
        <v>1137</v>
      </c>
    </row>
    <row r="66" spans="1:3" ht="15">
      <c r="A66" s="81" t="s">
        <v>481</v>
      </c>
      <c r="B66" s="80" t="s">
        <v>2690</v>
      </c>
      <c r="C66" s="89" t="s">
        <v>1136</v>
      </c>
    </row>
    <row r="67" spans="1:3" ht="15">
      <c r="A67" s="81" t="s">
        <v>481</v>
      </c>
      <c r="B67" s="80" t="s">
        <v>2500</v>
      </c>
      <c r="C67" s="89" t="s">
        <v>1136</v>
      </c>
    </row>
    <row r="68" spans="1:3" ht="15">
      <c r="A68" s="81" t="s">
        <v>481</v>
      </c>
      <c r="B68" s="80" t="s">
        <v>2691</v>
      </c>
      <c r="C68" s="89" t="s">
        <v>1136</v>
      </c>
    </row>
    <row r="69" spans="1:3" ht="15">
      <c r="A69" s="81" t="s">
        <v>481</v>
      </c>
      <c r="B69" s="80" t="s">
        <v>2692</v>
      </c>
      <c r="C69" s="89" t="s">
        <v>1136</v>
      </c>
    </row>
    <row r="70" spans="1:3" ht="15">
      <c r="A70" s="81" t="s">
        <v>481</v>
      </c>
      <c r="B70" s="80" t="s">
        <v>2498</v>
      </c>
      <c r="C70" s="89" t="s">
        <v>1136</v>
      </c>
    </row>
    <row r="71" spans="1:3" ht="15">
      <c r="A71" s="81" t="s">
        <v>481</v>
      </c>
      <c r="B71" s="80" t="s">
        <v>2477</v>
      </c>
      <c r="C71" s="89" t="s">
        <v>1136</v>
      </c>
    </row>
    <row r="72" spans="1:3" ht="15">
      <c r="A72" s="81" t="s">
        <v>481</v>
      </c>
      <c r="B72" s="80" t="s">
        <v>2501</v>
      </c>
      <c r="C72" s="89" t="s">
        <v>1136</v>
      </c>
    </row>
    <row r="73" spans="1:3" ht="15">
      <c r="A73" s="81" t="s">
        <v>481</v>
      </c>
      <c r="B73" s="80" t="s">
        <v>2693</v>
      </c>
      <c r="C73" s="89" t="s">
        <v>1136</v>
      </c>
    </row>
    <row r="74" spans="1:3" ht="15">
      <c r="A74" s="81" t="s">
        <v>481</v>
      </c>
      <c r="B74" s="80" t="s">
        <v>2478</v>
      </c>
      <c r="C74" s="89" t="s">
        <v>1136</v>
      </c>
    </row>
    <row r="75" spans="1:3" ht="15">
      <c r="A75" s="81" t="s">
        <v>481</v>
      </c>
      <c r="B75" s="80" t="s">
        <v>2476</v>
      </c>
      <c r="C75" s="89" t="s">
        <v>1136</v>
      </c>
    </row>
    <row r="76" spans="1:3" ht="15">
      <c r="A76" s="81" t="s">
        <v>481</v>
      </c>
      <c r="B76" s="80" t="s">
        <v>2502</v>
      </c>
      <c r="C76" s="89" t="s">
        <v>1136</v>
      </c>
    </row>
    <row r="77" spans="1:3" ht="15">
      <c r="A77" s="81" t="s">
        <v>481</v>
      </c>
      <c r="B77" s="80" t="s">
        <v>2694</v>
      </c>
      <c r="C77" s="89" t="s">
        <v>1136</v>
      </c>
    </row>
    <row r="78" spans="1:3" ht="15">
      <c r="A78" s="81" t="s">
        <v>481</v>
      </c>
      <c r="B78" s="80" t="s">
        <v>2695</v>
      </c>
      <c r="C78" s="89" t="s">
        <v>1136</v>
      </c>
    </row>
    <row r="79" spans="1:3" ht="15">
      <c r="A79" s="81" t="s">
        <v>481</v>
      </c>
      <c r="B79" s="80" t="s">
        <v>2696</v>
      </c>
      <c r="C79" s="89" t="s">
        <v>1136</v>
      </c>
    </row>
    <row r="80" spans="1:3" ht="15">
      <c r="A80" s="81" t="s">
        <v>481</v>
      </c>
      <c r="B80" s="80" t="s">
        <v>2504</v>
      </c>
      <c r="C80" s="89" t="s">
        <v>1136</v>
      </c>
    </row>
    <row r="81" spans="1:3" ht="15">
      <c r="A81" s="81" t="s">
        <v>481</v>
      </c>
      <c r="B81" s="80" t="s">
        <v>2505</v>
      </c>
      <c r="C81" s="89" t="s">
        <v>1136</v>
      </c>
    </row>
    <row r="82" spans="1:3" ht="15">
      <c r="A82" s="81" t="s">
        <v>481</v>
      </c>
      <c r="B82" s="80" t="s">
        <v>2499</v>
      </c>
      <c r="C82" s="89" t="s">
        <v>1136</v>
      </c>
    </row>
    <row r="83" spans="1:3" ht="15">
      <c r="A83" s="81" t="s">
        <v>481</v>
      </c>
      <c r="B83" s="80">
        <v>20</v>
      </c>
      <c r="C83" s="89" t="s">
        <v>1136</v>
      </c>
    </row>
    <row r="84" spans="1:3" ht="15">
      <c r="A84" s="81" t="s">
        <v>481</v>
      </c>
      <c r="B84" s="80" t="s">
        <v>2507</v>
      </c>
      <c r="C84" s="89" t="s">
        <v>1136</v>
      </c>
    </row>
    <row r="85" spans="1:3" ht="15">
      <c r="A85" s="81" t="s">
        <v>481</v>
      </c>
      <c r="B85" s="80" t="s">
        <v>2508</v>
      </c>
      <c r="C85" s="89" t="s">
        <v>1136</v>
      </c>
    </row>
    <row r="86" spans="1:3" ht="15">
      <c r="A86" s="81" t="s">
        <v>481</v>
      </c>
      <c r="B86" s="80" t="s">
        <v>2509</v>
      </c>
      <c r="C86" s="89" t="s">
        <v>1136</v>
      </c>
    </row>
    <row r="87" spans="1:3" ht="15">
      <c r="A87" s="81" t="s">
        <v>481</v>
      </c>
      <c r="B87" s="80" t="s">
        <v>2510</v>
      </c>
      <c r="C87" s="89" t="s">
        <v>1136</v>
      </c>
    </row>
    <row r="88" spans="1:3" ht="15">
      <c r="A88" s="81" t="s">
        <v>481</v>
      </c>
      <c r="B88" s="80" t="s">
        <v>2697</v>
      </c>
      <c r="C88" s="89" t="s">
        <v>1136</v>
      </c>
    </row>
    <row r="89" spans="1:3" ht="15">
      <c r="A89" s="81" t="s">
        <v>481</v>
      </c>
      <c r="B89" s="80" t="s">
        <v>2512</v>
      </c>
      <c r="C89" s="89" t="s">
        <v>1136</v>
      </c>
    </row>
    <row r="90" spans="1:3" ht="15">
      <c r="A90" s="81" t="s">
        <v>481</v>
      </c>
      <c r="B90" s="80" t="s">
        <v>2513</v>
      </c>
      <c r="C90" s="89" t="s">
        <v>1136</v>
      </c>
    </row>
    <row r="91" spans="1:3" ht="15">
      <c r="A91" s="81" t="s">
        <v>481</v>
      </c>
      <c r="B91" s="80">
        <v>26</v>
      </c>
      <c r="C91" s="89" t="s">
        <v>1136</v>
      </c>
    </row>
    <row r="92" spans="1:3" ht="15">
      <c r="A92" s="81" t="s">
        <v>481</v>
      </c>
      <c r="B92" s="80">
        <v>3</v>
      </c>
      <c r="C92" s="89" t="s">
        <v>1136</v>
      </c>
    </row>
    <row r="93" spans="1:3" ht="15">
      <c r="A93" s="81" t="s">
        <v>481</v>
      </c>
      <c r="B93" s="80" t="s">
        <v>2516</v>
      </c>
      <c r="C93" s="89" t="s">
        <v>1136</v>
      </c>
    </row>
    <row r="94" spans="1:3" ht="15">
      <c r="A94" s="81" t="s">
        <v>481</v>
      </c>
      <c r="B94" s="80">
        <v>23</v>
      </c>
      <c r="C94" s="89" t="s">
        <v>1136</v>
      </c>
    </row>
    <row r="95" spans="1:3" ht="15">
      <c r="A95" s="81" t="s">
        <v>481</v>
      </c>
      <c r="B95" s="80">
        <v>59</v>
      </c>
      <c r="C95" s="89" t="s">
        <v>1136</v>
      </c>
    </row>
    <row r="96" spans="1:3" ht="15">
      <c r="A96" s="81" t="s">
        <v>481</v>
      </c>
      <c r="B96" s="80" t="s">
        <v>2698</v>
      </c>
      <c r="C96" s="89" t="s">
        <v>1136</v>
      </c>
    </row>
    <row r="97" spans="1:3" ht="15">
      <c r="A97" s="81" t="s">
        <v>481</v>
      </c>
      <c r="B97" s="80" t="s">
        <v>2699</v>
      </c>
      <c r="C97" s="89" t="s">
        <v>1136</v>
      </c>
    </row>
    <row r="98" spans="1:3" ht="15">
      <c r="A98" s="81" t="s">
        <v>480</v>
      </c>
      <c r="B98" s="80" t="s">
        <v>2700</v>
      </c>
      <c r="C98" s="89" t="s">
        <v>1135</v>
      </c>
    </row>
    <row r="99" spans="1:3" ht="15">
      <c r="A99" s="81" t="s">
        <v>480</v>
      </c>
      <c r="B99" s="80" t="s">
        <v>2480</v>
      </c>
      <c r="C99" s="89" t="s">
        <v>1135</v>
      </c>
    </row>
    <row r="100" spans="1:3" ht="15">
      <c r="A100" s="81" t="s">
        <v>480</v>
      </c>
      <c r="B100" s="80" t="s">
        <v>2481</v>
      </c>
      <c r="C100" s="89" t="s">
        <v>1135</v>
      </c>
    </row>
    <row r="101" spans="1:3" ht="15">
      <c r="A101" s="81" t="s">
        <v>480</v>
      </c>
      <c r="B101" s="80" t="s">
        <v>2701</v>
      </c>
      <c r="C101" s="89" t="s">
        <v>1135</v>
      </c>
    </row>
    <row r="102" spans="1:3" ht="15">
      <c r="A102" s="81" t="s">
        <v>480</v>
      </c>
      <c r="B102" s="80" t="s">
        <v>2702</v>
      </c>
      <c r="C102" s="89" t="s">
        <v>1135</v>
      </c>
    </row>
    <row r="103" spans="1:3" ht="15">
      <c r="A103" s="81" t="s">
        <v>480</v>
      </c>
      <c r="B103" s="80" t="s">
        <v>2483</v>
      </c>
      <c r="C103" s="89" t="s">
        <v>1135</v>
      </c>
    </row>
    <row r="104" spans="1:3" ht="15">
      <c r="A104" s="81" t="s">
        <v>480</v>
      </c>
      <c r="B104" s="80" t="s">
        <v>2484</v>
      </c>
      <c r="C104" s="89" t="s">
        <v>1135</v>
      </c>
    </row>
    <row r="105" spans="1:3" ht="15">
      <c r="A105" s="81" t="s">
        <v>480</v>
      </c>
      <c r="B105" s="80" t="s">
        <v>2703</v>
      </c>
      <c r="C105" s="89" t="s">
        <v>1135</v>
      </c>
    </row>
    <row r="106" spans="1:3" ht="15">
      <c r="A106" s="81" t="s">
        <v>480</v>
      </c>
      <c r="B106" s="80" t="s">
        <v>2485</v>
      </c>
      <c r="C106" s="89" t="s">
        <v>1135</v>
      </c>
    </row>
    <row r="107" spans="1:3" ht="15">
      <c r="A107" s="81" t="s">
        <v>480</v>
      </c>
      <c r="B107" s="80" t="s">
        <v>2693</v>
      </c>
      <c r="C107" s="89" t="s">
        <v>1135</v>
      </c>
    </row>
    <row r="108" spans="1:3" ht="15">
      <c r="A108" s="81" t="s">
        <v>480</v>
      </c>
      <c r="B108" s="80" t="s">
        <v>2486</v>
      </c>
      <c r="C108" s="89" t="s">
        <v>1135</v>
      </c>
    </row>
    <row r="109" spans="1:3" ht="15">
      <c r="A109" s="81" t="s">
        <v>480</v>
      </c>
      <c r="B109" s="80" t="s">
        <v>2704</v>
      </c>
      <c r="C109" s="89" t="s">
        <v>1135</v>
      </c>
    </row>
    <row r="110" spans="1:3" ht="15">
      <c r="A110" s="81" t="s">
        <v>480</v>
      </c>
      <c r="B110" s="80" t="s">
        <v>2691</v>
      </c>
      <c r="C110" s="89" t="s">
        <v>1135</v>
      </c>
    </row>
    <row r="111" spans="1:3" ht="15">
      <c r="A111" s="81" t="s">
        <v>480</v>
      </c>
      <c r="B111" s="80" t="s">
        <v>2692</v>
      </c>
      <c r="C111" s="89" t="s">
        <v>1135</v>
      </c>
    </row>
    <row r="112" spans="1:3" ht="15">
      <c r="A112" s="81" t="s">
        <v>480</v>
      </c>
      <c r="B112" s="80" t="s">
        <v>2477</v>
      </c>
      <c r="C112" s="89" t="s">
        <v>1135</v>
      </c>
    </row>
    <row r="113" spans="1:3" ht="15">
      <c r="A113" s="81" t="s">
        <v>480</v>
      </c>
      <c r="B113" s="80" t="s">
        <v>2705</v>
      </c>
      <c r="C113" s="89" t="s">
        <v>1135</v>
      </c>
    </row>
    <row r="114" spans="1:3" ht="15">
      <c r="A114" s="81" t="s">
        <v>480</v>
      </c>
      <c r="B114" s="80" t="s">
        <v>2706</v>
      </c>
      <c r="C114" s="89" t="s">
        <v>1135</v>
      </c>
    </row>
    <row r="115" spans="1:3" ht="15">
      <c r="A115" s="81" t="s">
        <v>480</v>
      </c>
      <c r="B115" s="80" t="s">
        <v>2707</v>
      </c>
      <c r="C115" s="89" t="s">
        <v>1135</v>
      </c>
    </row>
    <row r="116" spans="1:3" ht="15">
      <c r="A116" s="81" t="s">
        <v>480</v>
      </c>
      <c r="B116" s="80" t="s">
        <v>2708</v>
      </c>
      <c r="C116" s="89" t="s">
        <v>1135</v>
      </c>
    </row>
    <row r="117" spans="1:3" ht="15">
      <c r="A117" s="81" t="s">
        <v>480</v>
      </c>
      <c r="B117" s="80" t="s">
        <v>2488</v>
      </c>
      <c r="C117" s="89" t="s">
        <v>1135</v>
      </c>
    </row>
    <row r="118" spans="1:3" ht="15">
      <c r="A118" s="81" t="s">
        <v>480</v>
      </c>
      <c r="B118" s="80" t="s">
        <v>2709</v>
      </c>
      <c r="C118" s="89" t="s">
        <v>1135</v>
      </c>
    </row>
    <row r="119" spans="1:3" ht="15">
      <c r="A119" s="81" t="s">
        <v>480</v>
      </c>
      <c r="B119" s="80" t="s">
        <v>2710</v>
      </c>
      <c r="C119" s="89" t="s">
        <v>1135</v>
      </c>
    </row>
    <row r="120" spans="1:3" ht="15">
      <c r="A120" s="81" t="s">
        <v>480</v>
      </c>
      <c r="B120" s="80" t="s">
        <v>2478</v>
      </c>
      <c r="C120" s="89" t="s">
        <v>1135</v>
      </c>
    </row>
    <row r="121" spans="1:3" ht="15">
      <c r="A121" s="81" t="s">
        <v>480</v>
      </c>
      <c r="B121" s="80" t="s">
        <v>2476</v>
      </c>
      <c r="C121" s="89" t="s">
        <v>1135</v>
      </c>
    </row>
    <row r="122" spans="1:3" ht="15">
      <c r="A122" s="81" t="s">
        <v>480</v>
      </c>
      <c r="B122" s="80" t="s">
        <v>2711</v>
      </c>
      <c r="C122" s="89" t="s">
        <v>1135</v>
      </c>
    </row>
    <row r="123" spans="1:3" ht="15">
      <c r="A123" s="81" t="s">
        <v>480</v>
      </c>
      <c r="B123" s="80" t="s">
        <v>65</v>
      </c>
      <c r="C123" s="89" t="s">
        <v>1135</v>
      </c>
    </row>
    <row r="124" spans="1:3" ht="15">
      <c r="A124" s="81" t="s">
        <v>480</v>
      </c>
      <c r="B124" s="80" t="s">
        <v>2491</v>
      </c>
      <c r="C124" s="89" t="s">
        <v>1135</v>
      </c>
    </row>
    <row r="125" spans="1:3" ht="15">
      <c r="A125" s="81" t="s">
        <v>478</v>
      </c>
      <c r="B125" s="80" t="s">
        <v>2690</v>
      </c>
      <c r="C125" s="89" t="s">
        <v>1133</v>
      </c>
    </row>
    <row r="126" spans="1:3" ht="15">
      <c r="A126" s="81" t="s">
        <v>478</v>
      </c>
      <c r="B126" s="80" t="s">
        <v>2500</v>
      </c>
      <c r="C126" s="89" t="s">
        <v>1133</v>
      </c>
    </row>
    <row r="127" spans="1:3" ht="15">
      <c r="A127" s="81" t="s">
        <v>478</v>
      </c>
      <c r="B127" s="80" t="s">
        <v>2691</v>
      </c>
      <c r="C127" s="89" t="s">
        <v>1133</v>
      </c>
    </row>
    <row r="128" spans="1:3" ht="15">
      <c r="A128" s="81" t="s">
        <v>478</v>
      </c>
      <c r="B128" s="80" t="s">
        <v>2692</v>
      </c>
      <c r="C128" s="89" t="s">
        <v>1133</v>
      </c>
    </row>
    <row r="129" spans="1:3" ht="15">
      <c r="A129" s="81" t="s">
        <v>478</v>
      </c>
      <c r="B129" s="80" t="s">
        <v>2498</v>
      </c>
      <c r="C129" s="89" t="s">
        <v>1133</v>
      </c>
    </row>
    <row r="130" spans="1:3" ht="15">
      <c r="A130" s="81" t="s">
        <v>478</v>
      </c>
      <c r="B130" s="80" t="s">
        <v>2477</v>
      </c>
      <c r="C130" s="89" t="s">
        <v>1133</v>
      </c>
    </row>
    <row r="131" spans="1:3" ht="15">
      <c r="A131" s="81" t="s">
        <v>478</v>
      </c>
      <c r="B131" s="80" t="s">
        <v>2501</v>
      </c>
      <c r="C131" s="89" t="s">
        <v>1133</v>
      </c>
    </row>
    <row r="132" spans="1:3" ht="15">
      <c r="A132" s="81" t="s">
        <v>478</v>
      </c>
      <c r="B132" s="80" t="s">
        <v>2693</v>
      </c>
      <c r="C132" s="89" t="s">
        <v>1133</v>
      </c>
    </row>
    <row r="133" spans="1:3" ht="15">
      <c r="A133" s="81" t="s">
        <v>478</v>
      </c>
      <c r="B133" s="80" t="s">
        <v>2478</v>
      </c>
      <c r="C133" s="89" t="s">
        <v>1133</v>
      </c>
    </row>
    <row r="134" spans="1:3" ht="15">
      <c r="A134" s="81" t="s">
        <v>478</v>
      </c>
      <c r="B134" s="80" t="s">
        <v>2476</v>
      </c>
      <c r="C134" s="89" t="s">
        <v>1133</v>
      </c>
    </row>
    <row r="135" spans="1:3" ht="15">
      <c r="A135" s="81" t="s">
        <v>478</v>
      </c>
      <c r="B135" s="80" t="s">
        <v>2502</v>
      </c>
      <c r="C135" s="89" t="s">
        <v>1133</v>
      </c>
    </row>
    <row r="136" spans="1:3" ht="15">
      <c r="A136" s="81" t="s">
        <v>478</v>
      </c>
      <c r="B136" s="80" t="s">
        <v>2694</v>
      </c>
      <c r="C136" s="89" t="s">
        <v>1133</v>
      </c>
    </row>
    <row r="137" spans="1:3" ht="15">
      <c r="A137" s="81" t="s">
        <v>478</v>
      </c>
      <c r="B137" s="80" t="s">
        <v>2695</v>
      </c>
      <c r="C137" s="89" t="s">
        <v>1133</v>
      </c>
    </row>
    <row r="138" spans="1:3" ht="15">
      <c r="A138" s="81" t="s">
        <v>478</v>
      </c>
      <c r="B138" s="80" t="s">
        <v>2696</v>
      </c>
      <c r="C138" s="89" t="s">
        <v>1133</v>
      </c>
    </row>
    <row r="139" spans="1:3" ht="15">
      <c r="A139" s="81" t="s">
        <v>478</v>
      </c>
      <c r="B139" s="80" t="s">
        <v>2504</v>
      </c>
      <c r="C139" s="89" t="s">
        <v>1133</v>
      </c>
    </row>
    <row r="140" spans="1:3" ht="15">
      <c r="A140" s="81" t="s">
        <v>478</v>
      </c>
      <c r="B140" s="80" t="s">
        <v>2505</v>
      </c>
      <c r="C140" s="89" t="s">
        <v>1133</v>
      </c>
    </row>
    <row r="141" spans="1:3" ht="15">
      <c r="A141" s="81" t="s">
        <v>478</v>
      </c>
      <c r="B141" s="80" t="s">
        <v>2499</v>
      </c>
      <c r="C141" s="89" t="s">
        <v>1133</v>
      </c>
    </row>
    <row r="142" spans="1:3" ht="15">
      <c r="A142" s="81" t="s">
        <v>478</v>
      </c>
      <c r="B142" s="80">
        <v>20</v>
      </c>
      <c r="C142" s="89" t="s">
        <v>1133</v>
      </c>
    </row>
    <row r="143" spans="1:3" ht="15">
      <c r="A143" s="81" t="s">
        <v>478</v>
      </c>
      <c r="B143" s="80" t="s">
        <v>2507</v>
      </c>
      <c r="C143" s="89" t="s">
        <v>1133</v>
      </c>
    </row>
    <row r="144" spans="1:3" ht="15">
      <c r="A144" s="81" t="s">
        <v>478</v>
      </c>
      <c r="B144" s="80" t="s">
        <v>2508</v>
      </c>
      <c r="C144" s="89" t="s">
        <v>1133</v>
      </c>
    </row>
    <row r="145" spans="1:3" ht="15">
      <c r="A145" s="81" t="s">
        <v>478</v>
      </c>
      <c r="B145" s="80" t="s">
        <v>2509</v>
      </c>
      <c r="C145" s="89" t="s">
        <v>1133</v>
      </c>
    </row>
    <row r="146" spans="1:3" ht="15">
      <c r="A146" s="81" t="s">
        <v>478</v>
      </c>
      <c r="B146" s="80" t="s">
        <v>2510</v>
      </c>
      <c r="C146" s="89" t="s">
        <v>1133</v>
      </c>
    </row>
    <row r="147" spans="1:3" ht="15">
      <c r="A147" s="81" t="s">
        <v>478</v>
      </c>
      <c r="B147" s="80" t="s">
        <v>2697</v>
      </c>
      <c r="C147" s="89" t="s">
        <v>1133</v>
      </c>
    </row>
    <row r="148" spans="1:3" ht="15">
      <c r="A148" s="81" t="s">
        <v>478</v>
      </c>
      <c r="B148" s="80" t="s">
        <v>2512</v>
      </c>
      <c r="C148" s="89" t="s">
        <v>1133</v>
      </c>
    </row>
    <row r="149" spans="1:3" ht="15">
      <c r="A149" s="81" t="s">
        <v>478</v>
      </c>
      <c r="B149" s="80" t="s">
        <v>2513</v>
      </c>
      <c r="C149" s="89" t="s">
        <v>1133</v>
      </c>
    </row>
    <row r="150" spans="1:3" ht="15">
      <c r="A150" s="81" t="s">
        <v>478</v>
      </c>
      <c r="B150" s="80">
        <v>26</v>
      </c>
      <c r="C150" s="89" t="s">
        <v>1133</v>
      </c>
    </row>
    <row r="151" spans="1:3" ht="15">
      <c r="A151" s="81" t="s">
        <v>478</v>
      </c>
      <c r="B151" s="80">
        <v>3</v>
      </c>
      <c r="C151" s="89" t="s">
        <v>1133</v>
      </c>
    </row>
    <row r="152" spans="1:3" ht="15">
      <c r="A152" s="81" t="s">
        <v>478</v>
      </c>
      <c r="B152" s="80" t="s">
        <v>2516</v>
      </c>
      <c r="C152" s="89" t="s">
        <v>1133</v>
      </c>
    </row>
    <row r="153" spans="1:3" ht="15">
      <c r="A153" s="81" t="s">
        <v>478</v>
      </c>
      <c r="B153" s="80">
        <v>23</v>
      </c>
      <c r="C153" s="89" t="s">
        <v>1133</v>
      </c>
    </row>
    <row r="154" spans="1:3" ht="15">
      <c r="A154" s="81" t="s">
        <v>478</v>
      </c>
      <c r="B154" s="80">
        <v>59</v>
      </c>
      <c r="C154" s="89" t="s">
        <v>1133</v>
      </c>
    </row>
    <row r="155" spans="1:3" ht="15">
      <c r="A155" s="81" t="s">
        <v>478</v>
      </c>
      <c r="B155" s="80" t="s">
        <v>2698</v>
      </c>
      <c r="C155" s="89" t="s">
        <v>1133</v>
      </c>
    </row>
    <row r="156" spans="1:3" ht="15">
      <c r="A156" s="81" t="s">
        <v>478</v>
      </c>
      <c r="B156" s="80" t="s">
        <v>2699</v>
      </c>
      <c r="C156" s="89" t="s">
        <v>1133</v>
      </c>
    </row>
    <row r="157" spans="1:3" ht="15">
      <c r="A157" s="81" t="s">
        <v>477</v>
      </c>
      <c r="B157" s="80" t="s">
        <v>2712</v>
      </c>
      <c r="C157" s="89" t="s">
        <v>1132</v>
      </c>
    </row>
    <row r="158" spans="1:3" ht="15">
      <c r="A158" s="81" t="s">
        <v>477</v>
      </c>
      <c r="B158" s="80" t="s">
        <v>2713</v>
      </c>
      <c r="C158" s="89" t="s">
        <v>1132</v>
      </c>
    </row>
    <row r="159" spans="1:3" ht="15">
      <c r="A159" s="81" t="s">
        <v>477</v>
      </c>
      <c r="B159" s="80" t="s">
        <v>2714</v>
      </c>
      <c r="C159" s="89" t="s">
        <v>1132</v>
      </c>
    </row>
    <row r="160" spans="1:3" ht="15">
      <c r="A160" s="81" t="s">
        <v>477</v>
      </c>
      <c r="B160" s="80" t="s">
        <v>2715</v>
      </c>
      <c r="C160" s="89" t="s">
        <v>1132</v>
      </c>
    </row>
    <row r="161" spans="1:3" ht="15">
      <c r="A161" s="81" t="s">
        <v>477</v>
      </c>
      <c r="B161" s="80" t="s">
        <v>2691</v>
      </c>
      <c r="C161" s="89" t="s">
        <v>1132</v>
      </c>
    </row>
    <row r="162" spans="1:3" ht="15">
      <c r="A162" s="81" t="s">
        <v>477</v>
      </c>
      <c r="B162" s="80" t="s">
        <v>2716</v>
      </c>
      <c r="C162" s="89" t="s">
        <v>1132</v>
      </c>
    </row>
    <row r="163" spans="1:3" ht="15">
      <c r="A163" s="81" t="s">
        <v>477</v>
      </c>
      <c r="B163" s="80" t="s">
        <v>2717</v>
      </c>
      <c r="C163" s="89" t="s">
        <v>1132</v>
      </c>
    </row>
    <row r="164" spans="1:3" ht="15">
      <c r="A164" s="81" t="s">
        <v>476</v>
      </c>
      <c r="B164" s="80" t="s">
        <v>2690</v>
      </c>
      <c r="C164" s="89" t="s">
        <v>1131</v>
      </c>
    </row>
    <row r="165" spans="1:3" ht="15">
      <c r="A165" s="81" t="s">
        <v>476</v>
      </c>
      <c r="B165" s="80" t="s">
        <v>2500</v>
      </c>
      <c r="C165" s="89" t="s">
        <v>1131</v>
      </c>
    </row>
    <row r="166" spans="1:3" ht="15">
      <c r="A166" s="81" t="s">
        <v>476</v>
      </c>
      <c r="B166" s="80" t="s">
        <v>2691</v>
      </c>
      <c r="C166" s="89" t="s">
        <v>1131</v>
      </c>
    </row>
    <row r="167" spans="1:3" ht="15">
      <c r="A167" s="81" t="s">
        <v>476</v>
      </c>
      <c r="B167" s="80" t="s">
        <v>2692</v>
      </c>
      <c r="C167" s="89" t="s">
        <v>1131</v>
      </c>
    </row>
    <row r="168" spans="1:3" ht="15">
      <c r="A168" s="81" t="s">
        <v>476</v>
      </c>
      <c r="B168" s="80" t="s">
        <v>2498</v>
      </c>
      <c r="C168" s="89" t="s">
        <v>1131</v>
      </c>
    </row>
    <row r="169" spans="1:3" ht="15">
      <c r="A169" s="81" t="s">
        <v>476</v>
      </c>
      <c r="B169" s="80" t="s">
        <v>2477</v>
      </c>
      <c r="C169" s="89" t="s">
        <v>1131</v>
      </c>
    </row>
    <row r="170" spans="1:3" ht="15">
      <c r="A170" s="81" t="s">
        <v>476</v>
      </c>
      <c r="B170" s="80" t="s">
        <v>2501</v>
      </c>
      <c r="C170" s="89" t="s">
        <v>1131</v>
      </c>
    </row>
    <row r="171" spans="1:3" ht="15">
      <c r="A171" s="81" t="s">
        <v>476</v>
      </c>
      <c r="B171" s="80" t="s">
        <v>2693</v>
      </c>
      <c r="C171" s="89" t="s">
        <v>1131</v>
      </c>
    </row>
    <row r="172" spans="1:3" ht="15">
      <c r="A172" s="81" t="s">
        <v>476</v>
      </c>
      <c r="B172" s="80" t="s">
        <v>2478</v>
      </c>
      <c r="C172" s="89" t="s">
        <v>1131</v>
      </c>
    </row>
    <row r="173" spans="1:3" ht="15">
      <c r="A173" s="81" t="s">
        <v>476</v>
      </c>
      <c r="B173" s="80" t="s">
        <v>2476</v>
      </c>
      <c r="C173" s="89" t="s">
        <v>1131</v>
      </c>
    </row>
    <row r="174" spans="1:3" ht="15">
      <c r="A174" s="81" t="s">
        <v>476</v>
      </c>
      <c r="B174" s="80" t="s">
        <v>2502</v>
      </c>
      <c r="C174" s="89" t="s">
        <v>1131</v>
      </c>
    </row>
    <row r="175" spans="1:3" ht="15">
      <c r="A175" s="81" t="s">
        <v>476</v>
      </c>
      <c r="B175" s="80" t="s">
        <v>2694</v>
      </c>
      <c r="C175" s="89" t="s">
        <v>1131</v>
      </c>
    </row>
    <row r="176" spans="1:3" ht="15">
      <c r="A176" s="81" t="s">
        <v>476</v>
      </c>
      <c r="B176" s="80" t="s">
        <v>2695</v>
      </c>
      <c r="C176" s="89" t="s">
        <v>1131</v>
      </c>
    </row>
    <row r="177" spans="1:3" ht="15">
      <c r="A177" s="81" t="s">
        <v>476</v>
      </c>
      <c r="B177" s="80" t="s">
        <v>2696</v>
      </c>
      <c r="C177" s="89" t="s">
        <v>1131</v>
      </c>
    </row>
    <row r="178" spans="1:3" ht="15">
      <c r="A178" s="81" t="s">
        <v>476</v>
      </c>
      <c r="B178" s="80" t="s">
        <v>2504</v>
      </c>
      <c r="C178" s="89" t="s">
        <v>1131</v>
      </c>
    </row>
    <row r="179" spans="1:3" ht="15">
      <c r="A179" s="81" t="s">
        <v>476</v>
      </c>
      <c r="B179" s="80" t="s">
        <v>2505</v>
      </c>
      <c r="C179" s="89" t="s">
        <v>1131</v>
      </c>
    </row>
    <row r="180" spans="1:3" ht="15">
      <c r="A180" s="81" t="s">
        <v>476</v>
      </c>
      <c r="B180" s="80" t="s">
        <v>2499</v>
      </c>
      <c r="C180" s="89" t="s">
        <v>1131</v>
      </c>
    </row>
    <row r="181" spans="1:3" ht="15">
      <c r="A181" s="81" t="s">
        <v>476</v>
      </c>
      <c r="B181" s="80">
        <v>20</v>
      </c>
      <c r="C181" s="89" t="s">
        <v>1131</v>
      </c>
    </row>
    <row r="182" spans="1:3" ht="15">
      <c r="A182" s="81" t="s">
        <v>476</v>
      </c>
      <c r="B182" s="80" t="s">
        <v>2507</v>
      </c>
      <c r="C182" s="89" t="s">
        <v>1131</v>
      </c>
    </row>
    <row r="183" spans="1:3" ht="15">
      <c r="A183" s="81" t="s">
        <v>476</v>
      </c>
      <c r="B183" s="80" t="s">
        <v>2508</v>
      </c>
      <c r="C183" s="89" t="s">
        <v>1131</v>
      </c>
    </row>
    <row r="184" spans="1:3" ht="15">
      <c r="A184" s="81" t="s">
        <v>476</v>
      </c>
      <c r="B184" s="80" t="s">
        <v>2509</v>
      </c>
      <c r="C184" s="89" t="s">
        <v>1131</v>
      </c>
    </row>
    <row r="185" spans="1:3" ht="15">
      <c r="A185" s="81" t="s">
        <v>476</v>
      </c>
      <c r="B185" s="80" t="s">
        <v>2510</v>
      </c>
      <c r="C185" s="89" t="s">
        <v>1131</v>
      </c>
    </row>
    <row r="186" spans="1:3" ht="15">
      <c r="A186" s="81" t="s">
        <v>476</v>
      </c>
      <c r="B186" s="80" t="s">
        <v>2697</v>
      </c>
      <c r="C186" s="89" t="s">
        <v>1131</v>
      </c>
    </row>
    <row r="187" spans="1:3" ht="15">
      <c r="A187" s="81" t="s">
        <v>476</v>
      </c>
      <c r="B187" s="80" t="s">
        <v>2512</v>
      </c>
      <c r="C187" s="89" t="s">
        <v>1131</v>
      </c>
    </row>
    <row r="188" spans="1:3" ht="15">
      <c r="A188" s="81" t="s">
        <v>476</v>
      </c>
      <c r="B188" s="80" t="s">
        <v>2513</v>
      </c>
      <c r="C188" s="89" t="s">
        <v>1131</v>
      </c>
    </row>
    <row r="189" spans="1:3" ht="15">
      <c r="A189" s="81" t="s">
        <v>476</v>
      </c>
      <c r="B189" s="80">
        <v>26</v>
      </c>
      <c r="C189" s="89" t="s">
        <v>1131</v>
      </c>
    </row>
    <row r="190" spans="1:3" ht="15">
      <c r="A190" s="81" t="s">
        <v>476</v>
      </c>
      <c r="B190" s="80">
        <v>3</v>
      </c>
      <c r="C190" s="89" t="s">
        <v>1131</v>
      </c>
    </row>
    <row r="191" spans="1:3" ht="15">
      <c r="A191" s="81" t="s">
        <v>476</v>
      </c>
      <c r="B191" s="80" t="s">
        <v>2516</v>
      </c>
      <c r="C191" s="89" t="s">
        <v>1131</v>
      </c>
    </row>
    <row r="192" spans="1:3" ht="15">
      <c r="A192" s="81" t="s">
        <v>476</v>
      </c>
      <c r="B192" s="80">
        <v>23</v>
      </c>
      <c r="C192" s="89" t="s">
        <v>1131</v>
      </c>
    </row>
    <row r="193" spans="1:3" ht="15">
      <c r="A193" s="81" t="s">
        <v>476</v>
      </c>
      <c r="B193" s="80">
        <v>59</v>
      </c>
      <c r="C193" s="89" t="s">
        <v>1131</v>
      </c>
    </row>
    <row r="194" spans="1:3" ht="15">
      <c r="A194" s="81" t="s">
        <v>476</v>
      </c>
      <c r="B194" s="80" t="s">
        <v>2698</v>
      </c>
      <c r="C194" s="89" t="s">
        <v>1131</v>
      </c>
    </row>
    <row r="195" spans="1:3" ht="15">
      <c r="A195" s="81" t="s">
        <v>476</v>
      </c>
      <c r="B195" s="80" t="s">
        <v>2699</v>
      </c>
      <c r="C195" s="89" t="s">
        <v>1131</v>
      </c>
    </row>
    <row r="196" spans="1:3" ht="15">
      <c r="A196" s="81" t="s">
        <v>475</v>
      </c>
      <c r="B196" s="80" t="s">
        <v>2718</v>
      </c>
      <c r="C196" s="89" t="s">
        <v>1130</v>
      </c>
    </row>
    <row r="197" spans="1:3" ht="15">
      <c r="A197" s="81" t="s">
        <v>475</v>
      </c>
      <c r="B197" s="80" t="s">
        <v>2564</v>
      </c>
      <c r="C197" s="89" t="s">
        <v>1130</v>
      </c>
    </row>
    <row r="198" spans="1:3" ht="15">
      <c r="A198" s="81" t="s">
        <v>475</v>
      </c>
      <c r="B198" s="80" t="s">
        <v>2719</v>
      </c>
      <c r="C198" s="89" t="s">
        <v>1130</v>
      </c>
    </row>
    <row r="199" spans="1:3" ht="15">
      <c r="A199" s="81" t="s">
        <v>475</v>
      </c>
      <c r="B199" s="80" t="s">
        <v>2720</v>
      </c>
      <c r="C199" s="89" t="s">
        <v>1130</v>
      </c>
    </row>
    <row r="200" spans="1:3" ht="15">
      <c r="A200" s="81" t="s">
        <v>475</v>
      </c>
      <c r="B200" s="80" t="s">
        <v>2721</v>
      </c>
      <c r="C200" s="89" t="s">
        <v>1130</v>
      </c>
    </row>
    <row r="201" spans="1:3" ht="15">
      <c r="A201" s="81" t="s">
        <v>475</v>
      </c>
      <c r="B201" s="80" t="s">
        <v>2722</v>
      </c>
      <c r="C201" s="89" t="s">
        <v>1130</v>
      </c>
    </row>
    <row r="202" spans="1:3" ht="15">
      <c r="A202" s="81" t="s">
        <v>475</v>
      </c>
      <c r="B202" s="80" t="s">
        <v>2703</v>
      </c>
      <c r="C202" s="89" t="s">
        <v>1130</v>
      </c>
    </row>
    <row r="203" spans="1:3" ht="15">
      <c r="A203" s="81" t="s">
        <v>475</v>
      </c>
      <c r="B203" s="80" t="s">
        <v>2723</v>
      </c>
      <c r="C203" s="89" t="s">
        <v>1130</v>
      </c>
    </row>
    <row r="204" spans="1:3" ht="15">
      <c r="A204" s="81" t="s">
        <v>475</v>
      </c>
      <c r="B204" s="80" t="s">
        <v>2565</v>
      </c>
      <c r="C204" s="89" t="s">
        <v>1130</v>
      </c>
    </row>
    <row r="205" spans="1:3" ht="15">
      <c r="A205" s="81" t="s">
        <v>475</v>
      </c>
      <c r="B205" s="80" t="s">
        <v>2724</v>
      </c>
      <c r="C205" s="89" t="s">
        <v>1130</v>
      </c>
    </row>
    <row r="206" spans="1:3" ht="15">
      <c r="A206" s="81" t="s">
        <v>475</v>
      </c>
      <c r="B206" s="80" t="s">
        <v>2725</v>
      </c>
      <c r="C206" s="89" t="s">
        <v>1130</v>
      </c>
    </row>
    <row r="207" spans="1:3" ht="15">
      <c r="A207" s="81" t="s">
        <v>475</v>
      </c>
      <c r="B207" s="80" t="s">
        <v>2699</v>
      </c>
      <c r="C207" s="89" t="s">
        <v>1130</v>
      </c>
    </row>
    <row r="208" spans="1:3" ht="15">
      <c r="A208" s="81" t="s">
        <v>475</v>
      </c>
      <c r="B208" s="80" t="s">
        <v>2577</v>
      </c>
      <c r="C208" s="89" t="s">
        <v>1130</v>
      </c>
    </row>
    <row r="209" spans="1:3" ht="15">
      <c r="A209" s="81" t="s">
        <v>475</v>
      </c>
      <c r="B209" s="80" t="s">
        <v>2726</v>
      </c>
      <c r="C209" s="89" t="s">
        <v>1130</v>
      </c>
    </row>
    <row r="210" spans="1:3" ht="15">
      <c r="A210" s="81" t="s">
        <v>474</v>
      </c>
      <c r="B210" s="80" t="s">
        <v>2690</v>
      </c>
      <c r="C210" s="89" t="s">
        <v>1129</v>
      </c>
    </row>
    <row r="211" spans="1:3" ht="15">
      <c r="A211" s="81" t="s">
        <v>474</v>
      </c>
      <c r="B211" s="80" t="s">
        <v>2500</v>
      </c>
      <c r="C211" s="89" t="s">
        <v>1129</v>
      </c>
    </row>
    <row r="212" spans="1:3" ht="15">
      <c r="A212" s="81" t="s">
        <v>474</v>
      </c>
      <c r="B212" s="80" t="s">
        <v>2691</v>
      </c>
      <c r="C212" s="89" t="s">
        <v>1129</v>
      </c>
    </row>
    <row r="213" spans="1:3" ht="15">
      <c r="A213" s="81" t="s">
        <v>474</v>
      </c>
      <c r="B213" s="80" t="s">
        <v>2692</v>
      </c>
      <c r="C213" s="89" t="s">
        <v>1129</v>
      </c>
    </row>
    <row r="214" spans="1:3" ht="15">
      <c r="A214" s="81" t="s">
        <v>474</v>
      </c>
      <c r="B214" s="80" t="s">
        <v>2498</v>
      </c>
      <c r="C214" s="89" t="s">
        <v>1129</v>
      </c>
    </row>
    <row r="215" spans="1:3" ht="15">
      <c r="A215" s="81" t="s">
        <v>474</v>
      </c>
      <c r="B215" s="80" t="s">
        <v>2477</v>
      </c>
      <c r="C215" s="89" t="s">
        <v>1129</v>
      </c>
    </row>
    <row r="216" spans="1:3" ht="15">
      <c r="A216" s="81" t="s">
        <v>474</v>
      </c>
      <c r="B216" s="80" t="s">
        <v>2501</v>
      </c>
      <c r="C216" s="89" t="s">
        <v>1129</v>
      </c>
    </row>
    <row r="217" spans="1:3" ht="15">
      <c r="A217" s="81" t="s">
        <v>474</v>
      </c>
      <c r="B217" s="80" t="s">
        <v>2693</v>
      </c>
      <c r="C217" s="89" t="s">
        <v>1129</v>
      </c>
    </row>
    <row r="218" spans="1:3" ht="15">
      <c r="A218" s="81" t="s">
        <v>474</v>
      </c>
      <c r="B218" s="80" t="s">
        <v>2478</v>
      </c>
      <c r="C218" s="89" t="s">
        <v>1129</v>
      </c>
    </row>
    <row r="219" spans="1:3" ht="15">
      <c r="A219" s="81" t="s">
        <v>474</v>
      </c>
      <c r="B219" s="80" t="s">
        <v>2476</v>
      </c>
      <c r="C219" s="89" t="s">
        <v>1129</v>
      </c>
    </row>
    <row r="220" spans="1:3" ht="15">
      <c r="A220" s="81" t="s">
        <v>474</v>
      </c>
      <c r="B220" s="80" t="s">
        <v>2502</v>
      </c>
      <c r="C220" s="89" t="s">
        <v>1129</v>
      </c>
    </row>
    <row r="221" spans="1:3" ht="15">
      <c r="A221" s="81" t="s">
        <v>474</v>
      </c>
      <c r="B221" s="80" t="s">
        <v>2694</v>
      </c>
      <c r="C221" s="89" t="s">
        <v>1129</v>
      </c>
    </row>
    <row r="222" spans="1:3" ht="15">
      <c r="A222" s="81" t="s">
        <v>474</v>
      </c>
      <c r="B222" s="80" t="s">
        <v>2695</v>
      </c>
      <c r="C222" s="89" t="s">
        <v>1129</v>
      </c>
    </row>
    <row r="223" spans="1:3" ht="15">
      <c r="A223" s="81" t="s">
        <v>474</v>
      </c>
      <c r="B223" s="80" t="s">
        <v>2696</v>
      </c>
      <c r="C223" s="89" t="s">
        <v>1129</v>
      </c>
    </row>
    <row r="224" spans="1:3" ht="15">
      <c r="A224" s="81" t="s">
        <v>474</v>
      </c>
      <c r="B224" s="80" t="s">
        <v>2504</v>
      </c>
      <c r="C224" s="89" t="s">
        <v>1129</v>
      </c>
    </row>
    <row r="225" spans="1:3" ht="15">
      <c r="A225" s="81" t="s">
        <v>474</v>
      </c>
      <c r="B225" s="80" t="s">
        <v>2505</v>
      </c>
      <c r="C225" s="89" t="s">
        <v>1129</v>
      </c>
    </row>
    <row r="226" spans="1:3" ht="15">
      <c r="A226" s="81" t="s">
        <v>474</v>
      </c>
      <c r="B226" s="80" t="s">
        <v>2499</v>
      </c>
      <c r="C226" s="89" t="s">
        <v>1129</v>
      </c>
    </row>
    <row r="227" spans="1:3" ht="15">
      <c r="A227" s="81" t="s">
        <v>474</v>
      </c>
      <c r="B227" s="80">
        <v>20</v>
      </c>
      <c r="C227" s="89" t="s">
        <v>1129</v>
      </c>
    </row>
    <row r="228" spans="1:3" ht="15">
      <c r="A228" s="81" t="s">
        <v>474</v>
      </c>
      <c r="B228" s="80" t="s">
        <v>2507</v>
      </c>
      <c r="C228" s="89" t="s">
        <v>1129</v>
      </c>
    </row>
    <row r="229" spans="1:3" ht="15">
      <c r="A229" s="81" t="s">
        <v>474</v>
      </c>
      <c r="B229" s="80" t="s">
        <v>2508</v>
      </c>
      <c r="C229" s="89" t="s">
        <v>1129</v>
      </c>
    </row>
    <row r="230" spans="1:3" ht="15">
      <c r="A230" s="81" t="s">
        <v>474</v>
      </c>
      <c r="B230" s="80" t="s">
        <v>2509</v>
      </c>
      <c r="C230" s="89" t="s">
        <v>1129</v>
      </c>
    </row>
    <row r="231" spans="1:3" ht="15">
      <c r="A231" s="81" t="s">
        <v>474</v>
      </c>
      <c r="B231" s="80" t="s">
        <v>2510</v>
      </c>
      <c r="C231" s="89" t="s">
        <v>1129</v>
      </c>
    </row>
    <row r="232" spans="1:3" ht="15">
      <c r="A232" s="81" t="s">
        <v>474</v>
      </c>
      <c r="B232" s="80" t="s">
        <v>2697</v>
      </c>
      <c r="C232" s="89" t="s">
        <v>1129</v>
      </c>
    </row>
    <row r="233" spans="1:3" ht="15">
      <c r="A233" s="81" t="s">
        <v>474</v>
      </c>
      <c r="B233" s="80" t="s">
        <v>2512</v>
      </c>
      <c r="C233" s="89" t="s">
        <v>1129</v>
      </c>
    </row>
    <row r="234" spans="1:3" ht="15">
      <c r="A234" s="81" t="s">
        <v>474</v>
      </c>
      <c r="B234" s="80" t="s">
        <v>2513</v>
      </c>
      <c r="C234" s="89" t="s">
        <v>1129</v>
      </c>
    </row>
    <row r="235" spans="1:3" ht="15">
      <c r="A235" s="81" t="s">
        <v>474</v>
      </c>
      <c r="B235" s="80">
        <v>26</v>
      </c>
      <c r="C235" s="89" t="s">
        <v>1129</v>
      </c>
    </row>
    <row r="236" spans="1:3" ht="15">
      <c r="A236" s="81" t="s">
        <v>474</v>
      </c>
      <c r="B236" s="80">
        <v>3</v>
      </c>
      <c r="C236" s="89" t="s">
        <v>1129</v>
      </c>
    </row>
    <row r="237" spans="1:3" ht="15">
      <c r="A237" s="81" t="s">
        <v>474</v>
      </c>
      <c r="B237" s="80" t="s">
        <v>2516</v>
      </c>
      <c r="C237" s="89" t="s">
        <v>1129</v>
      </c>
    </row>
    <row r="238" spans="1:3" ht="15">
      <c r="A238" s="81" t="s">
        <v>474</v>
      </c>
      <c r="B238" s="80">
        <v>23</v>
      </c>
      <c r="C238" s="89" t="s">
        <v>1129</v>
      </c>
    </row>
    <row r="239" spans="1:3" ht="15">
      <c r="A239" s="81" t="s">
        <v>474</v>
      </c>
      <c r="B239" s="80">
        <v>59</v>
      </c>
      <c r="C239" s="89" t="s">
        <v>1129</v>
      </c>
    </row>
    <row r="240" spans="1:3" ht="15">
      <c r="A240" s="81" t="s">
        <v>474</v>
      </c>
      <c r="B240" s="80" t="s">
        <v>2698</v>
      </c>
      <c r="C240" s="89" t="s">
        <v>1129</v>
      </c>
    </row>
    <row r="241" spans="1:3" ht="15">
      <c r="A241" s="81" t="s">
        <v>474</v>
      </c>
      <c r="B241" s="80" t="s">
        <v>2699</v>
      </c>
      <c r="C241" s="89" t="s">
        <v>1129</v>
      </c>
    </row>
    <row r="242" spans="1:3" ht="15">
      <c r="A242" s="81" t="s">
        <v>473</v>
      </c>
      <c r="B242" s="80" t="s">
        <v>2690</v>
      </c>
      <c r="C242" s="89" t="s">
        <v>1128</v>
      </c>
    </row>
    <row r="243" spans="1:3" ht="15">
      <c r="A243" s="81" t="s">
        <v>473</v>
      </c>
      <c r="B243" s="80" t="s">
        <v>2500</v>
      </c>
      <c r="C243" s="89" t="s">
        <v>1128</v>
      </c>
    </row>
    <row r="244" spans="1:3" ht="15">
      <c r="A244" s="81" t="s">
        <v>473</v>
      </c>
      <c r="B244" s="80" t="s">
        <v>2691</v>
      </c>
      <c r="C244" s="89" t="s">
        <v>1128</v>
      </c>
    </row>
    <row r="245" spans="1:3" ht="15">
      <c r="A245" s="81" t="s">
        <v>473</v>
      </c>
      <c r="B245" s="80" t="s">
        <v>2692</v>
      </c>
      <c r="C245" s="89" t="s">
        <v>1128</v>
      </c>
    </row>
    <row r="246" spans="1:3" ht="15">
      <c r="A246" s="81" t="s">
        <v>473</v>
      </c>
      <c r="B246" s="80" t="s">
        <v>2498</v>
      </c>
      <c r="C246" s="89" t="s">
        <v>1128</v>
      </c>
    </row>
    <row r="247" spans="1:3" ht="15">
      <c r="A247" s="81" t="s">
        <v>473</v>
      </c>
      <c r="B247" s="80" t="s">
        <v>2477</v>
      </c>
      <c r="C247" s="89" t="s">
        <v>1128</v>
      </c>
    </row>
    <row r="248" spans="1:3" ht="15">
      <c r="A248" s="81" t="s">
        <v>473</v>
      </c>
      <c r="B248" s="80" t="s">
        <v>2501</v>
      </c>
      <c r="C248" s="89" t="s">
        <v>1128</v>
      </c>
    </row>
    <row r="249" spans="1:3" ht="15">
      <c r="A249" s="81" t="s">
        <v>473</v>
      </c>
      <c r="B249" s="80" t="s">
        <v>2693</v>
      </c>
      <c r="C249" s="89" t="s">
        <v>1128</v>
      </c>
    </row>
    <row r="250" spans="1:3" ht="15">
      <c r="A250" s="81" t="s">
        <v>473</v>
      </c>
      <c r="B250" s="80" t="s">
        <v>2478</v>
      </c>
      <c r="C250" s="89" t="s">
        <v>1128</v>
      </c>
    </row>
    <row r="251" spans="1:3" ht="15">
      <c r="A251" s="81" t="s">
        <v>473</v>
      </c>
      <c r="B251" s="80" t="s">
        <v>2476</v>
      </c>
      <c r="C251" s="89" t="s">
        <v>1128</v>
      </c>
    </row>
    <row r="252" spans="1:3" ht="15">
      <c r="A252" s="81" t="s">
        <v>473</v>
      </c>
      <c r="B252" s="80" t="s">
        <v>2502</v>
      </c>
      <c r="C252" s="89" t="s">
        <v>1128</v>
      </c>
    </row>
    <row r="253" spans="1:3" ht="15">
      <c r="A253" s="81" t="s">
        <v>473</v>
      </c>
      <c r="B253" s="80" t="s">
        <v>2694</v>
      </c>
      <c r="C253" s="89" t="s">
        <v>1128</v>
      </c>
    </row>
    <row r="254" spans="1:3" ht="15">
      <c r="A254" s="81" t="s">
        <v>473</v>
      </c>
      <c r="B254" s="80" t="s">
        <v>2695</v>
      </c>
      <c r="C254" s="89" t="s">
        <v>1128</v>
      </c>
    </row>
    <row r="255" spans="1:3" ht="15">
      <c r="A255" s="81" t="s">
        <v>473</v>
      </c>
      <c r="B255" s="80" t="s">
        <v>2696</v>
      </c>
      <c r="C255" s="89" t="s">
        <v>1128</v>
      </c>
    </row>
    <row r="256" spans="1:3" ht="15">
      <c r="A256" s="81" t="s">
        <v>473</v>
      </c>
      <c r="B256" s="80" t="s">
        <v>2504</v>
      </c>
      <c r="C256" s="89" t="s">
        <v>1128</v>
      </c>
    </row>
    <row r="257" spans="1:3" ht="15">
      <c r="A257" s="81" t="s">
        <v>473</v>
      </c>
      <c r="B257" s="80" t="s">
        <v>2505</v>
      </c>
      <c r="C257" s="89" t="s">
        <v>1128</v>
      </c>
    </row>
    <row r="258" spans="1:3" ht="15">
      <c r="A258" s="81" t="s">
        <v>473</v>
      </c>
      <c r="B258" s="80" t="s">
        <v>2499</v>
      </c>
      <c r="C258" s="89" t="s">
        <v>1128</v>
      </c>
    </row>
    <row r="259" spans="1:3" ht="15">
      <c r="A259" s="81" t="s">
        <v>473</v>
      </c>
      <c r="B259" s="80">
        <v>20</v>
      </c>
      <c r="C259" s="89" t="s">
        <v>1128</v>
      </c>
    </row>
    <row r="260" spans="1:3" ht="15">
      <c r="A260" s="81" t="s">
        <v>473</v>
      </c>
      <c r="B260" s="80" t="s">
        <v>2507</v>
      </c>
      <c r="C260" s="89" t="s">
        <v>1128</v>
      </c>
    </row>
    <row r="261" spans="1:3" ht="15">
      <c r="A261" s="81" t="s">
        <v>473</v>
      </c>
      <c r="B261" s="80" t="s">
        <v>2508</v>
      </c>
      <c r="C261" s="89" t="s">
        <v>1128</v>
      </c>
    </row>
    <row r="262" spans="1:3" ht="15">
      <c r="A262" s="81" t="s">
        <v>473</v>
      </c>
      <c r="B262" s="80" t="s">
        <v>2509</v>
      </c>
      <c r="C262" s="89" t="s">
        <v>1128</v>
      </c>
    </row>
    <row r="263" spans="1:3" ht="15">
      <c r="A263" s="81" t="s">
        <v>473</v>
      </c>
      <c r="B263" s="80" t="s">
        <v>2510</v>
      </c>
      <c r="C263" s="89" t="s">
        <v>1128</v>
      </c>
    </row>
    <row r="264" spans="1:3" ht="15">
      <c r="A264" s="81" t="s">
        <v>473</v>
      </c>
      <c r="B264" s="80" t="s">
        <v>2697</v>
      </c>
      <c r="C264" s="89" t="s">
        <v>1128</v>
      </c>
    </row>
    <row r="265" spans="1:3" ht="15">
      <c r="A265" s="81" t="s">
        <v>473</v>
      </c>
      <c r="B265" s="80" t="s">
        <v>2512</v>
      </c>
      <c r="C265" s="89" t="s">
        <v>1128</v>
      </c>
    </row>
    <row r="266" spans="1:3" ht="15">
      <c r="A266" s="81" t="s">
        <v>473</v>
      </c>
      <c r="B266" s="80" t="s">
        <v>2513</v>
      </c>
      <c r="C266" s="89" t="s">
        <v>1128</v>
      </c>
    </row>
    <row r="267" spans="1:3" ht="15">
      <c r="A267" s="81" t="s">
        <v>473</v>
      </c>
      <c r="B267" s="80">
        <v>26</v>
      </c>
      <c r="C267" s="89" t="s">
        <v>1128</v>
      </c>
    </row>
    <row r="268" spans="1:3" ht="15">
      <c r="A268" s="81" t="s">
        <v>473</v>
      </c>
      <c r="B268" s="80">
        <v>3</v>
      </c>
      <c r="C268" s="89" t="s">
        <v>1128</v>
      </c>
    </row>
    <row r="269" spans="1:3" ht="15">
      <c r="A269" s="81" t="s">
        <v>473</v>
      </c>
      <c r="B269" s="80" t="s">
        <v>2516</v>
      </c>
      <c r="C269" s="89" t="s">
        <v>1128</v>
      </c>
    </row>
    <row r="270" spans="1:3" ht="15">
      <c r="A270" s="81" t="s">
        <v>473</v>
      </c>
      <c r="B270" s="80">
        <v>23</v>
      </c>
      <c r="C270" s="89" t="s">
        <v>1128</v>
      </c>
    </row>
    <row r="271" spans="1:3" ht="15">
      <c r="A271" s="81" t="s">
        <v>473</v>
      </c>
      <c r="B271" s="80">
        <v>59</v>
      </c>
      <c r="C271" s="89" t="s">
        <v>1128</v>
      </c>
    </row>
    <row r="272" spans="1:3" ht="15">
      <c r="A272" s="81" t="s">
        <v>473</v>
      </c>
      <c r="B272" s="80" t="s">
        <v>2698</v>
      </c>
      <c r="C272" s="89" t="s">
        <v>1128</v>
      </c>
    </row>
    <row r="273" spans="1:3" ht="15">
      <c r="A273" s="81" t="s">
        <v>473</v>
      </c>
      <c r="B273" s="80" t="s">
        <v>2699</v>
      </c>
      <c r="C273" s="89" t="s">
        <v>1128</v>
      </c>
    </row>
    <row r="274" spans="1:3" ht="15">
      <c r="A274" s="81" t="s">
        <v>472</v>
      </c>
      <c r="B274" s="80" t="s">
        <v>2690</v>
      </c>
      <c r="C274" s="89" t="s">
        <v>1127</v>
      </c>
    </row>
    <row r="275" spans="1:3" ht="15">
      <c r="A275" s="81" t="s">
        <v>472</v>
      </c>
      <c r="B275" s="80" t="s">
        <v>2500</v>
      </c>
      <c r="C275" s="89" t="s">
        <v>1127</v>
      </c>
    </row>
    <row r="276" spans="1:3" ht="15">
      <c r="A276" s="81" t="s">
        <v>472</v>
      </c>
      <c r="B276" s="80" t="s">
        <v>2691</v>
      </c>
      <c r="C276" s="89" t="s">
        <v>1127</v>
      </c>
    </row>
    <row r="277" spans="1:3" ht="15">
      <c r="A277" s="81" t="s">
        <v>472</v>
      </c>
      <c r="B277" s="80" t="s">
        <v>2692</v>
      </c>
      <c r="C277" s="89" t="s">
        <v>1127</v>
      </c>
    </row>
    <row r="278" spans="1:3" ht="15">
      <c r="A278" s="81" t="s">
        <v>472</v>
      </c>
      <c r="B278" s="80" t="s">
        <v>2498</v>
      </c>
      <c r="C278" s="89" t="s">
        <v>1127</v>
      </c>
    </row>
    <row r="279" spans="1:3" ht="15">
      <c r="A279" s="81" t="s">
        <v>472</v>
      </c>
      <c r="B279" s="80" t="s">
        <v>2477</v>
      </c>
      <c r="C279" s="89" t="s">
        <v>1127</v>
      </c>
    </row>
    <row r="280" spans="1:3" ht="15">
      <c r="A280" s="81" t="s">
        <v>472</v>
      </c>
      <c r="B280" s="80" t="s">
        <v>2501</v>
      </c>
      <c r="C280" s="89" t="s">
        <v>1127</v>
      </c>
    </row>
    <row r="281" spans="1:3" ht="15">
      <c r="A281" s="81" t="s">
        <v>472</v>
      </c>
      <c r="B281" s="80" t="s">
        <v>2693</v>
      </c>
      <c r="C281" s="89" t="s">
        <v>1127</v>
      </c>
    </row>
    <row r="282" spans="1:3" ht="15">
      <c r="A282" s="81" t="s">
        <v>472</v>
      </c>
      <c r="B282" s="80" t="s">
        <v>2478</v>
      </c>
      <c r="C282" s="89" t="s">
        <v>1127</v>
      </c>
    </row>
    <row r="283" spans="1:3" ht="15">
      <c r="A283" s="81" t="s">
        <v>472</v>
      </c>
      <c r="B283" s="80" t="s">
        <v>2476</v>
      </c>
      <c r="C283" s="89" t="s">
        <v>1127</v>
      </c>
    </row>
    <row r="284" spans="1:3" ht="15">
      <c r="A284" s="81" t="s">
        <v>472</v>
      </c>
      <c r="B284" s="80" t="s">
        <v>2502</v>
      </c>
      <c r="C284" s="89" t="s">
        <v>1127</v>
      </c>
    </row>
    <row r="285" spans="1:3" ht="15">
      <c r="A285" s="81" t="s">
        <v>472</v>
      </c>
      <c r="B285" s="80" t="s">
        <v>2694</v>
      </c>
      <c r="C285" s="89" t="s">
        <v>1127</v>
      </c>
    </row>
    <row r="286" spans="1:3" ht="15">
      <c r="A286" s="81" t="s">
        <v>472</v>
      </c>
      <c r="B286" s="80" t="s">
        <v>2695</v>
      </c>
      <c r="C286" s="89" t="s">
        <v>1127</v>
      </c>
    </row>
    <row r="287" spans="1:3" ht="15">
      <c r="A287" s="81" t="s">
        <v>472</v>
      </c>
      <c r="B287" s="80" t="s">
        <v>2696</v>
      </c>
      <c r="C287" s="89" t="s">
        <v>1127</v>
      </c>
    </row>
    <row r="288" spans="1:3" ht="15">
      <c r="A288" s="81" t="s">
        <v>472</v>
      </c>
      <c r="B288" s="80" t="s">
        <v>2504</v>
      </c>
      <c r="C288" s="89" t="s">
        <v>1127</v>
      </c>
    </row>
    <row r="289" spans="1:3" ht="15">
      <c r="A289" s="81" t="s">
        <v>472</v>
      </c>
      <c r="B289" s="80" t="s">
        <v>2505</v>
      </c>
      <c r="C289" s="89" t="s">
        <v>1127</v>
      </c>
    </row>
    <row r="290" spans="1:3" ht="15">
      <c r="A290" s="81" t="s">
        <v>472</v>
      </c>
      <c r="B290" s="80" t="s">
        <v>2499</v>
      </c>
      <c r="C290" s="89" t="s">
        <v>1127</v>
      </c>
    </row>
    <row r="291" spans="1:3" ht="15">
      <c r="A291" s="81" t="s">
        <v>472</v>
      </c>
      <c r="B291" s="80">
        <v>20</v>
      </c>
      <c r="C291" s="89" t="s">
        <v>1127</v>
      </c>
    </row>
    <row r="292" spans="1:3" ht="15">
      <c r="A292" s="81" t="s">
        <v>472</v>
      </c>
      <c r="B292" s="80" t="s">
        <v>2507</v>
      </c>
      <c r="C292" s="89" t="s">
        <v>1127</v>
      </c>
    </row>
    <row r="293" spans="1:3" ht="15">
      <c r="A293" s="81" t="s">
        <v>472</v>
      </c>
      <c r="B293" s="80" t="s">
        <v>2508</v>
      </c>
      <c r="C293" s="89" t="s">
        <v>1127</v>
      </c>
    </row>
    <row r="294" spans="1:3" ht="15">
      <c r="A294" s="81" t="s">
        <v>472</v>
      </c>
      <c r="B294" s="80" t="s">
        <v>2509</v>
      </c>
      <c r="C294" s="89" t="s">
        <v>1127</v>
      </c>
    </row>
    <row r="295" spans="1:3" ht="15">
      <c r="A295" s="81" t="s">
        <v>472</v>
      </c>
      <c r="B295" s="80" t="s">
        <v>2510</v>
      </c>
      <c r="C295" s="89" t="s">
        <v>1127</v>
      </c>
    </row>
    <row r="296" spans="1:3" ht="15">
      <c r="A296" s="81" t="s">
        <v>472</v>
      </c>
      <c r="B296" s="80" t="s">
        <v>2697</v>
      </c>
      <c r="C296" s="89" t="s">
        <v>1127</v>
      </c>
    </row>
    <row r="297" spans="1:3" ht="15">
      <c r="A297" s="81" t="s">
        <v>472</v>
      </c>
      <c r="B297" s="80" t="s">
        <v>2512</v>
      </c>
      <c r="C297" s="89" t="s">
        <v>1127</v>
      </c>
    </row>
    <row r="298" spans="1:3" ht="15">
      <c r="A298" s="81" t="s">
        <v>472</v>
      </c>
      <c r="B298" s="80" t="s">
        <v>2513</v>
      </c>
      <c r="C298" s="89" t="s">
        <v>1127</v>
      </c>
    </row>
    <row r="299" spans="1:3" ht="15">
      <c r="A299" s="81" t="s">
        <v>472</v>
      </c>
      <c r="B299" s="80">
        <v>26</v>
      </c>
      <c r="C299" s="89" t="s">
        <v>1127</v>
      </c>
    </row>
    <row r="300" spans="1:3" ht="15">
      <c r="A300" s="81" t="s">
        <v>472</v>
      </c>
      <c r="B300" s="80">
        <v>3</v>
      </c>
      <c r="C300" s="89" t="s">
        <v>1127</v>
      </c>
    </row>
    <row r="301" spans="1:3" ht="15">
      <c r="A301" s="81" t="s">
        <v>472</v>
      </c>
      <c r="B301" s="80" t="s">
        <v>2516</v>
      </c>
      <c r="C301" s="89" t="s">
        <v>1127</v>
      </c>
    </row>
    <row r="302" spans="1:3" ht="15">
      <c r="A302" s="81" t="s">
        <v>472</v>
      </c>
      <c r="B302" s="80">
        <v>23</v>
      </c>
      <c r="C302" s="89" t="s">
        <v>1127</v>
      </c>
    </row>
    <row r="303" spans="1:3" ht="15">
      <c r="A303" s="81" t="s">
        <v>472</v>
      </c>
      <c r="B303" s="80">
        <v>59</v>
      </c>
      <c r="C303" s="89" t="s">
        <v>1127</v>
      </c>
    </row>
    <row r="304" spans="1:3" ht="15">
      <c r="A304" s="81" t="s">
        <v>472</v>
      </c>
      <c r="B304" s="80" t="s">
        <v>2698</v>
      </c>
      <c r="C304" s="89" t="s">
        <v>1127</v>
      </c>
    </row>
    <row r="305" spans="1:3" ht="15">
      <c r="A305" s="81" t="s">
        <v>472</v>
      </c>
      <c r="B305" s="80" t="s">
        <v>2699</v>
      </c>
      <c r="C305" s="89" t="s">
        <v>1127</v>
      </c>
    </row>
    <row r="306" spans="1:3" ht="15">
      <c r="A306" s="81" t="s">
        <v>471</v>
      </c>
      <c r="B306" s="80" t="s">
        <v>2690</v>
      </c>
      <c r="C306" s="89" t="s">
        <v>1126</v>
      </c>
    </row>
    <row r="307" spans="1:3" ht="15">
      <c r="A307" s="81" t="s">
        <v>471</v>
      </c>
      <c r="B307" s="80" t="s">
        <v>2500</v>
      </c>
      <c r="C307" s="89" t="s">
        <v>1126</v>
      </c>
    </row>
    <row r="308" spans="1:3" ht="15">
      <c r="A308" s="81" t="s">
        <v>471</v>
      </c>
      <c r="B308" s="80" t="s">
        <v>2691</v>
      </c>
      <c r="C308" s="89" t="s">
        <v>1126</v>
      </c>
    </row>
    <row r="309" spans="1:3" ht="15">
      <c r="A309" s="81" t="s">
        <v>471</v>
      </c>
      <c r="B309" s="80" t="s">
        <v>2692</v>
      </c>
      <c r="C309" s="89" t="s">
        <v>1126</v>
      </c>
    </row>
    <row r="310" spans="1:3" ht="15">
      <c r="A310" s="81" t="s">
        <v>471</v>
      </c>
      <c r="B310" s="80" t="s">
        <v>2498</v>
      </c>
      <c r="C310" s="89" t="s">
        <v>1126</v>
      </c>
    </row>
    <row r="311" spans="1:3" ht="15">
      <c r="A311" s="81" t="s">
        <v>471</v>
      </c>
      <c r="B311" s="80" t="s">
        <v>2477</v>
      </c>
      <c r="C311" s="89" t="s">
        <v>1126</v>
      </c>
    </row>
    <row r="312" spans="1:3" ht="15">
      <c r="A312" s="81" t="s">
        <v>471</v>
      </c>
      <c r="B312" s="80" t="s">
        <v>2501</v>
      </c>
      <c r="C312" s="89" t="s">
        <v>1126</v>
      </c>
    </row>
    <row r="313" spans="1:3" ht="15">
      <c r="A313" s="81" t="s">
        <v>471</v>
      </c>
      <c r="B313" s="80" t="s">
        <v>2693</v>
      </c>
      <c r="C313" s="89" t="s">
        <v>1126</v>
      </c>
    </row>
    <row r="314" spans="1:3" ht="15">
      <c r="A314" s="81" t="s">
        <v>471</v>
      </c>
      <c r="B314" s="80" t="s">
        <v>2478</v>
      </c>
      <c r="C314" s="89" t="s">
        <v>1126</v>
      </c>
    </row>
    <row r="315" spans="1:3" ht="15">
      <c r="A315" s="81" t="s">
        <v>471</v>
      </c>
      <c r="B315" s="80" t="s">
        <v>2476</v>
      </c>
      <c r="C315" s="89" t="s">
        <v>1126</v>
      </c>
    </row>
    <row r="316" spans="1:3" ht="15">
      <c r="A316" s="81" t="s">
        <v>471</v>
      </c>
      <c r="B316" s="80" t="s">
        <v>2502</v>
      </c>
      <c r="C316" s="89" t="s">
        <v>1126</v>
      </c>
    </row>
    <row r="317" spans="1:3" ht="15">
      <c r="A317" s="81" t="s">
        <v>471</v>
      </c>
      <c r="B317" s="80" t="s">
        <v>2694</v>
      </c>
      <c r="C317" s="89" t="s">
        <v>1126</v>
      </c>
    </row>
    <row r="318" spans="1:3" ht="15">
      <c r="A318" s="81" t="s">
        <v>471</v>
      </c>
      <c r="B318" s="80" t="s">
        <v>2695</v>
      </c>
      <c r="C318" s="89" t="s">
        <v>1126</v>
      </c>
    </row>
    <row r="319" spans="1:3" ht="15">
      <c r="A319" s="81" t="s">
        <v>471</v>
      </c>
      <c r="B319" s="80" t="s">
        <v>2696</v>
      </c>
      <c r="C319" s="89" t="s">
        <v>1126</v>
      </c>
    </row>
    <row r="320" spans="1:3" ht="15">
      <c r="A320" s="81" t="s">
        <v>471</v>
      </c>
      <c r="B320" s="80" t="s">
        <v>2504</v>
      </c>
      <c r="C320" s="89" t="s">
        <v>1126</v>
      </c>
    </row>
    <row r="321" spans="1:3" ht="15">
      <c r="A321" s="81" t="s">
        <v>471</v>
      </c>
      <c r="B321" s="80" t="s">
        <v>2505</v>
      </c>
      <c r="C321" s="89" t="s">
        <v>1126</v>
      </c>
    </row>
    <row r="322" spans="1:3" ht="15">
      <c r="A322" s="81" t="s">
        <v>471</v>
      </c>
      <c r="B322" s="80" t="s">
        <v>2499</v>
      </c>
      <c r="C322" s="89" t="s">
        <v>1126</v>
      </c>
    </row>
    <row r="323" spans="1:3" ht="15">
      <c r="A323" s="81" t="s">
        <v>471</v>
      </c>
      <c r="B323" s="80">
        <v>20</v>
      </c>
      <c r="C323" s="89" t="s">
        <v>1126</v>
      </c>
    </row>
    <row r="324" spans="1:3" ht="15">
      <c r="A324" s="81" t="s">
        <v>471</v>
      </c>
      <c r="B324" s="80" t="s">
        <v>2507</v>
      </c>
      <c r="C324" s="89" t="s">
        <v>1126</v>
      </c>
    </row>
    <row r="325" spans="1:3" ht="15">
      <c r="A325" s="81" t="s">
        <v>471</v>
      </c>
      <c r="B325" s="80" t="s">
        <v>2508</v>
      </c>
      <c r="C325" s="89" t="s">
        <v>1126</v>
      </c>
    </row>
    <row r="326" spans="1:3" ht="15">
      <c r="A326" s="81" t="s">
        <v>471</v>
      </c>
      <c r="B326" s="80" t="s">
        <v>2509</v>
      </c>
      <c r="C326" s="89" t="s">
        <v>1126</v>
      </c>
    </row>
    <row r="327" spans="1:3" ht="15">
      <c r="A327" s="81" t="s">
        <v>471</v>
      </c>
      <c r="B327" s="80" t="s">
        <v>2510</v>
      </c>
      <c r="C327" s="89" t="s">
        <v>1126</v>
      </c>
    </row>
    <row r="328" spans="1:3" ht="15">
      <c r="A328" s="81" t="s">
        <v>471</v>
      </c>
      <c r="B328" s="80" t="s">
        <v>2697</v>
      </c>
      <c r="C328" s="89" t="s">
        <v>1126</v>
      </c>
    </row>
    <row r="329" spans="1:3" ht="15">
      <c r="A329" s="81" t="s">
        <v>471</v>
      </c>
      <c r="B329" s="80" t="s">
        <v>2512</v>
      </c>
      <c r="C329" s="89" t="s">
        <v>1126</v>
      </c>
    </row>
    <row r="330" spans="1:3" ht="15">
      <c r="A330" s="81" t="s">
        <v>471</v>
      </c>
      <c r="B330" s="80" t="s">
        <v>2513</v>
      </c>
      <c r="C330" s="89" t="s">
        <v>1126</v>
      </c>
    </row>
    <row r="331" spans="1:3" ht="15">
      <c r="A331" s="81" t="s">
        <v>471</v>
      </c>
      <c r="B331" s="80">
        <v>26</v>
      </c>
      <c r="C331" s="89" t="s">
        <v>1126</v>
      </c>
    </row>
    <row r="332" spans="1:3" ht="15">
      <c r="A332" s="81" t="s">
        <v>471</v>
      </c>
      <c r="B332" s="80">
        <v>3</v>
      </c>
      <c r="C332" s="89" t="s">
        <v>1126</v>
      </c>
    </row>
    <row r="333" spans="1:3" ht="15">
      <c r="A333" s="81" t="s">
        <v>471</v>
      </c>
      <c r="B333" s="80" t="s">
        <v>2516</v>
      </c>
      <c r="C333" s="89" t="s">
        <v>1126</v>
      </c>
    </row>
    <row r="334" spans="1:3" ht="15">
      <c r="A334" s="81" t="s">
        <v>471</v>
      </c>
      <c r="B334" s="80">
        <v>23</v>
      </c>
      <c r="C334" s="89" t="s">
        <v>1126</v>
      </c>
    </row>
    <row r="335" spans="1:3" ht="15">
      <c r="A335" s="81" t="s">
        <v>471</v>
      </c>
      <c r="B335" s="80">
        <v>59</v>
      </c>
      <c r="C335" s="89" t="s">
        <v>1126</v>
      </c>
    </row>
    <row r="336" spans="1:3" ht="15">
      <c r="A336" s="81" t="s">
        <v>471</v>
      </c>
      <c r="B336" s="80" t="s">
        <v>2698</v>
      </c>
      <c r="C336" s="89" t="s">
        <v>1126</v>
      </c>
    </row>
    <row r="337" spans="1:3" ht="15">
      <c r="A337" s="81" t="s">
        <v>471</v>
      </c>
      <c r="B337" s="80" t="s">
        <v>2699</v>
      </c>
      <c r="C337" s="89" t="s">
        <v>1126</v>
      </c>
    </row>
    <row r="338" spans="1:3" ht="15">
      <c r="A338" s="81" t="s">
        <v>470</v>
      </c>
      <c r="B338" s="80" t="s">
        <v>2690</v>
      </c>
      <c r="C338" s="89" t="s">
        <v>1125</v>
      </c>
    </row>
    <row r="339" spans="1:3" ht="15">
      <c r="A339" s="81" t="s">
        <v>470</v>
      </c>
      <c r="B339" s="80" t="s">
        <v>2500</v>
      </c>
      <c r="C339" s="89" t="s">
        <v>1125</v>
      </c>
    </row>
    <row r="340" spans="1:3" ht="15">
      <c r="A340" s="81" t="s">
        <v>470</v>
      </c>
      <c r="B340" s="80" t="s">
        <v>2691</v>
      </c>
      <c r="C340" s="89" t="s">
        <v>1125</v>
      </c>
    </row>
    <row r="341" spans="1:3" ht="15">
      <c r="A341" s="81" t="s">
        <v>470</v>
      </c>
      <c r="B341" s="80" t="s">
        <v>2692</v>
      </c>
      <c r="C341" s="89" t="s">
        <v>1125</v>
      </c>
    </row>
    <row r="342" spans="1:3" ht="15">
      <c r="A342" s="81" t="s">
        <v>470</v>
      </c>
      <c r="B342" s="80" t="s">
        <v>2498</v>
      </c>
      <c r="C342" s="89" t="s">
        <v>1125</v>
      </c>
    </row>
    <row r="343" spans="1:3" ht="15">
      <c r="A343" s="81" t="s">
        <v>470</v>
      </c>
      <c r="B343" s="80" t="s">
        <v>2477</v>
      </c>
      <c r="C343" s="89" t="s">
        <v>1125</v>
      </c>
    </row>
    <row r="344" spans="1:3" ht="15">
      <c r="A344" s="81" t="s">
        <v>470</v>
      </c>
      <c r="B344" s="80" t="s">
        <v>2501</v>
      </c>
      <c r="C344" s="89" t="s">
        <v>1125</v>
      </c>
    </row>
    <row r="345" spans="1:3" ht="15">
      <c r="A345" s="81" t="s">
        <v>470</v>
      </c>
      <c r="B345" s="80" t="s">
        <v>2693</v>
      </c>
      <c r="C345" s="89" t="s">
        <v>1125</v>
      </c>
    </row>
    <row r="346" spans="1:3" ht="15">
      <c r="A346" s="81" t="s">
        <v>470</v>
      </c>
      <c r="B346" s="80" t="s">
        <v>2478</v>
      </c>
      <c r="C346" s="89" t="s">
        <v>1125</v>
      </c>
    </row>
    <row r="347" spans="1:3" ht="15">
      <c r="A347" s="81" t="s">
        <v>470</v>
      </c>
      <c r="B347" s="80" t="s">
        <v>2476</v>
      </c>
      <c r="C347" s="89" t="s">
        <v>1125</v>
      </c>
    </row>
    <row r="348" spans="1:3" ht="15">
      <c r="A348" s="81" t="s">
        <v>470</v>
      </c>
      <c r="B348" s="80" t="s">
        <v>2502</v>
      </c>
      <c r="C348" s="89" t="s">
        <v>1125</v>
      </c>
    </row>
    <row r="349" spans="1:3" ht="15">
      <c r="A349" s="81" t="s">
        <v>470</v>
      </c>
      <c r="B349" s="80" t="s">
        <v>2694</v>
      </c>
      <c r="C349" s="89" t="s">
        <v>1125</v>
      </c>
    </row>
    <row r="350" spans="1:3" ht="15">
      <c r="A350" s="81" t="s">
        <v>470</v>
      </c>
      <c r="B350" s="80" t="s">
        <v>2695</v>
      </c>
      <c r="C350" s="89" t="s">
        <v>1125</v>
      </c>
    </row>
    <row r="351" spans="1:3" ht="15">
      <c r="A351" s="81" t="s">
        <v>470</v>
      </c>
      <c r="B351" s="80" t="s">
        <v>2696</v>
      </c>
      <c r="C351" s="89" t="s">
        <v>1125</v>
      </c>
    </row>
    <row r="352" spans="1:3" ht="15">
      <c r="A352" s="81" t="s">
        <v>470</v>
      </c>
      <c r="B352" s="80" t="s">
        <v>2504</v>
      </c>
      <c r="C352" s="89" t="s">
        <v>1125</v>
      </c>
    </row>
    <row r="353" spans="1:3" ht="15">
      <c r="A353" s="81" t="s">
        <v>470</v>
      </c>
      <c r="B353" s="80" t="s">
        <v>2505</v>
      </c>
      <c r="C353" s="89" t="s">
        <v>1125</v>
      </c>
    </row>
    <row r="354" spans="1:3" ht="15">
      <c r="A354" s="81" t="s">
        <v>470</v>
      </c>
      <c r="B354" s="80" t="s">
        <v>2499</v>
      </c>
      <c r="C354" s="89" t="s">
        <v>1125</v>
      </c>
    </row>
    <row r="355" spans="1:3" ht="15">
      <c r="A355" s="81" t="s">
        <v>470</v>
      </c>
      <c r="B355" s="80">
        <v>20</v>
      </c>
      <c r="C355" s="89" t="s">
        <v>1125</v>
      </c>
    </row>
    <row r="356" spans="1:3" ht="15">
      <c r="A356" s="81" t="s">
        <v>470</v>
      </c>
      <c r="B356" s="80" t="s">
        <v>2507</v>
      </c>
      <c r="C356" s="89" t="s">
        <v>1125</v>
      </c>
    </row>
    <row r="357" spans="1:3" ht="15">
      <c r="A357" s="81" t="s">
        <v>470</v>
      </c>
      <c r="B357" s="80" t="s">
        <v>2508</v>
      </c>
      <c r="C357" s="89" t="s">
        <v>1125</v>
      </c>
    </row>
    <row r="358" spans="1:3" ht="15">
      <c r="A358" s="81" t="s">
        <v>470</v>
      </c>
      <c r="B358" s="80" t="s">
        <v>2509</v>
      </c>
      <c r="C358" s="89" t="s">
        <v>1125</v>
      </c>
    </row>
    <row r="359" spans="1:3" ht="15">
      <c r="A359" s="81" t="s">
        <v>470</v>
      </c>
      <c r="B359" s="80" t="s">
        <v>2510</v>
      </c>
      <c r="C359" s="89" t="s">
        <v>1125</v>
      </c>
    </row>
    <row r="360" spans="1:3" ht="15">
      <c r="A360" s="81" t="s">
        <v>470</v>
      </c>
      <c r="B360" s="80" t="s">
        <v>2697</v>
      </c>
      <c r="C360" s="89" t="s">
        <v>1125</v>
      </c>
    </row>
    <row r="361" spans="1:3" ht="15">
      <c r="A361" s="81" t="s">
        <v>470</v>
      </c>
      <c r="B361" s="80" t="s">
        <v>2512</v>
      </c>
      <c r="C361" s="89" t="s">
        <v>1125</v>
      </c>
    </row>
    <row r="362" spans="1:3" ht="15">
      <c r="A362" s="81" t="s">
        <v>470</v>
      </c>
      <c r="B362" s="80" t="s">
        <v>2513</v>
      </c>
      <c r="C362" s="89" t="s">
        <v>1125</v>
      </c>
    </row>
    <row r="363" spans="1:3" ht="15">
      <c r="A363" s="81" t="s">
        <v>470</v>
      </c>
      <c r="B363" s="80">
        <v>26</v>
      </c>
      <c r="C363" s="89" t="s">
        <v>1125</v>
      </c>
    </row>
    <row r="364" spans="1:3" ht="15">
      <c r="A364" s="81" t="s">
        <v>470</v>
      </c>
      <c r="B364" s="80">
        <v>3</v>
      </c>
      <c r="C364" s="89" t="s">
        <v>1125</v>
      </c>
    </row>
    <row r="365" spans="1:3" ht="15">
      <c r="A365" s="81" t="s">
        <v>470</v>
      </c>
      <c r="B365" s="80" t="s">
        <v>2516</v>
      </c>
      <c r="C365" s="89" t="s">
        <v>1125</v>
      </c>
    </row>
    <row r="366" spans="1:3" ht="15">
      <c r="A366" s="81" t="s">
        <v>470</v>
      </c>
      <c r="B366" s="80">
        <v>23</v>
      </c>
      <c r="C366" s="89" t="s">
        <v>1125</v>
      </c>
    </row>
    <row r="367" spans="1:3" ht="15">
      <c r="A367" s="81" t="s">
        <v>470</v>
      </c>
      <c r="B367" s="80">
        <v>59</v>
      </c>
      <c r="C367" s="89" t="s">
        <v>1125</v>
      </c>
    </row>
    <row r="368" spans="1:3" ht="15">
      <c r="A368" s="81" t="s">
        <v>470</v>
      </c>
      <c r="B368" s="80" t="s">
        <v>2698</v>
      </c>
      <c r="C368" s="89" t="s">
        <v>1125</v>
      </c>
    </row>
    <row r="369" spans="1:3" ht="15">
      <c r="A369" s="81" t="s">
        <v>470</v>
      </c>
      <c r="B369" s="80" t="s">
        <v>2699</v>
      </c>
      <c r="C369" s="89" t="s">
        <v>1125</v>
      </c>
    </row>
    <row r="370" spans="1:3" ht="15">
      <c r="A370" s="81" t="s">
        <v>469</v>
      </c>
      <c r="B370" s="80" t="s">
        <v>2690</v>
      </c>
      <c r="C370" s="89" t="s">
        <v>1124</v>
      </c>
    </row>
    <row r="371" spans="1:3" ht="15">
      <c r="A371" s="81" t="s">
        <v>469</v>
      </c>
      <c r="B371" s="80" t="s">
        <v>2500</v>
      </c>
      <c r="C371" s="89" t="s">
        <v>1124</v>
      </c>
    </row>
    <row r="372" spans="1:3" ht="15">
      <c r="A372" s="81" t="s">
        <v>469</v>
      </c>
      <c r="B372" s="80" t="s">
        <v>2691</v>
      </c>
      <c r="C372" s="89" t="s">
        <v>1124</v>
      </c>
    </row>
    <row r="373" spans="1:3" ht="15">
      <c r="A373" s="81" t="s">
        <v>469</v>
      </c>
      <c r="B373" s="80" t="s">
        <v>2692</v>
      </c>
      <c r="C373" s="89" t="s">
        <v>1124</v>
      </c>
    </row>
    <row r="374" spans="1:3" ht="15">
      <c r="A374" s="81" t="s">
        <v>469</v>
      </c>
      <c r="B374" s="80" t="s">
        <v>2498</v>
      </c>
      <c r="C374" s="89" t="s">
        <v>1124</v>
      </c>
    </row>
    <row r="375" spans="1:3" ht="15">
      <c r="A375" s="81" t="s">
        <v>469</v>
      </c>
      <c r="B375" s="80" t="s">
        <v>2477</v>
      </c>
      <c r="C375" s="89" t="s">
        <v>1124</v>
      </c>
    </row>
    <row r="376" spans="1:3" ht="15">
      <c r="A376" s="81" t="s">
        <v>469</v>
      </c>
      <c r="B376" s="80" t="s">
        <v>2501</v>
      </c>
      <c r="C376" s="89" t="s">
        <v>1124</v>
      </c>
    </row>
    <row r="377" spans="1:3" ht="15">
      <c r="A377" s="81" t="s">
        <v>469</v>
      </c>
      <c r="B377" s="80" t="s">
        <v>2693</v>
      </c>
      <c r="C377" s="89" t="s">
        <v>1124</v>
      </c>
    </row>
    <row r="378" spans="1:3" ht="15">
      <c r="A378" s="81" t="s">
        <v>469</v>
      </c>
      <c r="B378" s="80" t="s">
        <v>2478</v>
      </c>
      <c r="C378" s="89" t="s">
        <v>1124</v>
      </c>
    </row>
    <row r="379" spans="1:3" ht="15">
      <c r="A379" s="81" t="s">
        <v>469</v>
      </c>
      <c r="B379" s="80" t="s">
        <v>2476</v>
      </c>
      <c r="C379" s="89" t="s">
        <v>1124</v>
      </c>
    </row>
    <row r="380" spans="1:3" ht="15">
      <c r="A380" s="81" t="s">
        <v>469</v>
      </c>
      <c r="B380" s="80" t="s">
        <v>2502</v>
      </c>
      <c r="C380" s="89" t="s">
        <v>1124</v>
      </c>
    </row>
    <row r="381" spans="1:3" ht="15">
      <c r="A381" s="81" t="s">
        <v>469</v>
      </c>
      <c r="B381" s="80" t="s">
        <v>2694</v>
      </c>
      <c r="C381" s="89" t="s">
        <v>1124</v>
      </c>
    </row>
    <row r="382" spans="1:3" ht="15">
      <c r="A382" s="81" t="s">
        <v>469</v>
      </c>
      <c r="B382" s="80" t="s">
        <v>2695</v>
      </c>
      <c r="C382" s="89" t="s">
        <v>1124</v>
      </c>
    </row>
    <row r="383" spans="1:3" ht="15">
      <c r="A383" s="81" t="s">
        <v>469</v>
      </c>
      <c r="B383" s="80" t="s">
        <v>2696</v>
      </c>
      <c r="C383" s="89" t="s">
        <v>1124</v>
      </c>
    </row>
    <row r="384" spans="1:3" ht="15">
      <c r="A384" s="81" t="s">
        <v>469</v>
      </c>
      <c r="B384" s="80" t="s">
        <v>2504</v>
      </c>
      <c r="C384" s="89" t="s">
        <v>1124</v>
      </c>
    </row>
    <row r="385" spans="1:3" ht="15">
      <c r="A385" s="81" t="s">
        <v>469</v>
      </c>
      <c r="B385" s="80" t="s">
        <v>2505</v>
      </c>
      <c r="C385" s="89" t="s">
        <v>1124</v>
      </c>
    </row>
    <row r="386" spans="1:3" ht="15">
      <c r="A386" s="81" t="s">
        <v>469</v>
      </c>
      <c r="B386" s="80" t="s">
        <v>2499</v>
      </c>
      <c r="C386" s="89" t="s">
        <v>1124</v>
      </c>
    </row>
    <row r="387" spans="1:3" ht="15">
      <c r="A387" s="81" t="s">
        <v>469</v>
      </c>
      <c r="B387" s="80">
        <v>20</v>
      </c>
      <c r="C387" s="89" t="s">
        <v>1124</v>
      </c>
    </row>
    <row r="388" spans="1:3" ht="15">
      <c r="A388" s="81" t="s">
        <v>469</v>
      </c>
      <c r="B388" s="80" t="s">
        <v>2507</v>
      </c>
      <c r="C388" s="89" t="s">
        <v>1124</v>
      </c>
    </row>
    <row r="389" spans="1:3" ht="15">
      <c r="A389" s="81" t="s">
        <v>469</v>
      </c>
      <c r="B389" s="80" t="s">
        <v>2508</v>
      </c>
      <c r="C389" s="89" t="s">
        <v>1124</v>
      </c>
    </row>
    <row r="390" spans="1:3" ht="15">
      <c r="A390" s="81" t="s">
        <v>469</v>
      </c>
      <c r="B390" s="80" t="s">
        <v>2509</v>
      </c>
      <c r="C390" s="89" t="s">
        <v>1124</v>
      </c>
    </row>
    <row r="391" spans="1:3" ht="15">
      <c r="A391" s="81" t="s">
        <v>469</v>
      </c>
      <c r="B391" s="80" t="s">
        <v>2510</v>
      </c>
      <c r="C391" s="89" t="s">
        <v>1124</v>
      </c>
    </row>
    <row r="392" spans="1:3" ht="15">
      <c r="A392" s="81" t="s">
        <v>469</v>
      </c>
      <c r="B392" s="80" t="s">
        <v>2697</v>
      </c>
      <c r="C392" s="89" t="s">
        <v>1124</v>
      </c>
    </row>
    <row r="393" spans="1:3" ht="15">
      <c r="A393" s="81" t="s">
        <v>469</v>
      </c>
      <c r="B393" s="80" t="s">
        <v>2512</v>
      </c>
      <c r="C393" s="89" t="s">
        <v>1124</v>
      </c>
    </row>
    <row r="394" spans="1:3" ht="15">
      <c r="A394" s="81" t="s">
        <v>469</v>
      </c>
      <c r="B394" s="80" t="s">
        <v>2513</v>
      </c>
      <c r="C394" s="89" t="s">
        <v>1124</v>
      </c>
    </row>
    <row r="395" spans="1:3" ht="15">
      <c r="A395" s="81" t="s">
        <v>469</v>
      </c>
      <c r="B395" s="80">
        <v>26</v>
      </c>
      <c r="C395" s="89" t="s">
        <v>1124</v>
      </c>
    </row>
    <row r="396" spans="1:3" ht="15">
      <c r="A396" s="81" t="s">
        <v>469</v>
      </c>
      <c r="B396" s="80">
        <v>3</v>
      </c>
      <c r="C396" s="89" t="s">
        <v>1124</v>
      </c>
    </row>
    <row r="397" spans="1:3" ht="15">
      <c r="A397" s="81" t="s">
        <v>469</v>
      </c>
      <c r="B397" s="80" t="s">
        <v>2516</v>
      </c>
      <c r="C397" s="89" t="s">
        <v>1124</v>
      </c>
    </row>
    <row r="398" spans="1:3" ht="15">
      <c r="A398" s="81" t="s">
        <v>469</v>
      </c>
      <c r="B398" s="80">
        <v>23</v>
      </c>
      <c r="C398" s="89" t="s">
        <v>1124</v>
      </c>
    </row>
    <row r="399" spans="1:3" ht="15">
      <c r="A399" s="81" t="s">
        <v>469</v>
      </c>
      <c r="B399" s="80">
        <v>59</v>
      </c>
      <c r="C399" s="89" t="s">
        <v>1124</v>
      </c>
    </row>
    <row r="400" spans="1:3" ht="15">
      <c r="A400" s="81" t="s">
        <v>469</v>
      </c>
      <c r="B400" s="80" t="s">
        <v>2698</v>
      </c>
      <c r="C400" s="89" t="s">
        <v>1124</v>
      </c>
    </row>
    <row r="401" spans="1:3" ht="15">
      <c r="A401" s="81" t="s">
        <v>469</v>
      </c>
      <c r="B401" s="80" t="s">
        <v>2699</v>
      </c>
      <c r="C401" s="89" t="s">
        <v>1124</v>
      </c>
    </row>
    <row r="402" spans="1:3" ht="15">
      <c r="A402" s="81" t="s">
        <v>468</v>
      </c>
      <c r="B402" s="80" t="s">
        <v>2690</v>
      </c>
      <c r="C402" s="89" t="s">
        <v>1123</v>
      </c>
    </row>
    <row r="403" spans="1:3" ht="15">
      <c r="A403" s="81" t="s">
        <v>468</v>
      </c>
      <c r="B403" s="80" t="s">
        <v>2500</v>
      </c>
      <c r="C403" s="89" t="s">
        <v>1123</v>
      </c>
    </row>
    <row r="404" spans="1:3" ht="15">
      <c r="A404" s="81" t="s">
        <v>468</v>
      </c>
      <c r="B404" s="80" t="s">
        <v>2691</v>
      </c>
      <c r="C404" s="89" t="s">
        <v>1123</v>
      </c>
    </row>
    <row r="405" spans="1:3" ht="15">
      <c r="A405" s="81" t="s">
        <v>468</v>
      </c>
      <c r="B405" s="80" t="s">
        <v>2692</v>
      </c>
      <c r="C405" s="89" t="s">
        <v>1123</v>
      </c>
    </row>
    <row r="406" spans="1:3" ht="15">
      <c r="A406" s="81" t="s">
        <v>468</v>
      </c>
      <c r="B406" s="80" t="s">
        <v>2498</v>
      </c>
      <c r="C406" s="89" t="s">
        <v>1123</v>
      </c>
    </row>
    <row r="407" spans="1:3" ht="15">
      <c r="A407" s="81" t="s">
        <v>468</v>
      </c>
      <c r="B407" s="80" t="s">
        <v>2477</v>
      </c>
      <c r="C407" s="89" t="s">
        <v>1123</v>
      </c>
    </row>
    <row r="408" spans="1:3" ht="15">
      <c r="A408" s="81" t="s">
        <v>468</v>
      </c>
      <c r="B408" s="80" t="s">
        <v>2501</v>
      </c>
      <c r="C408" s="89" t="s">
        <v>1123</v>
      </c>
    </row>
    <row r="409" spans="1:3" ht="15">
      <c r="A409" s="81" t="s">
        <v>468</v>
      </c>
      <c r="B409" s="80" t="s">
        <v>2693</v>
      </c>
      <c r="C409" s="89" t="s">
        <v>1123</v>
      </c>
    </row>
    <row r="410" spans="1:3" ht="15">
      <c r="A410" s="81" t="s">
        <v>468</v>
      </c>
      <c r="B410" s="80" t="s">
        <v>2478</v>
      </c>
      <c r="C410" s="89" t="s">
        <v>1123</v>
      </c>
    </row>
    <row r="411" spans="1:3" ht="15">
      <c r="A411" s="81" t="s">
        <v>468</v>
      </c>
      <c r="B411" s="80" t="s">
        <v>2476</v>
      </c>
      <c r="C411" s="89" t="s">
        <v>1123</v>
      </c>
    </row>
    <row r="412" spans="1:3" ht="15">
      <c r="A412" s="81" t="s">
        <v>468</v>
      </c>
      <c r="B412" s="80" t="s">
        <v>2502</v>
      </c>
      <c r="C412" s="89" t="s">
        <v>1123</v>
      </c>
    </row>
    <row r="413" spans="1:3" ht="15">
      <c r="A413" s="81" t="s">
        <v>468</v>
      </c>
      <c r="B413" s="80" t="s">
        <v>2694</v>
      </c>
      <c r="C413" s="89" t="s">
        <v>1123</v>
      </c>
    </row>
    <row r="414" spans="1:3" ht="15">
      <c r="A414" s="81" t="s">
        <v>468</v>
      </c>
      <c r="B414" s="80" t="s">
        <v>2695</v>
      </c>
      <c r="C414" s="89" t="s">
        <v>1123</v>
      </c>
    </row>
    <row r="415" spans="1:3" ht="15">
      <c r="A415" s="81" t="s">
        <v>468</v>
      </c>
      <c r="B415" s="80" t="s">
        <v>2696</v>
      </c>
      <c r="C415" s="89" t="s">
        <v>1123</v>
      </c>
    </row>
    <row r="416" spans="1:3" ht="15">
      <c r="A416" s="81" t="s">
        <v>468</v>
      </c>
      <c r="B416" s="80" t="s">
        <v>2504</v>
      </c>
      <c r="C416" s="89" t="s">
        <v>1123</v>
      </c>
    </row>
    <row r="417" spans="1:3" ht="15">
      <c r="A417" s="81" t="s">
        <v>468</v>
      </c>
      <c r="B417" s="80" t="s">
        <v>2505</v>
      </c>
      <c r="C417" s="89" t="s">
        <v>1123</v>
      </c>
    </row>
    <row r="418" spans="1:3" ht="15">
      <c r="A418" s="81" t="s">
        <v>468</v>
      </c>
      <c r="B418" s="80" t="s">
        <v>2499</v>
      </c>
      <c r="C418" s="89" t="s">
        <v>1123</v>
      </c>
    </row>
    <row r="419" spans="1:3" ht="15">
      <c r="A419" s="81" t="s">
        <v>468</v>
      </c>
      <c r="B419" s="80">
        <v>20</v>
      </c>
      <c r="C419" s="89" t="s">
        <v>1123</v>
      </c>
    </row>
    <row r="420" spans="1:3" ht="15">
      <c r="A420" s="81" t="s">
        <v>468</v>
      </c>
      <c r="B420" s="80" t="s">
        <v>2507</v>
      </c>
      <c r="C420" s="89" t="s">
        <v>1123</v>
      </c>
    </row>
    <row r="421" spans="1:3" ht="15">
      <c r="A421" s="81" t="s">
        <v>468</v>
      </c>
      <c r="B421" s="80" t="s">
        <v>2508</v>
      </c>
      <c r="C421" s="89" t="s">
        <v>1123</v>
      </c>
    </row>
    <row r="422" spans="1:3" ht="15">
      <c r="A422" s="81" t="s">
        <v>468</v>
      </c>
      <c r="B422" s="80" t="s">
        <v>2509</v>
      </c>
      <c r="C422" s="89" t="s">
        <v>1123</v>
      </c>
    </row>
    <row r="423" spans="1:3" ht="15">
      <c r="A423" s="81" t="s">
        <v>468</v>
      </c>
      <c r="B423" s="80" t="s">
        <v>2510</v>
      </c>
      <c r="C423" s="89" t="s">
        <v>1123</v>
      </c>
    </row>
    <row r="424" spans="1:3" ht="15">
      <c r="A424" s="81" t="s">
        <v>468</v>
      </c>
      <c r="B424" s="80" t="s">
        <v>2697</v>
      </c>
      <c r="C424" s="89" t="s">
        <v>1123</v>
      </c>
    </row>
    <row r="425" spans="1:3" ht="15">
      <c r="A425" s="81" t="s">
        <v>468</v>
      </c>
      <c r="B425" s="80" t="s">
        <v>2512</v>
      </c>
      <c r="C425" s="89" t="s">
        <v>1123</v>
      </c>
    </row>
    <row r="426" spans="1:3" ht="15">
      <c r="A426" s="81" t="s">
        <v>468</v>
      </c>
      <c r="B426" s="80" t="s">
        <v>2513</v>
      </c>
      <c r="C426" s="89" t="s">
        <v>1123</v>
      </c>
    </row>
    <row r="427" spans="1:3" ht="15">
      <c r="A427" s="81" t="s">
        <v>468</v>
      </c>
      <c r="B427" s="80">
        <v>26</v>
      </c>
      <c r="C427" s="89" t="s">
        <v>1123</v>
      </c>
    </row>
    <row r="428" spans="1:3" ht="15">
      <c r="A428" s="81" t="s">
        <v>468</v>
      </c>
      <c r="B428" s="80">
        <v>3</v>
      </c>
      <c r="C428" s="89" t="s">
        <v>1123</v>
      </c>
    </row>
    <row r="429" spans="1:3" ht="15">
      <c r="A429" s="81" t="s">
        <v>468</v>
      </c>
      <c r="B429" s="80" t="s">
        <v>2516</v>
      </c>
      <c r="C429" s="89" t="s">
        <v>1123</v>
      </c>
    </row>
    <row r="430" spans="1:3" ht="15">
      <c r="A430" s="81" t="s">
        <v>468</v>
      </c>
      <c r="B430" s="80">
        <v>23</v>
      </c>
      <c r="C430" s="89" t="s">
        <v>1123</v>
      </c>
    </row>
    <row r="431" spans="1:3" ht="15">
      <c r="A431" s="81" t="s">
        <v>468</v>
      </c>
      <c r="B431" s="80">
        <v>59</v>
      </c>
      <c r="C431" s="89" t="s">
        <v>1123</v>
      </c>
    </row>
    <row r="432" spans="1:3" ht="15">
      <c r="A432" s="81" t="s">
        <v>468</v>
      </c>
      <c r="B432" s="80" t="s">
        <v>2698</v>
      </c>
      <c r="C432" s="89" t="s">
        <v>1123</v>
      </c>
    </row>
    <row r="433" spans="1:3" ht="15">
      <c r="A433" s="81" t="s">
        <v>468</v>
      </c>
      <c r="B433" s="80" t="s">
        <v>2699</v>
      </c>
      <c r="C433" s="89" t="s">
        <v>1123</v>
      </c>
    </row>
    <row r="434" spans="1:3" ht="15">
      <c r="A434" s="81" t="s">
        <v>468</v>
      </c>
      <c r="B434" s="80" t="s">
        <v>2700</v>
      </c>
      <c r="C434" s="89" t="s">
        <v>1122</v>
      </c>
    </row>
    <row r="435" spans="1:3" ht="15">
      <c r="A435" s="81" t="s">
        <v>468</v>
      </c>
      <c r="B435" s="80" t="s">
        <v>2480</v>
      </c>
      <c r="C435" s="89" t="s">
        <v>1122</v>
      </c>
    </row>
    <row r="436" spans="1:3" ht="15">
      <c r="A436" s="81" t="s">
        <v>468</v>
      </c>
      <c r="B436" s="80" t="s">
        <v>2481</v>
      </c>
      <c r="C436" s="89" t="s">
        <v>1122</v>
      </c>
    </row>
    <row r="437" spans="1:3" ht="15">
      <c r="A437" s="81" t="s">
        <v>468</v>
      </c>
      <c r="B437" s="80" t="s">
        <v>2701</v>
      </c>
      <c r="C437" s="89" t="s">
        <v>1122</v>
      </c>
    </row>
    <row r="438" spans="1:3" ht="15">
      <c r="A438" s="81" t="s">
        <v>468</v>
      </c>
      <c r="B438" s="80" t="s">
        <v>2702</v>
      </c>
      <c r="C438" s="89" t="s">
        <v>1122</v>
      </c>
    </row>
    <row r="439" spans="1:3" ht="15">
      <c r="A439" s="81" t="s">
        <v>468</v>
      </c>
      <c r="B439" s="80" t="s">
        <v>2483</v>
      </c>
      <c r="C439" s="89" t="s">
        <v>1122</v>
      </c>
    </row>
    <row r="440" spans="1:3" ht="15">
      <c r="A440" s="81" t="s">
        <v>468</v>
      </c>
      <c r="B440" s="80" t="s">
        <v>2484</v>
      </c>
      <c r="C440" s="89" t="s">
        <v>1122</v>
      </c>
    </row>
    <row r="441" spans="1:3" ht="15">
      <c r="A441" s="81" t="s">
        <v>468</v>
      </c>
      <c r="B441" s="80" t="s">
        <v>2703</v>
      </c>
      <c r="C441" s="89" t="s">
        <v>1122</v>
      </c>
    </row>
    <row r="442" spans="1:3" ht="15">
      <c r="A442" s="81" t="s">
        <v>468</v>
      </c>
      <c r="B442" s="80" t="s">
        <v>2485</v>
      </c>
      <c r="C442" s="89" t="s">
        <v>1122</v>
      </c>
    </row>
    <row r="443" spans="1:3" ht="15">
      <c r="A443" s="81" t="s">
        <v>468</v>
      </c>
      <c r="B443" s="80" t="s">
        <v>2693</v>
      </c>
      <c r="C443" s="89" t="s">
        <v>1122</v>
      </c>
    </row>
    <row r="444" spans="1:3" ht="15">
      <c r="A444" s="81" t="s">
        <v>468</v>
      </c>
      <c r="B444" s="80" t="s">
        <v>2486</v>
      </c>
      <c r="C444" s="89" t="s">
        <v>1122</v>
      </c>
    </row>
    <row r="445" spans="1:3" ht="15">
      <c r="A445" s="81" t="s">
        <v>468</v>
      </c>
      <c r="B445" s="80" t="s">
        <v>2704</v>
      </c>
      <c r="C445" s="89" t="s">
        <v>1122</v>
      </c>
    </row>
    <row r="446" spans="1:3" ht="15">
      <c r="A446" s="81" t="s">
        <v>468</v>
      </c>
      <c r="B446" s="80" t="s">
        <v>2691</v>
      </c>
      <c r="C446" s="89" t="s">
        <v>1122</v>
      </c>
    </row>
    <row r="447" spans="1:3" ht="15">
      <c r="A447" s="81" t="s">
        <v>468</v>
      </c>
      <c r="B447" s="80" t="s">
        <v>2692</v>
      </c>
      <c r="C447" s="89" t="s">
        <v>1122</v>
      </c>
    </row>
    <row r="448" spans="1:3" ht="15">
      <c r="A448" s="81" t="s">
        <v>468</v>
      </c>
      <c r="B448" s="80" t="s">
        <v>2477</v>
      </c>
      <c r="C448" s="89" t="s">
        <v>1122</v>
      </c>
    </row>
    <row r="449" spans="1:3" ht="15">
      <c r="A449" s="81" t="s">
        <v>468</v>
      </c>
      <c r="B449" s="80" t="s">
        <v>2705</v>
      </c>
      <c r="C449" s="89" t="s">
        <v>1122</v>
      </c>
    </row>
    <row r="450" spans="1:3" ht="15">
      <c r="A450" s="81" t="s">
        <v>468</v>
      </c>
      <c r="B450" s="80" t="s">
        <v>2706</v>
      </c>
      <c r="C450" s="89" t="s">
        <v>1122</v>
      </c>
    </row>
    <row r="451" spans="1:3" ht="15">
      <c r="A451" s="81" t="s">
        <v>468</v>
      </c>
      <c r="B451" s="80" t="s">
        <v>2707</v>
      </c>
      <c r="C451" s="89" t="s">
        <v>1122</v>
      </c>
    </row>
    <row r="452" spans="1:3" ht="15">
      <c r="A452" s="81" t="s">
        <v>468</v>
      </c>
      <c r="B452" s="80" t="s">
        <v>2708</v>
      </c>
      <c r="C452" s="89" t="s">
        <v>1122</v>
      </c>
    </row>
    <row r="453" spans="1:3" ht="15">
      <c r="A453" s="81" t="s">
        <v>468</v>
      </c>
      <c r="B453" s="80" t="s">
        <v>2488</v>
      </c>
      <c r="C453" s="89" t="s">
        <v>1122</v>
      </c>
    </row>
    <row r="454" spans="1:3" ht="15">
      <c r="A454" s="81" t="s">
        <v>468</v>
      </c>
      <c r="B454" s="80" t="s">
        <v>2709</v>
      </c>
      <c r="C454" s="89" t="s">
        <v>1122</v>
      </c>
    </row>
    <row r="455" spans="1:3" ht="15">
      <c r="A455" s="81" t="s">
        <v>468</v>
      </c>
      <c r="B455" s="80" t="s">
        <v>2710</v>
      </c>
      <c r="C455" s="89" t="s">
        <v>1122</v>
      </c>
    </row>
    <row r="456" spans="1:3" ht="15">
      <c r="A456" s="81" t="s">
        <v>468</v>
      </c>
      <c r="B456" s="80" t="s">
        <v>2478</v>
      </c>
      <c r="C456" s="89" t="s">
        <v>1122</v>
      </c>
    </row>
    <row r="457" spans="1:3" ht="15">
      <c r="A457" s="81" t="s">
        <v>468</v>
      </c>
      <c r="B457" s="80" t="s">
        <v>2476</v>
      </c>
      <c r="C457" s="89" t="s">
        <v>1122</v>
      </c>
    </row>
    <row r="458" spans="1:3" ht="15">
      <c r="A458" s="81" t="s">
        <v>468</v>
      </c>
      <c r="B458" s="80" t="s">
        <v>2711</v>
      </c>
      <c r="C458" s="89" t="s">
        <v>1122</v>
      </c>
    </row>
    <row r="459" spans="1:3" ht="15">
      <c r="A459" s="81" t="s">
        <v>468</v>
      </c>
      <c r="B459" s="80" t="s">
        <v>65</v>
      </c>
      <c r="C459" s="89" t="s">
        <v>1122</v>
      </c>
    </row>
    <row r="460" spans="1:3" ht="15">
      <c r="A460" s="81" t="s">
        <v>468</v>
      </c>
      <c r="B460" s="80" t="s">
        <v>2491</v>
      </c>
      <c r="C460" s="89" t="s">
        <v>1122</v>
      </c>
    </row>
    <row r="461" spans="1:3" ht="15">
      <c r="A461" s="81" t="s">
        <v>467</v>
      </c>
      <c r="B461" s="80" t="s">
        <v>2690</v>
      </c>
      <c r="C461" s="89" t="s">
        <v>1121</v>
      </c>
    </row>
    <row r="462" spans="1:3" ht="15">
      <c r="A462" s="81" t="s">
        <v>467</v>
      </c>
      <c r="B462" s="80" t="s">
        <v>2500</v>
      </c>
      <c r="C462" s="89" t="s">
        <v>1121</v>
      </c>
    </row>
    <row r="463" spans="1:3" ht="15">
      <c r="A463" s="81" t="s">
        <v>467</v>
      </c>
      <c r="B463" s="80" t="s">
        <v>2691</v>
      </c>
      <c r="C463" s="89" t="s">
        <v>1121</v>
      </c>
    </row>
    <row r="464" spans="1:3" ht="15">
      <c r="A464" s="81" t="s">
        <v>467</v>
      </c>
      <c r="B464" s="80" t="s">
        <v>2692</v>
      </c>
      <c r="C464" s="89" t="s">
        <v>1121</v>
      </c>
    </row>
    <row r="465" spans="1:3" ht="15">
      <c r="A465" s="81" t="s">
        <v>467</v>
      </c>
      <c r="B465" s="80" t="s">
        <v>2498</v>
      </c>
      <c r="C465" s="89" t="s">
        <v>1121</v>
      </c>
    </row>
    <row r="466" spans="1:3" ht="15">
      <c r="A466" s="81" t="s">
        <v>467</v>
      </c>
      <c r="B466" s="80" t="s">
        <v>2477</v>
      </c>
      <c r="C466" s="89" t="s">
        <v>1121</v>
      </c>
    </row>
    <row r="467" spans="1:3" ht="15">
      <c r="A467" s="81" t="s">
        <v>467</v>
      </c>
      <c r="B467" s="80" t="s">
        <v>2501</v>
      </c>
      <c r="C467" s="89" t="s">
        <v>1121</v>
      </c>
    </row>
    <row r="468" spans="1:3" ht="15">
      <c r="A468" s="81" t="s">
        <v>467</v>
      </c>
      <c r="B468" s="80" t="s">
        <v>2693</v>
      </c>
      <c r="C468" s="89" t="s">
        <v>1121</v>
      </c>
    </row>
    <row r="469" spans="1:3" ht="15">
      <c r="A469" s="81" t="s">
        <v>467</v>
      </c>
      <c r="B469" s="80" t="s">
        <v>2478</v>
      </c>
      <c r="C469" s="89" t="s">
        <v>1121</v>
      </c>
    </row>
    <row r="470" spans="1:3" ht="15">
      <c r="A470" s="81" t="s">
        <v>467</v>
      </c>
      <c r="B470" s="80" t="s">
        <v>2476</v>
      </c>
      <c r="C470" s="89" t="s">
        <v>1121</v>
      </c>
    </row>
    <row r="471" spans="1:3" ht="15">
      <c r="A471" s="81" t="s">
        <v>467</v>
      </c>
      <c r="B471" s="80" t="s">
        <v>2502</v>
      </c>
      <c r="C471" s="89" t="s">
        <v>1121</v>
      </c>
    </row>
    <row r="472" spans="1:3" ht="15">
      <c r="A472" s="81" t="s">
        <v>467</v>
      </c>
      <c r="B472" s="80" t="s">
        <v>2694</v>
      </c>
      <c r="C472" s="89" t="s">
        <v>1121</v>
      </c>
    </row>
    <row r="473" spans="1:3" ht="15">
      <c r="A473" s="81" t="s">
        <v>467</v>
      </c>
      <c r="B473" s="80" t="s">
        <v>2695</v>
      </c>
      <c r="C473" s="89" t="s">
        <v>1121</v>
      </c>
    </row>
    <row r="474" spans="1:3" ht="15">
      <c r="A474" s="81" t="s">
        <v>467</v>
      </c>
      <c r="B474" s="80" t="s">
        <v>2696</v>
      </c>
      <c r="C474" s="89" t="s">
        <v>1121</v>
      </c>
    </row>
    <row r="475" spans="1:3" ht="15">
      <c r="A475" s="81" t="s">
        <v>467</v>
      </c>
      <c r="B475" s="80" t="s">
        <v>2504</v>
      </c>
      <c r="C475" s="89" t="s">
        <v>1121</v>
      </c>
    </row>
    <row r="476" spans="1:3" ht="15">
      <c r="A476" s="81" t="s">
        <v>467</v>
      </c>
      <c r="B476" s="80" t="s">
        <v>2505</v>
      </c>
      <c r="C476" s="89" t="s">
        <v>1121</v>
      </c>
    </row>
    <row r="477" spans="1:3" ht="15">
      <c r="A477" s="81" t="s">
        <v>467</v>
      </c>
      <c r="B477" s="80" t="s">
        <v>2499</v>
      </c>
      <c r="C477" s="89" t="s">
        <v>1121</v>
      </c>
    </row>
    <row r="478" spans="1:3" ht="15">
      <c r="A478" s="81" t="s">
        <v>467</v>
      </c>
      <c r="B478" s="80">
        <v>20</v>
      </c>
      <c r="C478" s="89" t="s">
        <v>1121</v>
      </c>
    </row>
    <row r="479" spans="1:3" ht="15">
      <c r="A479" s="81" t="s">
        <v>467</v>
      </c>
      <c r="B479" s="80" t="s">
        <v>2507</v>
      </c>
      <c r="C479" s="89" t="s">
        <v>1121</v>
      </c>
    </row>
    <row r="480" spans="1:3" ht="15">
      <c r="A480" s="81" t="s">
        <v>467</v>
      </c>
      <c r="B480" s="80" t="s">
        <v>2508</v>
      </c>
      <c r="C480" s="89" t="s">
        <v>1121</v>
      </c>
    </row>
    <row r="481" spans="1:3" ht="15">
      <c r="A481" s="81" t="s">
        <v>467</v>
      </c>
      <c r="B481" s="80" t="s">
        <v>2509</v>
      </c>
      <c r="C481" s="89" t="s">
        <v>1121</v>
      </c>
    </row>
    <row r="482" spans="1:3" ht="15">
      <c r="A482" s="81" t="s">
        <v>467</v>
      </c>
      <c r="B482" s="80" t="s">
        <v>2510</v>
      </c>
      <c r="C482" s="89" t="s">
        <v>1121</v>
      </c>
    </row>
    <row r="483" spans="1:3" ht="15">
      <c r="A483" s="81" t="s">
        <v>467</v>
      </c>
      <c r="B483" s="80" t="s">
        <v>2697</v>
      </c>
      <c r="C483" s="89" t="s">
        <v>1121</v>
      </c>
    </row>
    <row r="484" spans="1:3" ht="15">
      <c r="A484" s="81" t="s">
        <v>467</v>
      </c>
      <c r="B484" s="80" t="s">
        <v>2512</v>
      </c>
      <c r="C484" s="89" t="s">
        <v>1121</v>
      </c>
    </row>
    <row r="485" spans="1:3" ht="15">
      <c r="A485" s="81" t="s">
        <v>467</v>
      </c>
      <c r="B485" s="80" t="s">
        <v>2513</v>
      </c>
      <c r="C485" s="89" t="s">
        <v>1121</v>
      </c>
    </row>
    <row r="486" spans="1:3" ht="15">
      <c r="A486" s="81" t="s">
        <v>467</v>
      </c>
      <c r="B486" s="80">
        <v>26</v>
      </c>
      <c r="C486" s="89" t="s">
        <v>1121</v>
      </c>
    </row>
    <row r="487" spans="1:3" ht="15">
      <c r="A487" s="81" t="s">
        <v>467</v>
      </c>
      <c r="B487" s="80">
        <v>3</v>
      </c>
      <c r="C487" s="89" t="s">
        <v>1121</v>
      </c>
    </row>
    <row r="488" spans="1:3" ht="15">
      <c r="A488" s="81" t="s">
        <v>467</v>
      </c>
      <c r="B488" s="80" t="s">
        <v>2516</v>
      </c>
      <c r="C488" s="89" t="s">
        <v>1121</v>
      </c>
    </row>
    <row r="489" spans="1:3" ht="15">
      <c r="A489" s="81" t="s">
        <v>467</v>
      </c>
      <c r="B489" s="80">
        <v>23</v>
      </c>
      <c r="C489" s="89" t="s">
        <v>1121</v>
      </c>
    </row>
    <row r="490" spans="1:3" ht="15">
      <c r="A490" s="81" t="s">
        <v>467</v>
      </c>
      <c r="B490" s="80">
        <v>59</v>
      </c>
      <c r="C490" s="89" t="s">
        <v>1121</v>
      </c>
    </row>
    <row r="491" spans="1:3" ht="15">
      <c r="A491" s="81" t="s">
        <v>467</v>
      </c>
      <c r="B491" s="80" t="s">
        <v>2698</v>
      </c>
      <c r="C491" s="89" t="s">
        <v>1121</v>
      </c>
    </row>
    <row r="492" spans="1:3" ht="15">
      <c r="A492" s="81" t="s">
        <v>467</v>
      </c>
      <c r="B492" s="80" t="s">
        <v>2699</v>
      </c>
      <c r="C492" s="89" t="s">
        <v>1121</v>
      </c>
    </row>
    <row r="493" spans="1:3" ht="15">
      <c r="A493" s="81" t="s">
        <v>466</v>
      </c>
      <c r="B493" s="80" t="s">
        <v>2690</v>
      </c>
      <c r="C493" s="89" t="s">
        <v>1120</v>
      </c>
    </row>
    <row r="494" spans="1:3" ht="15">
      <c r="A494" s="81" t="s">
        <v>466</v>
      </c>
      <c r="B494" s="80" t="s">
        <v>2500</v>
      </c>
      <c r="C494" s="89" t="s">
        <v>1120</v>
      </c>
    </row>
    <row r="495" spans="1:3" ht="15">
      <c r="A495" s="81" t="s">
        <v>466</v>
      </c>
      <c r="B495" s="80" t="s">
        <v>2691</v>
      </c>
      <c r="C495" s="89" t="s">
        <v>1120</v>
      </c>
    </row>
    <row r="496" spans="1:3" ht="15">
      <c r="A496" s="81" t="s">
        <v>466</v>
      </c>
      <c r="B496" s="80" t="s">
        <v>2692</v>
      </c>
      <c r="C496" s="89" t="s">
        <v>1120</v>
      </c>
    </row>
    <row r="497" spans="1:3" ht="15">
      <c r="A497" s="81" t="s">
        <v>466</v>
      </c>
      <c r="B497" s="80" t="s">
        <v>2498</v>
      </c>
      <c r="C497" s="89" t="s">
        <v>1120</v>
      </c>
    </row>
    <row r="498" spans="1:3" ht="15">
      <c r="A498" s="81" t="s">
        <v>466</v>
      </c>
      <c r="B498" s="80" t="s">
        <v>2477</v>
      </c>
      <c r="C498" s="89" t="s">
        <v>1120</v>
      </c>
    </row>
    <row r="499" spans="1:3" ht="15">
      <c r="A499" s="81" t="s">
        <v>466</v>
      </c>
      <c r="B499" s="80" t="s">
        <v>2501</v>
      </c>
      <c r="C499" s="89" t="s">
        <v>1120</v>
      </c>
    </row>
    <row r="500" spans="1:3" ht="15">
      <c r="A500" s="81" t="s">
        <v>466</v>
      </c>
      <c r="B500" s="80" t="s">
        <v>2693</v>
      </c>
      <c r="C500" s="89" t="s">
        <v>1120</v>
      </c>
    </row>
    <row r="501" spans="1:3" ht="15">
      <c r="A501" s="81" t="s">
        <v>466</v>
      </c>
      <c r="B501" s="80" t="s">
        <v>2478</v>
      </c>
      <c r="C501" s="89" t="s">
        <v>1120</v>
      </c>
    </row>
    <row r="502" spans="1:3" ht="15">
      <c r="A502" s="81" t="s">
        <v>466</v>
      </c>
      <c r="B502" s="80" t="s">
        <v>2476</v>
      </c>
      <c r="C502" s="89" t="s">
        <v>1120</v>
      </c>
    </row>
    <row r="503" spans="1:3" ht="15">
      <c r="A503" s="81" t="s">
        <v>466</v>
      </c>
      <c r="B503" s="80" t="s">
        <v>2502</v>
      </c>
      <c r="C503" s="89" t="s">
        <v>1120</v>
      </c>
    </row>
    <row r="504" spans="1:3" ht="15">
      <c r="A504" s="81" t="s">
        <v>466</v>
      </c>
      <c r="B504" s="80" t="s">
        <v>2694</v>
      </c>
      <c r="C504" s="89" t="s">
        <v>1120</v>
      </c>
    </row>
    <row r="505" spans="1:3" ht="15">
      <c r="A505" s="81" t="s">
        <v>466</v>
      </c>
      <c r="B505" s="80" t="s">
        <v>2695</v>
      </c>
      <c r="C505" s="89" t="s">
        <v>1120</v>
      </c>
    </row>
    <row r="506" spans="1:3" ht="15">
      <c r="A506" s="81" t="s">
        <v>466</v>
      </c>
      <c r="B506" s="80" t="s">
        <v>2696</v>
      </c>
      <c r="C506" s="89" t="s">
        <v>1120</v>
      </c>
    </row>
    <row r="507" spans="1:3" ht="15">
      <c r="A507" s="81" t="s">
        <v>466</v>
      </c>
      <c r="B507" s="80" t="s">
        <v>2504</v>
      </c>
      <c r="C507" s="89" t="s">
        <v>1120</v>
      </c>
    </row>
    <row r="508" spans="1:3" ht="15">
      <c r="A508" s="81" t="s">
        <v>466</v>
      </c>
      <c r="B508" s="80" t="s">
        <v>2505</v>
      </c>
      <c r="C508" s="89" t="s">
        <v>1120</v>
      </c>
    </row>
    <row r="509" spans="1:3" ht="15">
      <c r="A509" s="81" t="s">
        <v>466</v>
      </c>
      <c r="B509" s="80" t="s">
        <v>2499</v>
      </c>
      <c r="C509" s="89" t="s">
        <v>1120</v>
      </c>
    </row>
    <row r="510" spans="1:3" ht="15">
      <c r="A510" s="81" t="s">
        <v>466</v>
      </c>
      <c r="B510" s="80">
        <v>20</v>
      </c>
      <c r="C510" s="89" t="s">
        <v>1120</v>
      </c>
    </row>
    <row r="511" spans="1:3" ht="15">
      <c r="A511" s="81" t="s">
        <v>466</v>
      </c>
      <c r="B511" s="80" t="s">
        <v>2507</v>
      </c>
      <c r="C511" s="89" t="s">
        <v>1120</v>
      </c>
    </row>
    <row r="512" spans="1:3" ht="15">
      <c r="A512" s="81" t="s">
        <v>466</v>
      </c>
      <c r="B512" s="80" t="s">
        <v>2508</v>
      </c>
      <c r="C512" s="89" t="s">
        <v>1120</v>
      </c>
    </row>
    <row r="513" spans="1:3" ht="15">
      <c r="A513" s="81" t="s">
        <v>466</v>
      </c>
      <c r="B513" s="80" t="s">
        <v>2509</v>
      </c>
      <c r="C513" s="89" t="s">
        <v>1120</v>
      </c>
    </row>
    <row r="514" spans="1:3" ht="15">
      <c r="A514" s="81" t="s">
        <v>466</v>
      </c>
      <c r="B514" s="80" t="s">
        <v>2510</v>
      </c>
      <c r="C514" s="89" t="s">
        <v>1120</v>
      </c>
    </row>
    <row r="515" spans="1:3" ht="15">
      <c r="A515" s="81" t="s">
        <v>466</v>
      </c>
      <c r="B515" s="80" t="s">
        <v>2697</v>
      </c>
      <c r="C515" s="89" t="s">
        <v>1120</v>
      </c>
    </row>
    <row r="516" spans="1:3" ht="15">
      <c r="A516" s="81" t="s">
        <v>466</v>
      </c>
      <c r="B516" s="80" t="s">
        <v>2512</v>
      </c>
      <c r="C516" s="89" t="s">
        <v>1120</v>
      </c>
    </row>
    <row r="517" spans="1:3" ht="15">
      <c r="A517" s="81" t="s">
        <v>466</v>
      </c>
      <c r="B517" s="80" t="s">
        <v>2513</v>
      </c>
      <c r="C517" s="89" t="s">
        <v>1120</v>
      </c>
    </row>
    <row r="518" spans="1:3" ht="15">
      <c r="A518" s="81" t="s">
        <v>466</v>
      </c>
      <c r="B518" s="80">
        <v>26</v>
      </c>
      <c r="C518" s="89" t="s">
        <v>1120</v>
      </c>
    </row>
    <row r="519" spans="1:3" ht="15">
      <c r="A519" s="81" t="s">
        <v>466</v>
      </c>
      <c r="B519" s="80">
        <v>3</v>
      </c>
      <c r="C519" s="89" t="s">
        <v>1120</v>
      </c>
    </row>
    <row r="520" spans="1:3" ht="15">
      <c r="A520" s="81" t="s">
        <v>466</v>
      </c>
      <c r="B520" s="80" t="s">
        <v>2516</v>
      </c>
      <c r="C520" s="89" t="s">
        <v>1120</v>
      </c>
    </row>
    <row r="521" spans="1:3" ht="15">
      <c r="A521" s="81" t="s">
        <v>466</v>
      </c>
      <c r="B521" s="80">
        <v>23</v>
      </c>
      <c r="C521" s="89" t="s">
        <v>1120</v>
      </c>
    </row>
    <row r="522" spans="1:3" ht="15">
      <c r="A522" s="81" t="s">
        <v>466</v>
      </c>
      <c r="B522" s="80">
        <v>59</v>
      </c>
      <c r="C522" s="89" t="s">
        <v>1120</v>
      </c>
    </row>
    <row r="523" spans="1:3" ht="15">
      <c r="A523" s="81" t="s">
        <v>466</v>
      </c>
      <c r="B523" s="80" t="s">
        <v>2698</v>
      </c>
      <c r="C523" s="89" t="s">
        <v>1120</v>
      </c>
    </row>
    <row r="524" spans="1:3" ht="15">
      <c r="A524" s="81" t="s">
        <v>466</v>
      </c>
      <c r="B524" s="80" t="s">
        <v>2699</v>
      </c>
      <c r="C524" s="89" t="s">
        <v>1120</v>
      </c>
    </row>
    <row r="525" spans="1:3" ht="15">
      <c r="A525" s="81" t="s">
        <v>465</v>
      </c>
      <c r="B525" s="80" t="s">
        <v>2690</v>
      </c>
      <c r="C525" s="89" t="s">
        <v>1119</v>
      </c>
    </row>
    <row r="526" spans="1:3" ht="15">
      <c r="A526" s="81" t="s">
        <v>465</v>
      </c>
      <c r="B526" s="80" t="s">
        <v>2500</v>
      </c>
      <c r="C526" s="89" t="s">
        <v>1119</v>
      </c>
    </row>
    <row r="527" spans="1:3" ht="15">
      <c r="A527" s="81" t="s">
        <v>465</v>
      </c>
      <c r="B527" s="80" t="s">
        <v>2691</v>
      </c>
      <c r="C527" s="89" t="s">
        <v>1119</v>
      </c>
    </row>
    <row r="528" spans="1:3" ht="15">
      <c r="A528" s="81" t="s">
        <v>465</v>
      </c>
      <c r="B528" s="80" t="s">
        <v>2692</v>
      </c>
      <c r="C528" s="89" t="s">
        <v>1119</v>
      </c>
    </row>
    <row r="529" spans="1:3" ht="15">
      <c r="A529" s="81" t="s">
        <v>465</v>
      </c>
      <c r="B529" s="80" t="s">
        <v>2498</v>
      </c>
      <c r="C529" s="89" t="s">
        <v>1119</v>
      </c>
    </row>
    <row r="530" spans="1:3" ht="15">
      <c r="A530" s="81" t="s">
        <v>465</v>
      </c>
      <c r="B530" s="80" t="s">
        <v>2477</v>
      </c>
      <c r="C530" s="89" t="s">
        <v>1119</v>
      </c>
    </row>
    <row r="531" spans="1:3" ht="15">
      <c r="A531" s="81" t="s">
        <v>465</v>
      </c>
      <c r="B531" s="80" t="s">
        <v>2501</v>
      </c>
      <c r="C531" s="89" t="s">
        <v>1119</v>
      </c>
    </row>
    <row r="532" spans="1:3" ht="15">
      <c r="A532" s="81" t="s">
        <v>465</v>
      </c>
      <c r="B532" s="80" t="s">
        <v>2693</v>
      </c>
      <c r="C532" s="89" t="s">
        <v>1119</v>
      </c>
    </row>
    <row r="533" spans="1:3" ht="15">
      <c r="A533" s="81" t="s">
        <v>465</v>
      </c>
      <c r="B533" s="80" t="s">
        <v>2478</v>
      </c>
      <c r="C533" s="89" t="s">
        <v>1119</v>
      </c>
    </row>
    <row r="534" spans="1:3" ht="15">
      <c r="A534" s="81" t="s">
        <v>465</v>
      </c>
      <c r="B534" s="80" t="s">
        <v>2476</v>
      </c>
      <c r="C534" s="89" t="s">
        <v>1119</v>
      </c>
    </row>
    <row r="535" spans="1:3" ht="15">
      <c r="A535" s="81" t="s">
        <v>465</v>
      </c>
      <c r="B535" s="80" t="s">
        <v>2502</v>
      </c>
      <c r="C535" s="89" t="s">
        <v>1119</v>
      </c>
    </row>
    <row r="536" spans="1:3" ht="15">
      <c r="A536" s="81" t="s">
        <v>465</v>
      </c>
      <c r="B536" s="80" t="s">
        <v>2694</v>
      </c>
      <c r="C536" s="89" t="s">
        <v>1119</v>
      </c>
    </row>
    <row r="537" spans="1:3" ht="15">
      <c r="A537" s="81" t="s">
        <v>465</v>
      </c>
      <c r="B537" s="80" t="s">
        <v>2695</v>
      </c>
      <c r="C537" s="89" t="s">
        <v>1119</v>
      </c>
    </row>
    <row r="538" spans="1:3" ht="15">
      <c r="A538" s="81" t="s">
        <v>465</v>
      </c>
      <c r="B538" s="80" t="s">
        <v>2696</v>
      </c>
      <c r="C538" s="89" t="s">
        <v>1119</v>
      </c>
    </row>
    <row r="539" spans="1:3" ht="15">
      <c r="A539" s="81" t="s">
        <v>465</v>
      </c>
      <c r="B539" s="80" t="s">
        <v>2504</v>
      </c>
      <c r="C539" s="89" t="s">
        <v>1119</v>
      </c>
    </row>
    <row r="540" spans="1:3" ht="15">
      <c r="A540" s="81" t="s">
        <v>465</v>
      </c>
      <c r="B540" s="80" t="s">
        <v>2505</v>
      </c>
      <c r="C540" s="89" t="s">
        <v>1119</v>
      </c>
    </row>
    <row r="541" spans="1:3" ht="15">
      <c r="A541" s="81" t="s">
        <v>465</v>
      </c>
      <c r="B541" s="80" t="s">
        <v>2499</v>
      </c>
      <c r="C541" s="89" t="s">
        <v>1119</v>
      </c>
    </row>
    <row r="542" spans="1:3" ht="15">
      <c r="A542" s="81" t="s">
        <v>465</v>
      </c>
      <c r="B542" s="80">
        <v>20</v>
      </c>
      <c r="C542" s="89" t="s">
        <v>1119</v>
      </c>
    </row>
    <row r="543" spans="1:3" ht="15">
      <c r="A543" s="81" t="s">
        <v>465</v>
      </c>
      <c r="B543" s="80" t="s">
        <v>2507</v>
      </c>
      <c r="C543" s="89" t="s">
        <v>1119</v>
      </c>
    </row>
    <row r="544" spans="1:3" ht="15">
      <c r="A544" s="81" t="s">
        <v>465</v>
      </c>
      <c r="B544" s="80" t="s">
        <v>2508</v>
      </c>
      <c r="C544" s="89" t="s">
        <v>1119</v>
      </c>
    </row>
    <row r="545" spans="1:3" ht="15">
      <c r="A545" s="81" t="s">
        <v>465</v>
      </c>
      <c r="B545" s="80" t="s">
        <v>2509</v>
      </c>
      <c r="C545" s="89" t="s">
        <v>1119</v>
      </c>
    </row>
    <row r="546" spans="1:3" ht="15">
      <c r="A546" s="81" t="s">
        <v>465</v>
      </c>
      <c r="B546" s="80" t="s">
        <v>2510</v>
      </c>
      <c r="C546" s="89" t="s">
        <v>1119</v>
      </c>
    </row>
    <row r="547" spans="1:3" ht="15">
      <c r="A547" s="81" t="s">
        <v>465</v>
      </c>
      <c r="B547" s="80" t="s">
        <v>2697</v>
      </c>
      <c r="C547" s="89" t="s">
        <v>1119</v>
      </c>
    </row>
    <row r="548" spans="1:3" ht="15">
      <c r="A548" s="81" t="s">
        <v>465</v>
      </c>
      <c r="B548" s="80" t="s">
        <v>2512</v>
      </c>
      <c r="C548" s="89" t="s">
        <v>1119</v>
      </c>
    </row>
    <row r="549" spans="1:3" ht="15">
      <c r="A549" s="81" t="s">
        <v>465</v>
      </c>
      <c r="B549" s="80" t="s">
        <v>2513</v>
      </c>
      <c r="C549" s="89" t="s">
        <v>1119</v>
      </c>
    </row>
    <row r="550" spans="1:3" ht="15">
      <c r="A550" s="81" t="s">
        <v>465</v>
      </c>
      <c r="B550" s="80">
        <v>26</v>
      </c>
      <c r="C550" s="89" t="s">
        <v>1119</v>
      </c>
    </row>
    <row r="551" spans="1:3" ht="15">
      <c r="A551" s="81" t="s">
        <v>465</v>
      </c>
      <c r="B551" s="80">
        <v>3</v>
      </c>
      <c r="C551" s="89" t="s">
        <v>1119</v>
      </c>
    </row>
    <row r="552" spans="1:3" ht="15">
      <c r="A552" s="81" t="s">
        <v>465</v>
      </c>
      <c r="B552" s="80" t="s">
        <v>2516</v>
      </c>
      <c r="C552" s="89" t="s">
        <v>1119</v>
      </c>
    </row>
    <row r="553" spans="1:3" ht="15">
      <c r="A553" s="81" t="s">
        <v>465</v>
      </c>
      <c r="B553" s="80">
        <v>23</v>
      </c>
      <c r="C553" s="89" t="s">
        <v>1119</v>
      </c>
    </row>
    <row r="554" spans="1:3" ht="15">
      <c r="A554" s="81" t="s">
        <v>465</v>
      </c>
      <c r="B554" s="80">
        <v>59</v>
      </c>
      <c r="C554" s="89" t="s">
        <v>1119</v>
      </c>
    </row>
    <row r="555" spans="1:3" ht="15">
      <c r="A555" s="81" t="s">
        <v>465</v>
      </c>
      <c r="B555" s="80" t="s">
        <v>2698</v>
      </c>
      <c r="C555" s="89" t="s">
        <v>1119</v>
      </c>
    </row>
    <row r="556" spans="1:3" ht="15">
      <c r="A556" s="81" t="s">
        <v>465</v>
      </c>
      <c r="B556" s="80" t="s">
        <v>2699</v>
      </c>
      <c r="C556" s="89" t="s">
        <v>1119</v>
      </c>
    </row>
    <row r="557" spans="1:3" ht="15">
      <c r="A557" s="81" t="s">
        <v>464</v>
      </c>
      <c r="B557" s="80" t="s">
        <v>2690</v>
      </c>
      <c r="C557" s="89" t="s">
        <v>1118</v>
      </c>
    </row>
    <row r="558" spans="1:3" ht="15">
      <c r="A558" s="81" t="s">
        <v>464</v>
      </c>
      <c r="B558" s="80" t="s">
        <v>2500</v>
      </c>
      <c r="C558" s="89" t="s">
        <v>1118</v>
      </c>
    </row>
    <row r="559" spans="1:3" ht="15">
      <c r="A559" s="81" t="s">
        <v>464</v>
      </c>
      <c r="B559" s="80" t="s">
        <v>2691</v>
      </c>
      <c r="C559" s="89" t="s">
        <v>1118</v>
      </c>
    </row>
    <row r="560" spans="1:3" ht="15">
      <c r="A560" s="81" t="s">
        <v>464</v>
      </c>
      <c r="B560" s="80" t="s">
        <v>2692</v>
      </c>
      <c r="C560" s="89" t="s">
        <v>1118</v>
      </c>
    </row>
    <row r="561" spans="1:3" ht="15">
      <c r="A561" s="81" t="s">
        <v>464</v>
      </c>
      <c r="B561" s="80" t="s">
        <v>2498</v>
      </c>
      <c r="C561" s="89" t="s">
        <v>1118</v>
      </c>
    </row>
    <row r="562" spans="1:3" ht="15">
      <c r="A562" s="81" t="s">
        <v>464</v>
      </c>
      <c r="B562" s="80" t="s">
        <v>2477</v>
      </c>
      <c r="C562" s="89" t="s">
        <v>1118</v>
      </c>
    </row>
    <row r="563" spans="1:3" ht="15">
      <c r="A563" s="81" t="s">
        <v>464</v>
      </c>
      <c r="B563" s="80" t="s">
        <v>2501</v>
      </c>
      <c r="C563" s="89" t="s">
        <v>1118</v>
      </c>
    </row>
    <row r="564" spans="1:3" ht="15">
      <c r="A564" s="81" t="s">
        <v>464</v>
      </c>
      <c r="B564" s="80" t="s">
        <v>2693</v>
      </c>
      <c r="C564" s="89" t="s">
        <v>1118</v>
      </c>
    </row>
    <row r="565" spans="1:3" ht="15">
      <c r="A565" s="81" t="s">
        <v>464</v>
      </c>
      <c r="B565" s="80" t="s">
        <v>2478</v>
      </c>
      <c r="C565" s="89" t="s">
        <v>1118</v>
      </c>
    </row>
    <row r="566" spans="1:3" ht="15">
      <c r="A566" s="81" t="s">
        <v>464</v>
      </c>
      <c r="B566" s="80" t="s">
        <v>2476</v>
      </c>
      <c r="C566" s="89" t="s">
        <v>1118</v>
      </c>
    </row>
    <row r="567" spans="1:3" ht="15">
      <c r="A567" s="81" t="s">
        <v>464</v>
      </c>
      <c r="B567" s="80" t="s">
        <v>2502</v>
      </c>
      <c r="C567" s="89" t="s">
        <v>1118</v>
      </c>
    </row>
    <row r="568" spans="1:3" ht="15">
      <c r="A568" s="81" t="s">
        <v>464</v>
      </c>
      <c r="B568" s="80" t="s">
        <v>2694</v>
      </c>
      <c r="C568" s="89" t="s">
        <v>1118</v>
      </c>
    </row>
    <row r="569" spans="1:3" ht="15">
      <c r="A569" s="81" t="s">
        <v>464</v>
      </c>
      <c r="B569" s="80" t="s">
        <v>2695</v>
      </c>
      <c r="C569" s="89" t="s">
        <v>1118</v>
      </c>
    </row>
    <row r="570" spans="1:3" ht="15">
      <c r="A570" s="81" t="s">
        <v>464</v>
      </c>
      <c r="B570" s="80" t="s">
        <v>2696</v>
      </c>
      <c r="C570" s="89" t="s">
        <v>1118</v>
      </c>
    </row>
    <row r="571" spans="1:3" ht="15">
      <c r="A571" s="81" t="s">
        <v>464</v>
      </c>
      <c r="B571" s="80" t="s">
        <v>2504</v>
      </c>
      <c r="C571" s="89" t="s">
        <v>1118</v>
      </c>
    </row>
    <row r="572" spans="1:3" ht="15">
      <c r="A572" s="81" t="s">
        <v>464</v>
      </c>
      <c r="B572" s="80" t="s">
        <v>2505</v>
      </c>
      <c r="C572" s="89" t="s">
        <v>1118</v>
      </c>
    </row>
    <row r="573" spans="1:3" ht="15">
      <c r="A573" s="81" t="s">
        <v>464</v>
      </c>
      <c r="B573" s="80" t="s">
        <v>2499</v>
      </c>
      <c r="C573" s="89" t="s">
        <v>1118</v>
      </c>
    </row>
    <row r="574" spans="1:3" ht="15">
      <c r="A574" s="81" t="s">
        <v>464</v>
      </c>
      <c r="B574" s="80">
        <v>20</v>
      </c>
      <c r="C574" s="89" t="s">
        <v>1118</v>
      </c>
    </row>
    <row r="575" spans="1:3" ht="15">
      <c r="A575" s="81" t="s">
        <v>464</v>
      </c>
      <c r="B575" s="80" t="s">
        <v>2507</v>
      </c>
      <c r="C575" s="89" t="s">
        <v>1118</v>
      </c>
    </row>
    <row r="576" spans="1:3" ht="15">
      <c r="A576" s="81" t="s">
        <v>464</v>
      </c>
      <c r="B576" s="80" t="s">
        <v>2508</v>
      </c>
      <c r="C576" s="89" t="s">
        <v>1118</v>
      </c>
    </row>
    <row r="577" spans="1:3" ht="15">
      <c r="A577" s="81" t="s">
        <v>464</v>
      </c>
      <c r="B577" s="80" t="s">
        <v>2509</v>
      </c>
      <c r="C577" s="89" t="s">
        <v>1118</v>
      </c>
    </row>
    <row r="578" spans="1:3" ht="15">
      <c r="A578" s="81" t="s">
        <v>464</v>
      </c>
      <c r="B578" s="80" t="s">
        <v>2510</v>
      </c>
      <c r="C578" s="89" t="s">
        <v>1118</v>
      </c>
    </row>
    <row r="579" spans="1:3" ht="15">
      <c r="A579" s="81" t="s">
        <v>464</v>
      </c>
      <c r="B579" s="80" t="s">
        <v>2697</v>
      </c>
      <c r="C579" s="89" t="s">
        <v>1118</v>
      </c>
    </row>
    <row r="580" spans="1:3" ht="15">
      <c r="A580" s="81" t="s">
        <v>464</v>
      </c>
      <c r="B580" s="80" t="s">
        <v>2512</v>
      </c>
      <c r="C580" s="89" t="s">
        <v>1118</v>
      </c>
    </row>
    <row r="581" spans="1:3" ht="15">
      <c r="A581" s="81" t="s">
        <v>464</v>
      </c>
      <c r="B581" s="80" t="s">
        <v>2513</v>
      </c>
      <c r="C581" s="89" t="s">
        <v>1118</v>
      </c>
    </row>
    <row r="582" spans="1:3" ht="15">
      <c r="A582" s="81" t="s">
        <v>464</v>
      </c>
      <c r="B582" s="80">
        <v>26</v>
      </c>
      <c r="C582" s="89" t="s">
        <v>1118</v>
      </c>
    </row>
    <row r="583" spans="1:3" ht="15">
      <c r="A583" s="81" t="s">
        <v>464</v>
      </c>
      <c r="B583" s="80">
        <v>3</v>
      </c>
      <c r="C583" s="89" t="s">
        <v>1118</v>
      </c>
    </row>
    <row r="584" spans="1:3" ht="15">
      <c r="A584" s="81" t="s">
        <v>464</v>
      </c>
      <c r="B584" s="80" t="s">
        <v>2516</v>
      </c>
      <c r="C584" s="89" t="s">
        <v>1118</v>
      </c>
    </row>
    <row r="585" spans="1:3" ht="15">
      <c r="A585" s="81" t="s">
        <v>464</v>
      </c>
      <c r="B585" s="80">
        <v>23</v>
      </c>
      <c r="C585" s="89" t="s">
        <v>1118</v>
      </c>
    </row>
    <row r="586" spans="1:3" ht="15">
      <c r="A586" s="81" t="s">
        <v>464</v>
      </c>
      <c r="B586" s="80">
        <v>59</v>
      </c>
      <c r="C586" s="89" t="s">
        <v>1118</v>
      </c>
    </row>
    <row r="587" spans="1:3" ht="15">
      <c r="A587" s="81" t="s">
        <v>464</v>
      </c>
      <c r="B587" s="80" t="s">
        <v>2698</v>
      </c>
      <c r="C587" s="89" t="s">
        <v>1118</v>
      </c>
    </row>
    <row r="588" spans="1:3" ht="15">
      <c r="A588" s="81" t="s">
        <v>464</v>
      </c>
      <c r="B588" s="80" t="s">
        <v>2699</v>
      </c>
      <c r="C588" s="89" t="s">
        <v>1118</v>
      </c>
    </row>
    <row r="589" spans="1:3" ht="15">
      <c r="A589" s="81" t="s">
        <v>463</v>
      </c>
      <c r="B589" s="80" t="s">
        <v>2690</v>
      </c>
      <c r="C589" s="89" t="s">
        <v>1117</v>
      </c>
    </row>
    <row r="590" spans="1:3" ht="15">
      <c r="A590" s="81" t="s">
        <v>463</v>
      </c>
      <c r="B590" s="80" t="s">
        <v>2500</v>
      </c>
      <c r="C590" s="89" t="s">
        <v>1117</v>
      </c>
    </row>
    <row r="591" spans="1:3" ht="15">
      <c r="A591" s="81" t="s">
        <v>463</v>
      </c>
      <c r="B591" s="80" t="s">
        <v>2691</v>
      </c>
      <c r="C591" s="89" t="s">
        <v>1117</v>
      </c>
    </row>
    <row r="592" spans="1:3" ht="15">
      <c r="A592" s="81" t="s">
        <v>463</v>
      </c>
      <c r="B592" s="80" t="s">
        <v>2692</v>
      </c>
      <c r="C592" s="89" t="s">
        <v>1117</v>
      </c>
    </row>
    <row r="593" spans="1:3" ht="15">
      <c r="A593" s="81" t="s">
        <v>463</v>
      </c>
      <c r="B593" s="80" t="s">
        <v>2498</v>
      </c>
      <c r="C593" s="89" t="s">
        <v>1117</v>
      </c>
    </row>
    <row r="594" spans="1:3" ht="15">
      <c r="A594" s="81" t="s">
        <v>463</v>
      </c>
      <c r="B594" s="80" t="s">
        <v>2477</v>
      </c>
      <c r="C594" s="89" t="s">
        <v>1117</v>
      </c>
    </row>
    <row r="595" spans="1:3" ht="15">
      <c r="A595" s="81" t="s">
        <v>463</v>
      </c>
      <c r="B595" s="80" t="s">
        <v>2501</v>
      </c>
      <c r="C595" s="89" t="s">
        <v>1117</v>
      </c>
    </row>
    <row r="596" spans="1:3" ht="15">
      <c r="A596" s="81" t="s">
        <v>463</v>
      </c>
      <c r="B596" s="80" t="s">
        <v>2693</v>
      </c>
      <c r="C596" s="89" t="s">
        <v>1117</v>
      </c>
    </row>
    <row r="597" spans="1:3" ht="15">
      <c r="A597" s="81" t="s">
        <v>463</v>
      </c>
      <c r="B597" s="80" t="s">
        <v>2478</v>
      </c>
      <c r="C597" s="89" t="s">
        <v>1117</v>
      </c>
    </row>
    <row r="598" spans="1:3" ht="15">
      <c r="A598" s="81" t="s">
        <v>463</v>
      </c>
      <c r="B598" s="80" t="s">
        <v>2476</v>
      </c>
      <c r="C598" s="89" t="s">
        <v>1117</v>
      </c>
    </row>
    <row r="599" spans="1:3" ht="15">
      <c r="A599" s="81" t="s">
        <v>463</v>
      </c>
      <c r="B599" s="80" t="s">
        <v>2502</v>
      </c>
      <c r="C599" s="89" t="s">
        <v>1117</v>
      </c>
    </row>
    <row r="600" spans="1:3" ht="15">
      <c r="A600" s="81" t="s">
        <v>463</v>
      </c>
      <c r="B600" s="80" t="s">
        <v>2694</v>
      </c>
      <c r="C600" s="89" t="s">
        <v>1117</v>
      </c>
    </row>
    <row r="601" spans="1:3" ht="15">
      <c r="A601" s="81" t="s">
        <v>463</v>
      </c>
      <c r="B601" s="80" t="s">
        <v>2695</v>
      </c>
      <c r="C601" s="89" t="s">
        <v>1117</v>
      </c>
    </row>
    <row r="602" spans="1:3" ht="15">
      <c r="A602" s="81" t="s">
        <v>463</v>
      </c>
      <c r="B602" s="80" t="s">
        <v>2696</v>
      </c>
      <c r="C602" s="89" t="s">
        <v>1117</v>
      </c>
    </row>
    <row r="603" spans="1:3" ht="15">
      <c r="A603" s="81" t="s">
        <v>463</v>
      </c>
      <c r="B603" s="80" t="s">
        <v>2504</v>
      </c>
      <c r="C603" s="89" t="s">
        <v>1117</v>
      </c>
    </row>
    <row r="604" spans="1:3" ht="15">
      <c r="A604" s="81" t="s">
        <v>463</v>
      </c>
      <c r="B604" s="80" t="s">
        <v>2505</v>
      </c>
      <c r="C604" s="89" t="s">
        <v>1117</v>
      </c>
    </row>
    <row r="605" spans="1:3" ht="15">
      <c r="A605" s="81" t="s">
        <v>463</v>
      </c>
      <c r="B605" s="80" t="s">
        <v>2499</v>
      </c>
      <c r="C605" s="89" t="s">
        <v>1117</v>
      </c>
    </row>
    <row r="606" spans="1:3" ht="15">
      <c r="A606" s="81" t="s">
        <v>463</v>
      </c>
      <c r="B606" s="80">
        <v>20</v>
      </c>
      <c r="C606" s="89" t="s">
        <v>1117</v>
      </c>
    </row>
    <row r="607" spans="1:3" ht="15">
      <c r="A607" s="81" t="s">
        <v>463</v>
      </c>
      <c r="B607" s="80" t="s">
        <v>2507</v>
      </c>
      <c r="C607" s="89" t="s">
        <v>1117</v>
      </c>
    </row>
    <row r="608" spans="1:3" ht="15">
      <c r="A608" s="81" t="s">
        <v>463</v>
      </c>
      <c r="B608" s="80" t="s">
        <v>2508</v>
      </c>
      <c r="C608" s="89" t="s">
        <v>1117</v>
      </c>
    </row>
    <row r="609" spans="1:3" ht="15">
      <c r="A609" s="81" t="s">
        <v>463</v>
      </c>
      <c r="B609" s="80" t="s">
        <v>2509</v>
      </c>
      <c r="C609" s="89" t="s">
        <v>1117</v>
      </c>
    </row>
    <row r="610" spans="1:3" ht="15">
      <c r="A610" s="81" t="s">
        <v>463</v>
      </c>
      <c r="B610" s="80" t="s">
        <v>2510</v>
      </c>
      <c r="C610" s="89" t="s">
        <v>1117</v>
      </c>
    </row>
    <row r="611" spans="1:3" ht="15">
      <c r="A611" s="81" t="s">
        <v>463</v>
      </c>
      <c r="B611" s="80" t="s">
        <v>2697</v>
      </c>
      <c r="C611" s="89" t="s">
        <v>1117</v>
      </c>
    </row>
    <row r="612" spans="1:3" ht="15">
      <c r="A612" s="81" t="s">
        <v>463</v>
      </c>
      <c r="B612" s="80" t="s">
        <v>2512</v>
      </c>
      <c r="C612" s="89" t="s">
        <v>1117</v>
      </c>
    </row>
    <row r="613" spans="1:3" ht="15">
      <c r="A613" s="81" t="s">
        <v>463</v>
      </c>
      <c r="B613" s="80" t="s">
        <v>2513</v>
      </c>
      <c r="C613" s="89" t="s">
        <v>1117</v>
      </c>
    </row>
    <row r="614" spans="1:3" ht="15">
      <c r="A614" s="81" t="s">
        <v>463</v>
      </c>
      <c r="B614" s="80">
        <v>26</v>
      </c>
      <c r="C614" s="89" t="s">
        <v>1117</v>
      </c>
    </row>
    <row r="615" spans="1:3" ht="15">
      <c r="A615" s="81" t="s">
        <v>463</v>
      </c>
      <c r="B615" s="80">
        <v>3</v>
      </c>
      <c r="C615" s="89" t="s">
        <v>1117</v>
      </c>
    </row>
    <row r="616" spans="1:3" ht="15">
      <c r="A616" s="81" t="s">
        <v>463</v>
      </c>
      <c r="B616" s="80" t="s">
        <v>2516</v>
      </c>
      <c r="C616" s="89" t="s">
        <v>1117</v>
      </c>
    </row>
    <row r="617" spans="1:3" ht="15">
      <c r="A617" s="81" t="s">
        <v>463</v>
      </c>
      <c r="B617" s="80">
        <v>23</v>
      </c>
      <c r="C617" s="89" t="s">
        <v>1117</v>
      </c>
    </row>
    <row r="618" spans="1:3" ht="15">
      <c r="A618" s="81" t="s">
        <v>463</v>
      </c>
      <c r="B618" s="80">
        <v>59</v>
      </c>
      <c r="C618" s="89" t="s">
        <v>1117</v>
      </c>
    </row>
    <row r="619" spans="1:3" ht="15">
      <c r="A619" s="81" t="s">
        <v>463</v>
      </c>
      <c r="B619" s="80" t="s">
        <v>2698</v>
      </c>
      <c r="C619" s="89" t="s">
        <v>1117</v>
      </c>
    </row>
    <row r="620" spans="1:3" ht="15">
      <c r="A620" s="81" t="s">
        <v>463</v>
      </c>
      <c r="B620" s="80" t="s">
        <v>2699</v>
      </c>
      <c r="C620" s="89" t="s">
        <v>1117</v>
      </c>
    </row>
    <row r="621" spans="1:3" ht="15">
      <c r="A621" s="81" t="s">
        <v>462</v>
      </c>
      <c r="B621" s="80" t="s">
        <v>2690</v>
      </c>
      <c r="C621" s="89" t="s">
        <v>1116</v>
      </c>
    </row>
    <row r="622" spans="1:3" ht="15">
      <c r="A622" s="81" t="s">
        <v>462</v>
      </c>
      <c r="B622" s="80" t="s">
        <v>2500</v>
      </c>
      <c r="C622" s="89" t="s">
        <v>1116</v>
      </c>
    </row>
    <row r="623" spans="1:3" ht="15">
      <c r="A623" s="81" t="s">
        <v>462</v>
      </c>
      <c r="B623" s="80" t="s">
        <v>2691</v>
      </c>
      <c r="C623" s="89" t="s">
        <v>1116</v>
      </c>
    </row>
    <row r="624" spans="1:3" ht="15">
      <c r="A624" s="81" t="s">
        <v>462</v>
      </c>
      <c r="B624" s="80" t="s">
        <v>2692</v>
      </c>
      <c r="C624" s="89" t="s">
        <v>1116</v>
      </c>
    </row>
    <row r="625" spans="1:3" ht="15">
      <c r="A625" s="81" t="s">
        <v>462</v>
      </c>
      <c r="B625" s="80" t="s">
        <v>2498</v>
      </c>
      <c r="C625" s="89" t="s">
        <v>1116</v>
      </c>
    </row>
    <row r="626" spans="1:3" ht="15">
      <c r="A626" s="81" t="s">
        <v>462</v>
      </c>
      <c r="B626" s="80" t="s">
        <v>2477</v>
      </c>
      <c r="C626" s="89" t="s">
        <v>1116</v>
      </c>
    </row>
    <row r="627" spans="1:3" ht="15">
      <c r="A627" s="81" t="s">
        <v>462</v>
      </c>
      <c r="B627" s="80" t="s">
        <v>2501</v>
      </c>
      <c r="C627" s="89" t="s">
        <v>1116</v>
      </c>
    </row>
    <row r="628" spans="1:3" ht="15">
      <c r="A628" s="81" t="s">
        <v>462</v>
      </c>
      <c r="B628" s="80" t="s">
        <v>2693</v>
      </c>
      <c r="C628" s="89" t="s">
        <v>1116</v>
      </c>
    </row>
    <row r="629" spans="1:3" ht="15">
      <c r="A629" s="81" t="s">
        <v>462</v>
      </c>
      <c r="B629" s="80" t="s">
        <v>2478</v>
      </c>
      <c r="C629" s="89" t="s">
        <v>1116</v>
      </c>
    </row>
    <row r="630" spans="1:3" ht="15">
      <c r="A630" s="81" t="s">
        <v>462</v>
      </c>
      <c r="B630" s="80" t="s">
        <v>2476</v>
      </c>
      <c r="C630" s="89" t="s">
        <v>1116</v>
      </c>
    </row>
    <row r="631" spans="1:3" ht="15">
      <c r="A631" s="81" t="s">
        <v>462</v>
      </c>
      <c r="B631" s="80" t="s">
        <v>2502</v>
      </c>
      <c r="C631" s="89" t="s">
        <v>1116</v>
      </c>
    </row>
    <row r="632" spans="1:3" ht="15">
      <c r="A632" s="81" t="s">
        <v>462</v>
      </c>
      <c r="B632" s="80" t="s">
        <v>2694</v>
      </c>
      <c r="C632" s="89" t="s">
        <v>1116</v>
      </c>
    </row>
    <row r="633" spans="1:3" ht="15">
      <c r="A633" s="81" t="s">
        <v>462</v>
      </c>
      <c r="B633" s="80" t="s">
        <v>2695</v>
      </c>
      <c r="C633" s="89" t="s">
        <v>1116</v>
      </c>
    </row>
    <row r="634" spans="1:3" ht="15">
      <c r="A634" s="81" t="s">
        <v>462</v>
      </c>
      <c r="B634" s="80" t="s">
        <v>2696</v>
      </c>
      <c r="C634" s="89" t="s">
        <v>1116</v>
      </c>
    </row>
    <row r="635" spans="1:3" ht="15">
      <c r="A635" s="81" t="s">
        <v>462</v>
      </c>
      <c r="B635" s="80" t="s">
        <v>2504</v>
      </c>
      <c r="C635" s="89" t="s">
        <v>1116</v>
      </c>
    </row>
    <row r="636" spans="1:3" ht="15">
      <c r="A636" s="81" t="s">
        <v>462</v>
      </c>
      <c r="B636" s="80" t="s">
        <v>2505</v>
      </c>
      <c r="C636" s="89" t="s">
        <v>1116</v>
      </c>
    </row>
    <row r="637" spans="1:3" ht="15">
      <c r="A637" s="81" t="s">
        <v>462</v>
      </c>
      <c r="B637" s="80" t="s">
        <v>2499</v>
      </c>
      <c r="C637" s="89" t="s">
        <v>1116</v>
      </c>
    </row>
    <row r="638" spans="1:3" ht="15">
      <c r="A638" s="81" t="s">
        <v>462</v>
      </c>
      <c r="B638" s="80">
        <v>20</v>
      </c>
      <c r="C638" s="89" t="s">
        <v>1116</v>
      </c>
    </row>
    <row r="639" spans="1:3" ht="15">
      <c r="A639" s="81" t="s">
        <v>462</v>
      </c>
      <c r="B639" s="80" t="s">
        <v>2507</v>
      </c>
      <c r="C639" s="89" t="s">
        <v>1116</v>
      </c>
    </row>
    <row r="640" spans="1:3" ht="15">
      <c r="A640" s="81" t="s">
        <v>462</v>
      </c>
      <c r="B640" s="80" t="s">
        <v>2508</v>
      </c>
      <c r="C640" s="89" t="s">
        <v>1116</v>
      </c>
    </row>
    <row r="641" spans="1:3" ht="15">
      <c r="A641" s="81" t="s">
        <v>462</v>
      </c>
      <c r="B641" s="80" t="s">
        <v>2509</v>
      </c>
      <c r="C641" s="89" t="s">
        <v>1116</v>
      </c>
    </row>
    <row r="642" spans="1:3" ht="15">
      <c r="A642" s="81" t="s">
        <v>462</v>
      </c>
      <c r="B642" s="80" t="s">
        <v>2510</v>
      </c>
      <c r="C642" s="89" t="s">
        <v>1116</v>
      </c>
    </row>
    <row r="643" spans="1:3" ht="15">
      <c r="A643" s="81" t="s">
        <v>462</v>
      </c>
      <c r="B643" s="80" t="s">
        <v>2697</v>
      </c>
      <c r="C643" s="89" t="s">
        <v>1116</v>
      </c>
    </row>
    <row r="644" spans="1:3" ht="15">
      <c r="A644" s="81" t="s">
        <v>462</v>
      </c>
      <c r="B644" s="80" t="s">
        <v>2512</v>
      </c>
      <c r="C644" s="89" t="s">
        <v>1116</v>
      </c>
    </row>
    <row r="645" spans="1:3" ht="15">
      <c r="A645" s="81" t="s">
        <v>462</v>
      </c>
      <c r="B645" s="80" t="s">
        <v>2513</v>
      </c>
      <c r="C645" s="89" t="s">
        <v>1116</v>
      </c>
    </row>
    <row r="646" spans="1:3" ht="15">
      <c r="A646" s="81" t="s">
        <v>462</v>
      </c>
      <c r="B646" s="80">
        <v>26</v>
      </c>
      <c r="C646" s="89" t="s">
        <v>1116</v>
      </c>
    </row>
    <row r="647" spans="1:3" ht="15">
      <c r="A647" s="81" t="s">
        <v>462</v>
      </c>
      <c r="B647" s="80">
        <v>3</v>
      </c>
      <c r="C647" s="89" t="s">
        <v>1116</v>
      </c>
    </row>
    <row r="648" spans="1:3" ht="15">
      <c r="A648" s="81" t="s">
        <v>462</v>
      </c>
      <c r="B648" s="80" t="s">
        <v>2516</v>
      </c>
      <c r="C648" s="89" t="s">
        <v>1116</v>
      </c>
    </row>
    <row r="649" spans="1:3" ht="15">
      <c r="A649" s="81" t="s">
        <v>462</v>
      </c>
      <c r="B649" s="80">
        <v>23</v>
      </c>
      <c r="C649" s="89" t="s">
        <v>1116</v>
      </c>
    </row>
    <row r="650" spans="1:3" ht="15">
      <c r="A650" s="81" t="s">
        <v>462</v>
      </c>
      <c r="B650" s="80">
        <v>59</v>
      </c>
      <c r="C650" s="89" t="s">
        <v>1116</v>
      </c>
    </row>
    <row r="651" spans="1:3" ht="15">
      <c r="A651" s="81" t="s">
        <v>462</v>
      </c>
      <c r="B651" s="80" t="s">
        <v>2698</v>
      </c>
      <c r="C651" s="89" t="s">
        <v>1116</v>
      </c>
    </row>
    <row r="652" spans="1:3" ht="15">
      <c r="A652" s="81" t="s">
        <v>462</v>
      </c>
      <c r="B652" s="80" t="s">
        <v>2699</v>
      </c>
      <c r="C652" s="89" t="s">
        <v>1116</v>
      </c>
    </row>
    <row r="653" spans="1:3" ht="15">
      <c r="A653" s="81" t="s">
        <v>461</v>
      </c>
      <c r="B653" s="80" t="s">
        <v>2690</v>
      </c>
      <c r="C653" s="89" t="s">
        <v>1115</v>
      </c>
    </row>
    <row r="654" spans="1:3" ht="15">
      <c r="A654" s="81" t="s">
        <v>461</v>
      </c>
      <c r="B654" s="80" t="s">
        <v>2500</v>
      </c>
      <c r="C654" s="89" t="s">
        <v>1115</v>
      </c>
    </row>
    <row r="655" spans="1:3" ht="15">
      <c r="A655" s="81" t="s">
        <v>461</v>
      </c>
      <c r="B655" s="80" t="s">
        <v>2691</v>
      </c>
      <c r="C655" s="89" t="s">
        <v>1115</v>
      </c>
    </row>
    <row r="656" spans="1:3" ht="15">
      <c r="A656" s="81" t="s">
        <v>461</v>
      </c>
      <c r="B656" s="80" t="s">
        <v>2692</v>
      </c>
      <c r="C656" s="89" t="s">
        <v>1115</v>
      </c>
    </row>
    <row r="657" spans="1:3" ht="15">
      <c r="A657" s="81" t="s">
        <v>461</v>
      </c>
      <c r="B657" s="80" t="s">
        <v>2498</v>
      </c>
      <c r="C657" s="89" t="s">
        <v>1115</v>
      </c>
    </row>
    <row r="658" spans="1:3" ht="15">
      <c r="A658" s="81" t="s">
        <v>461</v>
      </c>
      <c r="B658" s="80" t="s">
        <v>2477</v>
      </c>
      <c r="C658" s="89" t="s">
        <v>1115</v>
      </c>
    </row>
    <row r="659" spans="1:3" ht="15">
      <c r="A659" s="81" t="s">
        <v>461</v>
      </c>
      <c r="B659" s="80" t="s">
        <v>2501</v>
      </c>
      <c r="C659" s="89" t="s">
        <v>1115</v>
      </c>
    </row>
    <row r="660" spans="1:3" ht="15">
      <c r="A660" s="81" t="s">
        <v>461</v>
      </c>
      <c r="B660" s="80" t="s">
        <v>2693</v>
      </c>
      <c r="C660" s="89" t="s">
        <v>1115</v>
      </c>
    </row>
    <row r="661" spans="1:3" ht="15">
      <c r="A661" s="81" t="s">
        <v>461</v>
      </c>
      <c r="B661" s="80" t="s">
        <v>2478</v>
      </c>
      <c r="C661" s="89" t="s">
        <v>1115</v>
      </c>
    </row>
    <row r="662" spans="1:3" ht="15">
      <c r="A662" s="81" t="s">
        <v>461</v>
      </c>
      <c r="B662" s="80" t="s">
        <v>2476</v>
      </c>
      <c r="C662" s="89" t="s">
        <v>1115</v>
      </c>
    </row>
    <row r="663" spans="1:3" ht="15">
      <c r="A663" s="81" t="s">
        <v>461</v>
      </c>
      <c r="B663" s="80" t="s">
        <v>2502</v>
      </c>
      <c r="C663" s="89" t="s">
        <v>1115</v>
      </c>
    </row>
    <row r="664" spans="1:3" ht="15">
      <c r="A664" s="81" t="s">
        <v>461</v>
      </c>
      <c r="B664" s="80" t="s">
        <v>2694</v>
      </c>
      <c r="C664" s="89" t="s">
        <v>1115</v>
      </c>
    </row>
    <row r="665" spans="1:3" ht="15">
      <c r="A665" s="81" t="s">
        <v>461</v>
      </c>
      <c r="B665" s="80" t="s">
        <v>2695</v>
      </c>
      <c r="C665" s="89" t="s">
        <v>1115</v>
      </c>
    </row>
    <row r="666" spans="1:3" ht="15">
      <c r="A666" s="81" t="s">
        <v>461</v>
      </c>
      <c r="B666" s="80" t="s">
        <v>2696</v>
      </c>
      <c r="C666" s="89" t="s">
        <v>1115</v>
      </c>
    </row>
    <row r="667" spans="1:3" ht="15">
      <c r="A667" s="81" t="s">
        <v>461</v>
      </c>
      <c r="B667" s="80" t="s">
        <v>2504</v>
      </c>
      <c r="C667" s="89" t="s">
        <v>1115</v>
      </c>
    </row>
    <row r="668" spans="1:3" ht="15">
      <c r="A668" s="81" t="s">
        <v>461</v>
      </c>
      <c r="B668" s="80" t="s">
        <v>2505</v>
      </c>
      <c r="C668" s="89" t="s">
        <v>1115</v>
      </c>
    </row>
    <row r="669" spans="1:3" ht="15">
      <c r="A669" s="81" t="s">
        <v>461</v>
      </c>
      <c r="B669" s="80" t="s">
        <v>2499</v>
      </c>
      <c r="C669" s="89" t="s">
        <v>1115</v>
      </c>
    </row>
    <row r="670" spans="1:3" ht="15">
      <c r="A670" s="81" t="s">
        <v>461</v>
      </c>
      <c r="B670" s="80">
        <v>20</v>
      </c>
      <c r="C670" s="89" t="s">
        <v>1115</v>
      </c>
    </row>
    <row r="671" spans="1:3" ht="15">
      <c r="A671" s="81" t="s">
        <v>461</v>
      </c>
      <c r="B671" s="80" t="s">
        <v>2507</v>
      </c>
      <c r="C671" s="89" t="s">
        <v>1115</v>
      </c>
    </row>
    <row r="672" spans="1:3" ht="15">
      <c r="A672" s="81" t="s">
        <v>461</v>
      </c>
      <c r="B672" s="80" t="s">
        <v>2508</v>
      </c>
      <c r="C672" s="89" t="s">
        <v>1115</v>
      </c>
    </row>
    <row r="673" spans="1:3" ht="15">
      <c r="A673" s="81" t="s">
        <v>461</v>
      </c>
      <c r="B673" s="80" t="s">
        <v>2509</v>
      </c>
      <c r="C673" s="89" t="s">
        <v>1115</v>
      </c>
    </row>
    <row r="674" spans="1:3" ht="15">
      <c r="A674" s="81" t="s">
        <v>461</v>
      </c>
      <c r="B674" s="80" t="s">
        <v>2510</v>
      </c>
      <c r="C674" s="89" t="s">
        <v>1115</v>
      </c>
    </row>
    <row r="675" spans="1:3" ht="15">
      <c r="A675" s="81" t="s">
        <v>461</v>
      </c>
      <c r="B675" s="80" t="s">
        <v>2697</v>
      </c>
      <c r="C675" s="89" t="s">
        <v>1115</v>
      </c>
    </row>
    <row r="676" spans="1:3" ht="15">
      <c r="A676" s="81" t="s">
        <v>461</v>
      </c>
      <c r="B676" s="80" t="s">
        <v>2512</v>
      </c>
      <c r="C676" s="89" t="s">
        <v>1115</v>
      </c>
    </row>
    <row r="677" spans="1:3" ht="15">
      <c r="A677" s="81" t="s">
        <v>461</v>
      </c>
      <c r="B677" s="80" t="s">
        <v>2513</v>
      </c>
      <c r="C677" s="89" t="s">
        <v>1115</v>
      </c>
    </row>
    <row r="678" spans="1:3" ht="15">
      <c r="A678" s="81" t="s">
        <v>461</v>
      </c>
      <c r="B678" s="80">
        <v>26</v>
      </c>
      <c r="C678" s="89" t="s">
        <v>1115</v>
      </c>
    </row>
    <row r="679" spans="1:3" ht="15">
      <c r="A679" s="81" t="s">
        <v>461</v>
      </c>
      <c r="B679" s="80">
        <v>3</v>
      </c>
      <c r="C679" s="89" t="s">
        <v>1115</v>
      </c>
    </row>
    <row r="680" spans="1:3" ht="15">
      <c r="A680" s="81" t="s">
        <v>461</v>
      </c>
      <c r="B680" s="80" t="s">
        <v>2516</v>
      </c>
      <c r="C680" s="89" t="s">
        <v>1115</v>
      </c>
    </row>
    <row r="681" spans="1:3" ht="15">
      <c r="A681" s="81" t="s">
        <v>461</v>
      </c>
      <c r="B681" s="80">
        <v>23</v>
      </c>
      <c r="C681" s="89" t="s">
        <v>1115</v>
      </c>
    </row>
    <row r="682" spans="1:3" ht="15">
      <c r="A682" s="81" t="s">
        <v>461</v>
      </c>
      <c r="B682" s="80">
        <v>59</v>
      </c>
      <c r="C682" s="89" t="s">
        <v>1115</v>
      </c>
    </row>
    <row r="683" spans="1:3" ht="15">
      <c r="A683" s="81" t="s">
        <v>461</v>
      </c>
      <c r="B683" s="80" t="s">
        <v>2698</v>
      </c>
      <c r="C683" s="89" t="s">
        <v>1115</v>
      </c>
    </row>
    <row r="684" spans="1:3" ht="15">
      <c r="A684" s="81" t="s">
        <v>461</v>
      </c>
      <c r="B684" s="80" t="s">
        <v>2699</v>
      </c>
      <c r="C684" s="89" t="s">
        <v>1115</v>
      </c>
    </row>
    <row r="685" spans="1:3" ht="15">
      <c r="A685" s="81" t="s">
        <v>460</v>
      </c>
      <c r="B685" s="80" t="s">
        <v>2727</v>
      </c>
      <c r="C685" s="89" t="s">
        <v>1114</v>
      </c>
    </row>
    <row r="686" spans="1:3" ht="15">
      <c r="A686" s="81" t="s">
        <v>460</v>
      </c>
      <c r="B686" s="80" t="s">
        <v>2728</v>
      </c>
      <c r="C686" s="89" t="s">
        <v>1114</v>
      </c>
    </row>
    <row r="687" spans="1:3" ht="15">
      <c r="A687" s="81" t="s">
        <v>460</v>
      </c>
      <c r="B687" s="80" t="s">
        <v>2729</v>
      </c>
      <c r="C687" s="89" t="s">
        <v>1114</v>
      </c>
    </row>
    <row r="688" spans="1:3" ht="15">
      <c r="A688" s="81" t="s">
        <v>460</v>
      </c>
      <c r="B688" s="80" t="s">
        <v>2693</v>
      </c>
      <c r="C688" s="89" t="s">
        <v>1114</v>
      </c>
    </row>
    <row r="689" spans="1:3" ht="15">
      <c r="A689" s="81" t="s">
        <v>460</v>
      </c>
      <c r="B689" s="80" t="s">
        <v>2730</v>
      </c>
      <c r="C689" s="89" t="s">
        <v>1114</v>
      </c>
    </row>
    <row r="690" spans="1:3" ht="15">
      <c r="A690" s="81" t="s">
        <v>460</v>
      </c>
      <c r="B690" s="80" t="s">
        <v>2731</v>
      </c>
      <c r="C690" s="89" t="s">
        <v>1114</v>
      </c>
    </row>
    <row r="691" spans="1:3" ht="15">
      <c r="A691" s="81" t="s">
        <v>460</v>
      </c>
      <c r="B691" s="80" t="s">
        <v>2732</v>
      </c>
      <c r="C691" s="89" t="s">
        <v>1114</v>
      </c>
    </row>
    <row r="692" spans="1:3" ht="15">
      <c r="A692" s="81" t="s">
        <v>460</v>
      </c>
      <c r="B692" s="80" t="s">
        <v>2691</v>
      </c>
      <c r="C692" s="89" t="s">
        <v>1114</v>
      </c>
    </row>
    <row r="693" spans="1:3" ht="15">
      <c r="A693" s="81" t="s">
        <v>460</v>
      </c>
      <c r="B693" s="80" t="s">
        <v>2733</v>
      </c>
      <c r="C693" s="89" t="s">
        <v>1114</v>
      </c>
    </row>
    <row r="694" spans="1:3" ht="15">
      <c r="A694" s="81" t="s">
        <v>460</v>
      </c>
      <c r="B694" s="80" t="s">
        <v>2734</v>
      </c>
      <c r="C694" s="89" t="s">
        <v>1114</v>
      </c>
    </row>
    <row r="695" spans="1:3" ht="15">
      <c r="A695" s="81" t="s">
        <v>460</v>
      </c>
      <c r="B695" s="80" t="s">
        <v>2735</v>
      </c>
      <c r="C695" s="89" t="s">
        <v>1114</v>
      </c>
    </row>
    <row r="696" spans="1:3" ht="15">
      <c r="A696" s="81" t="s">
        <v>460</v>
      </c>
      <c r="B696" s="80" t="s">
        <v>2736</v>
      </c>
      <c r="C696" s="89" t="s">
        <v>1114</v>
      </c>
    </row>
    <row r="697" spans="1:3" ht="15">
      <c r="A697" s="81" t="s">
        <v>460</v>
      </c>
      <c r="B697" s="80" t="s">
        <v>2737</v>
      </c>
      <c r="C697" s="89" t="s">
        <v>1114</v>
      </c>
    </row>
    <row r="698" spans="1:3" ht="15">
      <c r="A698" s="81" t="s">
        <v>460</v>
      </c>
      <c r="B698" s="80" t="s">
        <v>2738</v>
      </c>
      <c r="C698" s="89" t="s">
        <v>1114</v>
      </c>
    </row>
    <row r="699" spans="1:3" ht="15">
      <c r="A699" s="81" t="s">
        <v>460</v>
      </c>
      <c r="B699" s="80" t="s">
        <v>2739</v>
      </c>
      <c r="C699" s="89" t="s">
        <v>1114</v>
      </c>
    </row>
    <row r="700" spans="1:3" ht="15">
      <c r="A700" s="81" t="s">
        <v>460</v>
      </c>
      <c r="B700" s="80" t="s">
        <v>2112</v>
      </c>
      <c r="C700" s="89" t="s">
        <v>1114</v>
      </c>
    </row>
    <row r="701" spans="1:3" ht="15">
      <c r="A701" s="81" t="s">
        <v>460</v>
      </c>
      <c r="B701" s="80" t="s">
        <v>2740</v>
      </c>
      <c r="C701" s="89" t="s">
        <v>1114</v>
      </c>
    </row>
    <row r="702" spans="1:3" ht="15">
      <c r="A702" s="81" t="s">
        <v>460</v>
      </c>
      <c r="B702" s="80" t="s">
        <v>2741</v>
      </c>
      <c r="C702" s="89" t="s">
        <v>1114</v>
      </c>
    </row>
    <row r="703" spans="1:3" ht="15">
      <c r="A703" s="81" t="s">
        <v>459</v>
      </c>
      <c r="B703" s="80" t="s">
        <v>2690</v>
      </c>
      <c r="C703" s="89" t="s">
        <v>1113</v>
      </c>
    </row>
    <row r="704" spans="1:3" ht="15">
      <c r="A704" s="81" t="s">
        <v>459</v>
      </c>
      <c r="B704" s="80" t="s">
        <v>2500</v>
      </c>
      <c r="C704" s="89" t="s">
        <v>1113</v>
      </c>
    </row>
    <row r="705" spans="1:3" ht="15">
      <c r="A705" s="81" t="s">
        <v>459</v>
      </c>
      <c r="B705" s="80" t="s">
        <v>2691</v>
      </c>
      <c r="C705" s="89" t="s">
        <v>1113</v>
      </c>
    </row>
    <row r="706" spans="1:3" ht="15">
      <c r="A706" s="81" t="s">
        <v>459</v>
      </c>
      <c r="B706" s="80" t="s">
        <v>2692</v>
      </c>
      <c r="C706" s="89" t="s">
        <v>1113</v>
      </c>
    </row>
    <row r="707" spans="1:3" ht="15">
      <c r="A707" s="81" t="s">
        <v>459</v>
      </c>
      <c r="B707" s="80" t="s">
        <v>2498</v>
      </c>
      <c r="C707" s="89" t="s">
        <v>1113</v>
      </c>
    </row>
    <row r="708" spans="1:3" ht="15">
      <c r="A708" s="81" t="s">
        <v>459</v>
      </c>
      <c r="B708" s="80" t="s">
        <v>2477</v>
      </c>
      <c r="C708" s="89" t="s">
        <v>1113</v>
      </c>
    </row>
    <row r="709" spans="1:3" ht="15">
      <c r="A709" s="81" t="s">
        <v>459</v>
      </c>
      <c r="B709" s="80" t="s">
        <v>2501</v>
      </c>
      <c r="C709" s="89" t="s">
        <v>1113</v>
      </c>
    </row>
    <row r="710" spans="1:3" ht="15">
      <c r="A710" s="81" t="s">
        <v>459</v>
      </c>
      <c r="B710" s="80" t="s">
        <v>2693</v>
      </c>
      <c r="C710" s="89" t="s">
        <v>1113</v>
      </c>
    </row>
    <row r="711" spans="1:3" ht="15">
      <c r="A711" s="81" t="s">
        <v>459</v>
      </c>
      <c r="B711" s="80" t="s">
        <v>2478</v>
      </c>
      <c r="C711" s="89" t="s">
        <v>1113</v>
      </c>
    </row>
    <row r="712" spans="1:3" ht="15">
      <c r="A712" s="81" t="s">
        <v>459</v>
      </c>
      <c r="B712" s="80" t="s">
        <v>2476</v>
      </c>
      <c r="C712" s="89" t="s">
        <v>1113</v>
      </c>
    </row>
    <row r="713" spans="1:3" ht="15">
      <c r="A713" s="81" t="s">
        <v>459</v>
      </c>
      <c r="B713" s="80" t="s">
        <v>2502</v>
      </c>
      <c r="C713" s="89" t="s">
        <v>1113</v>
      </c>
    </row>
    <row r="714" spans="1:3" ht="15">
      <c r="A714" s="81" t="s">
        <v>459</v>
      </c>
      <c r="B714" s="80" t="s">
        <v>2694</v>
      </c>
      <c r="C714" s="89" t="s">
        <v>1113</v>
      </c>
    </row>
    <row r="715" spans="1:3" ht="15">
      <c r="A715" s="81" t="s">
        <v>459</v>
      </c>
      <c r="B715" s="80" t="s">
        <v>2695</v>
      </c>
      <c r="C715" s="89" t="s">
        <v>1113</v>
      </c>
    </row>
    <row r="716" spans="1:3" ht="15">
      <c r="A716" s="81" t="s">
        <v>459</v>
      </c>
      <c r="B716" s="80" t="s">
        <v>2696</v>
      </c>
      <c r="C716" s="89" t="s">
        <v>1113</v>
      </c>
    </row>
    <row r="717" spans="1:3" ht="15">
      <c r="A717" s="81" t="s">
        <v>459</v>
      </c>
      <c r="B717" s="80" t="s">
        <v>2504</v>
      </c>
      <c r="C717" s="89" t="s">
        <v>1113</v>
      </c>
    </row>
    <row r="718" spans="1:3" ht="15">
      <c r="A718" s="81" t="s">
        <v>459</v>
      </c>
      <c r="B718" s="80" t="s">
        <v>2505</v>
      </c>
      <c r="C718" s="89" t="s">
        <v>1113</v>
      </c>
    </row>
    <row r="719" spans="1:3" ht="15">
      <c r="A719" s="81" t="s">
        <v>459</v>
      </c>
      <c r="B719" s="80" t="s">
        <v>2499</v>
      </c>
      <c r="C719" s="89" t="s">
        <v>1113</v>
      </c>
    </row>
    <row r="720" spans="1:3" ht="15">
      <c r="A720" s="81" t="s">
        <v>459</v>
      </c>
      <c r="B720" s="80">
        <v>20</v>
      </c>
      <c r="C720" s="89" t="s">
        <v>1113</v>
      </c>
    </row>
    <row r="721" spans="1:3" ht="15">
      <c r="A721" s="81" t="s">
        <v>459</v>
      </c>
      <c r="B721" s="80" t="s">
        <v>2507</v>
      </c>
      <c r="C721" s="89" t="s">
        <v>1113</v>
      </c>
    </row>
    <row r="722" spans="1:3" ht="15">
      <c r="A722" s="81" t="s">
        <v>459</v>
      </c>
      <c r="B722" s="80" t="s">
        <v>2508</v>
      </c>
      <c r="C722" s="89" t="s">
        <v>1113</v>
      </c>
    </row>
    <row r="723" spans="1:3" ht="15">
      <c r="A723" s="81" t="s">
        <v>459</v>
      </c>
      <c r="B723" s="80" t="s">
        <v>2509</v>
      </c>
      <c r="C723" s="89" t="s">
        <v>1113</v>
      </c>
    </row>
    <row r="724" spans="1:3" ht="15">
      <c r="A724" s="81" t="s">
        <v>459</v>
      </c>
      <c r="B724" s="80" t="s">
        <v>2510</v>
      </c>
      <c r="C724" s="89" t="s">
        <v>1113</v>
      </c>
    </row>
    <row r="725" spans="1:3" ht="15">
      <c r="A725" s="81" t="s">
        <v>459</v>
      </c>
      <c r="B725" s="80" t="s">
        <v>2697</v>
      </c>
      <c r="C725" s="89" t="s">
        <v>1113</v>
      </c>
    </row>
    <row r="726" spans="1:3" ht="15">
      <c r="A726" s="81" t="s">
        <v>459</v>
      </c>
      <c r="B726" s="80" t="s">
        <v>2512</v>
      </c>
      <c r="C726" s="89" t="s">
        <v>1113</v>
      </c>
    </row>
    <row r="727" spans="1:3" ht="15">
      <c r="A727" s="81" t="s">
        <v>459</v>
      </c>
      <c r="B727" s="80" t="s">
        <v>2513</v>
      </c>
      <c r="C727" s="89" t="s">
        <v>1113</v>
      </c>
    </row>
    <row r="728" spans="1:3" ht="15">
      <c r="A728" s="81" t="s">
        <v>459</v>
      </c>
      <c r="B728" s="80">
        <v>26</v>
      </c>
      <c r="C728" s="89" t="s">
        <v>1113</v>
      </c>
    </row>
    <row r="729" spans="1:3" ht="15">
      <c r="A729" s="81" t="s">
        <v>459</v>
      </c>
      <c r="B729" s="80">
        <v>3</v>
      </c>
      <c r="C729" s="89" t="s">
        <v>1113</v>
      </c>
    </row>
    <row r="730" spans="1:3" ht="15">
      <c r="A730" s="81" t="s">
        <v>459</v>
      </c>
      <c r="B730" s="80" t="s">
        <v>2516</v>
      </c>
      <c r="C730" s="89" t="s">
        <v>1113</v>
      </c>
    </row>
    <row r="731" spans="1:3" ht="15">
      <c r="A731" s="81" t="s">
        <v>459</v>
      </c>
      <c r="B731" s="80">
        <v>23</v>
      </c>
      <c r="C731" s="89" t="s">
        <v>1113</v>
      </c>
    </row>
    <row r="732" spans="1:3" ht="15">
      <c r="A732" s="81" t="s">
        <v>459</v>
      </c>
      <c r="B732" s="80">
        <v>59</v>
      </c>
      <c r="C732" s="89" t="s">
        <v>1113</v>
      </c>
    </row>
    <row r="733" spans="1:3" ht="15">
      <c r="A733" s="81" t="s">
        <v>459</v>
      </c>
      <c r="B733" s="80" t="s">
        <v>2698</v>
      </c>
      <c r="C733" s="89" t="s">
        <v>1113</v>
      </c>
    </row>
    <row r="734" spans="1:3" ht="15">
      <c r="A734" s="81" t="s">
        <v>459</v>
      </c>
      <c r="B734" s="80" t="s">
        <v>2699</v>
      </c>
      <c r="C734" s="89" t="s">
        <v>1113</v>
      </c>
    </row>
    <row r="735" spans="1:3" ht="15">
      <c r="A735" s="81" t="s">
        <v>458</v>
      </c>
      <c r="B735" s="80" t="s">
        <v>2690</v>
      </c>
      <c r="C735" s="89" t="s">
        <v>1112</v>
      </c>
    </row>
    <row r="736" spans="1:3" ht="15">
      <c r="A736" s="81" t="s">
        <v>458</v>
      </c>
      <c r="B736" s="80" t="s">
        <v>2500</v>
      </c>
      <c r="C736" s="89" t="s">
        <v>1112</v>
      </c>
    </row>
    <row r="737" spans="1:3" ht="15">
      <c r="A737" s="81" t="s">
        <v>458</v>
      </c>
      <c r="B737" s="80" t="s">
        <v>2691</v>
      </c>
      <c r="C737" s="89" t="s">
        <v>1112</v>
      </c>
    </row>
    <row r="738" spans="1:3" ht="15">
      <c r="A738" s="81" t="s">
        <v>458</v>
      </c>
      <c r="B738" s="80" t="s">
        <v>2692</v>
      </c>
      <c r="C738" s="89" t="s">
        <v>1112</v>
      </c>
    </row>
    <row r="739" spans="1:3" ht="15">
      <c r="A739" s="81" t="s">
        <v>458</v>
      </c>
      <c r="B739" s="80" t="s">
        <v>2498</v>
      </c>
      <c r="C739" s="89" t="s">
        <v>1112</v>
      </c>
    </row>
    <row r="740" spans="1:3" ht="15">
      <c r="A740" s="81" t="s">
        <v>458</v>
      </c>
      <c r="B740" s="80" t="s">
        <v>2477</v>
      </c>
      <c r="C740" s="89" t="s">
        <v>1112</v>
      </c>
    </row>
    <row r="741" spans="1:3" ht="15">
      <c r="A741" s="81" t="s">
        <v>458</v>
      </c>
      <c r="B741" s="80" t="s">
        <v>2501</v>
      </c>
      <c r="C741" s="89" t="s">
        <v>1112</v>
      </c>
    </row>
    <row r="742" spans="1:3" ht="15">
      <c r="A742" s="81" t="s">
        <v>458</v>
      </c>
      <c r="B742" s="80" t="s">
        <v>2693</v>
      </c>
      <c r="C742" s="89" t="s">
        <v>1112</v>
      </c>
    </row>
    <row r="743" spans="1:3" ht="15">
      <c r="A743" s="81" t="s">
        <v>458</v>
      </c>
      <c r="B743" s="80" t="s">
        <v>2478</v>
      </c>
      <c r="C743" s="89" t="s">
        <v>1112</v>
      </c>
    </row>
    <row r="744" spans="1:3" ht="15">
      <c r="A744" s="81" t="s">
        <v>458</v>
      </c>
      <c r="B744" s="80" t="s">
        <v>2476</v>
      </c>
      <c r="C744" s="89" t="s">
        <v>1112</v>
      </c>
    </row>
    <row r="745" spans="1:3" ht="15">
      <c r="A745" s="81" t="s">
        <v>458</v>
      </c>
      <c r="B745" s="80" t="s">
        <v>2502</v>
      </c>
      <c r="C745" s="89" t="s">
        <v>1112</v>
      </c>
    </row>
    <row r="746" spans="1:3" ht="15">
      <c r="A746" s="81" t="s">
        <v>458</v>
      </c>
      <c r="B746" s="80" t="s">
        <v>2694</v>
      </c>
      <c r="C746" s="89" t="s">
        <v>1112</v>
      </c>
    </row>
    <row r="747" spans="1:3" ht="15">
      <c r="A747" s="81" t="s">
        <v>458</v>
      </c>
      <c r="B747" s="80" t="s">
        <v>2695</v>
      </c>
      <c r="C747" s="89" t="s">
        <v>1112</v>
      </c>
    </row>
    <row r="748" spans="1:3" ht="15">
      <c r="A748" s="81" t="s">
        <v>458</v>
      </c>
      <c r="B748" s="80" t="s">
        <v>2696</v>
      </c>
      <c r="C748" s="89" t="s">
        <v>1112</v>
      </c>
    </row>
    <row r="749" spans="1:3" ht="15">
      <c r="A749" s="81" t="s">
        <v>458</v>
      </c>
      <c r="B749" s="80" t="s">
        <v>2504</v>
      </c>
      <c r="C749" s="89" t="s">
        <v>1112</v>
      </c>
    </row>
    <row r="750" spans="1:3" ht="15">
      <c r="A750" s="81" t="s">
        <v>458</v>
      </c>
      <c r="B750" s="80" t="s">
        <v>2505</v>
      </c>
      <c r="C750" s="89" t="s">
        <v>1112</v>
      </c>
    </row>
    <row r="751" spans="1:3" ht="15">
      <c r="A751" s="81" t="s">
        <v>458</v>
      </c>
      <c r="B751" s="80" t="s">
        <v>2499</v>
      </c>
      <c r="C751" s="89" t="s">
        <v>1112</v>
      </c>
    </row>
    <row r="752" spans="1:3" ht="15">
      <c r="A752" s="81" t="s">
        <v>458</v>
      </c>
      <c r="B752" s="80">
        <v>20</v>
      </c>
      <c r="C752" s="89" t="s">
        <v>1112</v>
      </c>
    </row>
    <row r="753" spans="1:3" ht="15">
      <c r="A753" s="81" t="s">
        <v>458</v>
      </c>
      <c r="B753" s="80" t="s">
        <v>2507</v>
      </c>
      <c r="C753" s="89" t="s">
        <v>1112</v>
      </c>
    </row>
    <row r="754" spans="1:3" ht="15">
      <c r="A754" s="81" t="s">
        <v>458</v>
      </c>
      <c r="B754" s="80" t="s">
        <v>2508</v>
      </c>
      <c r="C754" s="89" t="s">
        <v>1112</v>
      </c>
    </row>
    <row r="755" spans="1:3" ht="15">
      <c r="A755" s="81" t="s">
        <v>458</v>
      </c>
      <c r="B755" s="80" t="s">
        <v>2509</v>
      </c>
      <c r="C755" s="89" t="s">
        <v>1112</v>
      </c>
    </row>
    <row r="756" spans="1:3" ht="15">
      <c r="A756" s="81" t="s">
        <v>458</v>
      </c>
      <c r="B756" s="80" t="s">
        <v>2510</v>
      </c>
      <c r="C756" s="89" t="s">
        <v>1112</v>
      </c>
    </row>
    <row r="757" spans="1:3" ht="15">
      <c r="A757" s="81" t="s">
        <v>458</v>
      </c>
      <c r="B757" s="80" t="s">
        <v>2697</v>
      </c>
      <c r="C757" s="89" t="s">
        <v>1112</v>
      </c>
    </row>
    <row r="758" spans="1:3" ht="15">
      <c r="A758" s="81" t="s">
        <v>458</v>
      </c>
      <c r="B758" s="80" t="s">
        <v>2512</v>
      </c>
      <c r="C758" s="89" t="s">
        <v>1112</v>
      </c>
    </row>
    <row r="759" spans="1:3" ht="15">
      <c r="A759" s="81" t="s">
        <v>458</v>
      </c>
      <c r="B759" s="80" t="s">
        <v>2513</v>
      </c>
      <c r="C759" s="89" t="s">
        <v>1112</v>
      </c>
    </row>
    <row r="760" spans="1:3" ht="15">
      <c r="A760" s="81" t="s">
        <v>458</v>
      </c>
      <c r="B760" s="80">
        <v>26</v>
      </c>
      <c r="C760" s="89" t="s">
        <v>1112</v>
      </c>
    </row>
    <row r="761" spans="1:3" ht="15">
      <c r="A761" s="81" t="s">
        <v>458</v>
      </c>
      <c r="B761" s="80">
        <v>3</v>
      </c>
      <c r="C761" s="89" t="s">
        <v>1112</v>
      </c>
    </row>
    <row r="762" spans="1:3" ht="15">
      <c r="A762" s="81" t="s">
        <v>458</v>
      </c>
      <c r="B762" s="80" t="s">
        <v>2516</v>
      </c>
      <c r="C762" s="89" t="s">
        <v>1112</v>
      </c>
    </row>
    <row r="763" spans="1:3" ht="15">
      <c r="A763" s="81" t="s">
        <v>458</v>
      </c>
      <c r="B763" s="80">
        <v>23</v>
      </c>
      <c r="C763" s="89" t="s">
        <v>1112</v>
      </c>
    </row>
    <row r="764" spans="1:3" ht="15">
      <c r="A764" s="81" t="s">
        <v>458</v>
      </c>
      <c r="B764" s="80">
        <v>59</v>
      </c>
      <c r="C764" s="89" t="s">
        <v>1112</v>
      </c>
    </row>
    <row r="765" spans="1:3" ht="15">
      <c r="A765" s="81" t="s">
        <v>458</v>
      </c>
      <c r="B765" s="80" t="s">
        <v>2698</v>
      </c>
      <c r="C765" s="89" t="s">
        <v>1112</v>
      </c>
    </row>
    <row r="766" spans="1:3" ht="15">
      <c r="A766" s="81" t="s">
        <v>458</v>
      </c>
      <c r="B766" s="80" t="s">
        <v>2699</v>
      </c>
      <c r="C766" s="89" t="s">
        <v>1112</v>
      </c>
    </row>
    <row r="767" spans="1:3" ht="15">
      <c r="A767" s="81" t="s">
        <v>457</v>
      </c>
      <c r="B767" s="80" t="s">
        <v>2690</v>
      </c>
      <c r="C767" s="89" t="s">
        <v>1111</v>
      </c>
    </row>
    <row r="768" spans="1:3" ht="15">
      <c r="A768" s="81" t="s">
        <v>457</v>
      </c>
      <c r="B768" s="80" t="s">
        <v>2500</v>
      </c>
      <c r="C768" s="89" t="s">
        <v>1111</v>
      </c>
    </row>
    <row r="769" spans="1:3" ht="15">
      <c r="A769" s="81" t="s">
        <v>457</v>
      </c>
      <c r="B769" s="80" t="s">
        <v>2691</v>
      </c>
      <c r="C769" s="89" t="s">
        <v>1111</v>
      </c>
    </row>
    <row r="770" spans="1:3" ht="15">
      <c r="A770" s="81" t="s">
        <v>457</v>
      </c>
      <c r="B770" s="80" t="s">
        <v>2692</v>
      </c>
      <c r="C770" s="89" t="s">
        <v>1111</v>
      </c>
    </row>
    <row r="771" spans="1:3" ht="15">
      <c r="A771" s="81" t="s">
        <v>457</v>
      </c>
      <c r="B771" s="80" t="s">
        <v>2498</v>
      </c>
      <c r="C771" s="89" t="s">
        <v>1111</v>
      </c>
    </row>
    <row r="772" spans="1:3" ht="15">
      <c r="A772" s="81" t="s">
        <v>457</v>
      </c>
      <c r="B772" s="80" t="s">
        <v>2477</v>
      </c>
      <c r="C772" s="89" t="s">
        <v>1111</v>
      </c>
    </row>
    <row r="773" spans="1:3" ht="15">
      <c r="A773" s="81" t="s">
        <v>457</v>
      </c>
      <c r="B773" s="80" t="s">
        <v>2501</v>
      </c>
      <c r="C773" s="89" t="s">
        <v>1111</v>
      </c>
    </row>
    <row r="774" spans="1:3" ht="15">
      <c r="A774" s="81" t="s">
        <v>457</v>
      </c>
      <c r="B774" s="80" t="s">
        <v>2693</v>
      </c>
      <c r="C774" s="89" t="s">
        <v>1111</v>
      </c>
    </row>
    <row r="775" spans="1:3" ht="15">
      <c r="A775" s="81" t="s">
        <v>457</v>
      </c>
      <c r="B775" s="80" t="s">
        <v>2478</v>
      </c>
      <c r="C775" s="89" t="s">
        <v>1111</v>
      </c>
    </row>
    <row r="776" spans="1:3" ht="15">
      <c r="A776" s="81" t="s">
        <v>457</v>
      </c>
      <c r="B776" s="80" t="s">
        <v>2476</v>
      </c>
      <c r="C776" s="89" t="s">
        <v>1111</v>
      </c>
    </row>
    <row r="777" spans="1:3" ht="15">
      <c r="A777" s="81" t="s">
        <v>457</v>
      </c>
      <c r="B777" s="80" t="s">
        <v>2502</v>
      </c>
      <c r="C777" s="89" t="s">
        <v>1111</v>
      </c>
    </row>
    <row r="778" spans="1:3" ht="15">
      <c r="A778" s="81" t="s">
        <v>457</v>
      </c>
      <c r="B778" s="80" t="s">
        <v>2694</v>
      </c>
      <c r="C778" s="89" t="s">
        <v>1111</v>
      </c>
    </row>
    <row r="779" spans="1:3" ht="15">
      <c r="A779" s="81" t="s">
        <v>457</v>
      </c>
      <c r="B779" s="80" t="s">
        <v>2695</v>
      </c>
      <c r="C779" s="89" t="s">
        <v>1111</v>
      </c>
    </row>
    <row r="780" spans="1:3" ht="15">
      <c r="A780" s="81" t="s">
        <v>457</v>
      </c>
      <c r="B780" s="80" t="s">
        <v>2696</v>
      </c>
      <c r="C780" s="89" t="s">
        <v>1111</v>
      </c>
    </row>
    <row r="781" spans="1:3" ht="15">
      <c r="A781" s="81" t="s">
        <v>457</v>
      </c>
      <c r="B781" s="80" t="s">
        <v>2504</v>
      </c>
      <c r="C781" s="89" t="s">
        <v>1111</v>
      </c>
    </row>
    <row r="782" spans="1:3" ht="15">
      <c r="A782" s="81" t="s">
        <v>457</v>
      </c>
      <c r="B782" s="80" t="s">
        <v>2505</v>
      </c>
      <c r="C782" s="89" t="s">
        <v>1111</v>
      </c>
    </row>
    <row r="783" spans="1:3" ht="15">
      <c r="A783" s="81" t="s">
        <v>457</v>
      </c>
      <c r="B783" s="80" t="s">
        <v>2499</v>
      </c>
      <c r="C783" s="89" t="s">
        <v>1111</v>
      </c>
    </row>
    <row r="784" spans="1:3" ht="15">
      <c r="A784" s="81" t="s">
        <v>457</v>
      </c>
      <c r="B784" s="80">
        <v>20</v>
      </c>
      <c r="C784" s="89" t="s">
        <v>1111</v>
      </c>
    </row>
    <row r="785" spans="1:3" ht="15">
      <c r="A785" s="81" t="s">
        <v>457</v>
      </c>
      <c r="B785" s="80" t="s">
        <v>2507</v>
      </c>
      <c r="C785" s="89" t="s">
        <v>1111</v>
      </c>
    </row>
    <row r="786" spans="1:3" ht="15">
      <c r="A786" s="81" t="s">
        <v>457</v>
      </c>
      <c r="B786" s="80" t="s">
        <v>2508</v>
      </c>
      <c r="C786" s="89" t="s">
        <v>1111</v>
      </c>
    </row>
    <row r="787" spans="1:3" ht="15">
      <c r="A787" s="81" t="s">
        <v>457</v>
      </c>
      <c r="B787" s="80" t="s">
        <v>2509</v>
      </c>
      <c r="C787" s="89" t="s">
        <v>1111</v>
      </c>
    </row>
    <row r="788" spans="1:3" ht="15">
      <c r="A788" s="81" t="s">
        <v>457</v>
      </c>
      <c r="B788" s="80" t="s">
        <v>2510</v>
      </c>
      <c r="C788" s="89" t="s">
        <v>1111</v>
      </c>
    </row>
    <row r="789" spans="1:3" ht="15">
      <c r="A789" s="81" t="s">
        <v>457</v>
      </c>
      <c r="B789" s="80" t="s">
        <v>2697</v>
      </c>
      <c r="C789" s="89" t="s">
        <v>1111</v>
      </c>
    </row>
    <row r="790" spans="1:3" ht="15">
      <c r="A790" s="81" t="s">
        <v>457</v>
      </c>
      <c r="B790" s="80" t="s">
        <v>2512</v>
      </c>
      <c r="C790" s="89" t="s">
        <v>1111</v>
      </c>
    </row>
    <row r="791" spans="1:3" ht="15">
      <c r="A791" s="81" t="s">
        <v>457</v>
      </c>
      <c r="B791" s="80" t="s">
        <v>2513</v>
      </c>
      <c r="C791" s="89" t="s">
        <v>1111</v>
      </c>
    </row>
    <row r="792" spans="1:3" ht="15">
      <c r="A792" s="81" t="s">
        <v>457</v>
      </c>
      <c r="B792" s="80">
        <v>26</v>
      </c>
      <c r="C792" s="89" t="s">
        <v>1111</v>
      </c>
    </row>
    <row r="793" spans="1:3" ht="15">
      <c r="A793" s="81" t="s">
        <v>457</v>
      </c>
      <c r="B793" s="80">
        <v>3</v>
      </c>
      <c r="C793" s="89" t="s">
        <v>1111</v>
      </c>
    </row>
    <row r="794" spans="1:3" ht="15">
      <c r="A794" s="81" t="s">
        <v>457</v>
      </c>
      <c r="B794" s="80" t="s">
        <v>2516</v>
      </c>
      <c r="C794" s="89" t="s">
        <v>1111</v>
      </c>
    </row>
    <row r="795" spans="1:3" ht="15">
      <c r="A795" s="81" t="s">
        <v>457</v>
      </c>
      <c r="B795" s="80">
        <v>23</v>
      </c>
      <c r="C795" s="89" t="s">
        <v>1111</v>
      </c>
    </row>
    <row r="796" spans="1:3" ht="15">
      <c r="A796" s="81" t="s">
        <v>457</v>
      </c>
      <c r="B796" s="80">
        <v>59</v>
      </c>
      <c r="C796" s="89" t="s">
        <v>1111</v>
      </c>
    </row>
    <row r="797" spans="1:3" ht="15">
      <c r="A797" s="81" t="s">
        <v>457</v>
      </c>
      <c r="B797" s="80" t="s">
        <v>2698</v>
      </c>
      <c r="C797" s="89" t="s">
        <v>1111</v>
      </c>
    </row>
    <row r="798" spans="1:3" ht="15">
      <c r="A798" s="81" t="s">
        <v>457</v>
      </c>
      <c r="B798" s="80" t="s">
        <v>2699</v>
      </c>
      <c r="C798" s="89" t="s">
        <v>1111</v>
      </c>
    </row>
    <row r="799" spans="1:3" ht="15">
      <c r="A799" s="81" t="s">
        <v>456</v>
      </c>
      <c r="B799" s="80" t="s">
        <v>2690</v>
      </c>
      <c r="C799" s="89" t="s">
        <v>1110</v>
      </c>
    </row>
    <row r="800" spans="1:3" ht="15">
      <c r="A800" s="81" t="s">
        <v>456</v>
      </c>
      <c r="B800" s="80" t="s">
        <v>2500</v>
      </c>
      <c r="C800" s="89" t="s">
        <v>1110</v>
      </c>
    </row>
    <row r="801" spans="1:3" ht="15">
      <c r="A801" s="81" t="s">
        <v>456</v>
      </c>
      <c r="B801" s="80" t="s">
        <v>2691</v>
      </c>
      <c r="C801" s="89" t="s">
        <v>1110</v>
      </c>
    </row>
    <row r="802" spans="1:3" ht="15">
      <c r="A802" s="81" t="s">
        <v>456</v>
      </c>
      <c r="B802" s="80" t="s">
        <v>2692</v>
      </c>
      <c r="C802" s="89" t="s">
        <v>1110</v>
      </c>
    </row>
    <row r="803" spans="1:3" ht="15">
      <c r="A803" s="81" t="s">
        <v>456</v>
      </c>
      <c r="B803" s="80" t="s">
        <v>2498</v>
      </c>
      <c r="C803" s="89" t="s">
        <v>1110</v>
      </c>
    </row>
    <row r="804" spans="1:3" ht="15">
      <c r="A804" s="81" t="s">
        <v>456</v>
      </c>
      <c r="B804" s="80" t="s">
        <v>2477</v>
      </c>
      <c r="C804" s="89" t="s">
        <v>1110</v>
      </c>
    </row>
    <row r="805" spans="1:3" ht="15">
      <c r="A805" s="81" t="s">
        <v>456</v>
      </c>
      <c r="B805" s="80" t="s">
        <v>2501</v>
      </c>
      <c r="C805" s="89" t="s">
        <v>1110</v>
      </c>
    </row>
    <row r="806" spans="1:3" ht="15">
      <c r="A806" s="81" t="s">
        <v>456</v>
      </c>
      <c r="B806" s="80" t="s">
        <v>2693</v>
      </c>
      <c r="C806" s="89" t="s">
        <v>1110</v>
      </c>
    </row>
    <row r="807" spans="1:3" ht="15">
      <c r="A807" s="81" t="s">
        <v>456</v>
      </c>
      <c r="B807" s="80" t="s">
        <v>2478</v>
      </c>
      <c r="C807" s="89" t="s">
        <v>1110</v>
      </c>
    </row>
    <row r="808" spans="1:3" ht="15">
      <c r="A808" s="81" t="s">
        <v>456</v>
      </c>
      <c r="B808" s="80" t="s">
        <v>2476</v>
      </c>
      <c r="C808" s="89" t="s">
        <v>1110</v>
      </c>
    </row>
    <row r="809" spans="1:3" ht="15">
      <c r="A809" s="81" t="s">
        <v>456</v>
      </c>
      <c r="B809" s="80" t="s">
        <v>2502</v>
      </c>
      <c r="C809" s="89" t="s">
        <v>1110</v>
      </c>
    </row>
    <row r="810" spans="1:3" ht="15">
      <c r="A810" s="81" t="s">
        <v>456</v>
      </c>
      <c r="B810" s="80" t="s">
        <v>2694</v>
      </c>
      <c r="C810" s="89" t="s">
        <v>1110</v>
      </c>
    </row>
    <row r="811" spans="1:3" ht="15">
      <c r="A811" s="81" t="s">
        <v>456</v>
      </c>
      <c r="B811" s="80" t="s">
        <v>2695</v>
      </c>
      <c r="C811" s="89" t="s">
        <v>1110</v>
      </c>
    </row>
    <row r="812" spans="1:3" ht="15">
      <c r="A812" s="81" t="s">
        <v>456</v>
      </c>
      <c r="B812" s="80" t="s">
        <v>2696</v>
      </c>
      <c r="C812" s="89" t="s">
        <v>1110</v>
      </c>
    </row>
    <row r="813" spans="1:3" ht="15">
      <c r="A813" s="81" t="s">
        <v>456</v>
      </c>
      <c r="B813" s="80" t="s">
        <v>2504</v>
      </c>
      <c r="C813" s="89" t="s">
        <v>1110</v>
      </c>
    </row>
    <row r="814" spans="1:3" ht="15">
      <c r="A814" s="81" t="s">
        <v>456</v>
      </c>
      <c r="B814" s="80" t="s">
        <v>2505</v>
      </c>
      <c r="C814" s="89" t="s">
        <v>1110</v>
      </c>
    </row>
    <row r="815" spans="1:3" ht="15">
      <c r="A815" s="81" t="s">
        <v>456</v>
      </c>
      <c r="B815" s="80" t="s">
        <v>2499</v>
      </c>
      <c r="C815" s="89" t="s">
        <v>1110</v>
      </c>
    </row>
    <row r="816" spans="1:3" ht="15">
      <c r="A816" s="81" t="s">
        <v>456</v>
      </c>
      <c r="B816" s="80">
        <v>20</v>
      </c>
      <c r="C816" s="89" t="s">
        <v>1110</v>
      </c>
    </row>
    <row r="817" spans="1:3" ht="15">
      <c r="A817" s="81" t="s">
        <v>456</v>
      </c>
      <c r="B817" s="80" t="s">
        <v>2507</v>
      </c>
      <c r="C817" s="89" t="s">
        <v>1110</v>
      </c>
    </row>
    <row r="818" spans="1:3" ht="15">
      <c r="A818" s="81" t="s">
        <v>456</v>
      </c>
      <c r="B818" s="80" t="s">
        <v>2508</v>
      </c>
      <c r="C818" s="89" t="s">
        <v>1110</v>
      </c>
    </row>
    <row r="819" spans="1:3" ht="15">
      <c r="A819" s="81" t="s">
        <v>456</v>
      </c>
      <c r="B819" s="80" t="s">
        <v>2509</v>
      </c>
      <c r="C819" s="89" t="s">
        <v>1110</v>
      </c>
    </row>
    <row r="820" spans="1:3" ht="15">
      <c r="A820" s="81" t="s">
        <v>456</v>
      </c>
      <c r="B820" s="80" t="s">
        <v>2510</v>
      </c>
      <c r="C820" s="89" t="s">
        <v>1110</v>
      </c>
    </row>
    <row r="821" spans="1:3" ht="15">
      <c r="A821" s="81" t="s">
        <v>456</v>
      </c>
      <c r="B821" s="80" t="s">
        <v>2697</v>
      </c>
      <c r="C821" s="89" t="s">
        <v>1110</v>
      </c>
    </row>
    <row r="822" spans="1:3" ht="15">
      <c r="A822" s="81" t="s">
        <v>456</v>
      </c>
      <c r="B822" s="80" t="s">
        <v>2512</v>
      </c>
      <c r="C822" s="89" t="s">
        <v>1110</v>
      </c>
    </row>
    <row r="823" spans="1:3" ht="15">
      <c r="A823" s="81" t="s">
        <v>456</v>
      </c>
      <c r="B823" s="80" t="s">
        <v>2513</v>
      </c>
      <c r="C823" s="89" t="s">
        <v>1110</v>
      </c>
    </row>
    <row r="824" spans="1:3" ht="15">
      <c r="A824" s="81" t="s">
        <v>456</v>
      </c>
      <c r="B824" s="80">
        <v>26</v>
      </c>
      <c r="C824" s="89" t="s">
        <v>1110</v>
      </c>
    </row>
    <row r="825" spans="1:3" ht="15">
      <c r="A825" s="81" t="s">
        <v>456</v>
      </c>
      <c r="B825" s="80">
        <v>3</v>
      </c>
      <c r="C825" s="89" t="s">
        <v>1110</v>
      </c>
    </row>
    <row r="826" spans="1:3" ht="15">
      <c r="A826" s="81" t="s">
        <v>456</v>
      </c>
      <c r="B826" s="80" t="s">
        <v>2516</v>
      </c>
      <c r="C826" s="89" t="s">
        <v>1110</v>
      </c>
    </row>
    <row r="827" spans="1:3" ht="15">
      <c r="A827" s="81" t="s">
        <v>456</v>
      </c>
      <c r="B827" s="80">
        <v>23</v>
      </c>
      <c r="C827" s="89" t="s">
        <v>1110</v>
      </c>
    </row>
    <row r="828" spans="1:3" ht="15">
      <c r="A828" s="81" t="s">
        <v>456</v>
      </c>
      <c r="B828" s="80">
        <v>59</v>
      </c>
      <c r="C828" s="89" t="s">
        <v>1110</v>
      </c>
    </row>
    <row r="829" spans="1:3" ht="15">
      <c r="A829" s="81" t="s">
        <v>456</v>
      </c>
      <c r="B829" s="80" t="s">
        <v>2698</v>
      </c>
      <c r="C829" s="89" t="s">
        <v>1110</v>
      </c>
    </row>
    <row r="830" spans="1:3" ht="15">
      <c r="A830" s="81" t="s">
        <v>456</v>
      </c>
      <c r="B830" s="80" t="s">
        <v>2699</v>
      </c>
      <c r="C830" s="89" t="s">
        <v>1110</v>
      </c>
    </row>
    <row r="831" spans="1:3" ht="15">
      <c r="A831" s="81" t="s">
        <v>455</v>
      </c>
      <c r="B831" s="80" t="s">
        <v>2700</v>
      </c>
      <c r="C831" s="89" t="s">
        <v>1109</v>
      </c>
    </row>
    <row r="832" spans="1:3" ht="15">
      <c r="A832" s="81" t="s">
        <v>455</v>
      </c>
      <c r="B832" s="80" t="s">
        <v>2480</v>
      </c>
      <c r="C832" s="89" t="s">
        <v>1109</v>
      </c>
    </row>
    <row r="833" spans="1:3" ht="15">
      <c r="A833" s="81" t="s">
        <v>455</v>
      </c>
      <c r="B833" s="80" t="s">
        <v>2481</v>
      </c>
      <c r="C833" s="89" t="s">
        <v>1109</v>
      </c>
    </row>
    <row r="834" spans="1:3" ht="15">
      <c r="A834" s="81" t="s">
        <v>455</v>
      </c>
      <c r="B834" s="80" t="s">
        <v>2701</v>
      </c>
      <c r="C834" s="89" t="s">
        <v>1109</v>
      </c>
    </row>
    <row r="835" spans="1:3" ht="15">
      <c r="A835" s="81" t="s">
        <v>455</v>
      </c>
      <c r="B835" s="80" t="s">
        <v>2702</v>
      </c>
      <c r="C835" s="89" t="s">
        <v>1109</v>
      </c>
    </row>
    <row r="836" spans="1:3" ht="15">
      <c r="A836" s="81" t="s">
        <v>455</v>
      </c>
      <c r="B836" s="80" t="s">
        <v>2483</v>
      </c>
      <c r="C836" s="89" t="s">
        <v>1109</v>
      </c>
    </row>
    <row r="837" spans="1:3" ht="15">
      <c r="A837" s="81" t="s">
        <v>455</v>
      </c>
      <c r="B837" s="80" t="s">
        <v>2484</v>
      </c>
      <c r="C837" s="89" t="s">
        <v>1109</v>
      </c>
    </row>
    <row r="838" spans="1:3" ht="15">
      <c r="A838" s="81" t="s">
        <v>455</v>
      </c>
      <c r="B838" s="80" t="s">
        <v>2703</v>
      </c>
      <c r="C838" s="89" t="s">
        <v>1109</v>
      </c>
    </row>
    <row r="839" spans="1:3" ht="15">
      <c r="A839" s="81" t="s">
        <v>455</v>
      </c>
      <c r="B839" s="80" t="s">
        <v>2485</v>
      </c>
      <c r="C839" s="89" t="s">
        <v>1109</v>
      </c>
    </row>
    <row r="840" spans="1:3" ht="15">
      <c r="A840" s="81" t="s">
        <v>455</v>
      </c>
      <c r="B840" s="80" t="s">
        <v>2693</v>
      </c>
      <c r="C840" s="89" t="s">
        <v>1109</v>
      </c>
    </row>
    <row r="841" spans="1:3" ht="15">
      <c r="A841" s="81" t="s">
        <v>455</v>
      </c>
      <c r="B841" s="80" t="s">
        <v>2486</v>
      </c>
      <c r="C841" s="89" t="s">
        <v>1109</v>
      </c>
    </row>
    <row r="842" spans="1:3" ht="15">
      <c r="A842" s="81" t="s">
        <v>455</v>
      </c>
      <c r="B842" s="80" t="s">
        <v>2704</v>
      </c>
      <c r="C842" s="89" t="s">
        <v>1109</v>
      </c>
    </row>
    <row r="843" spans="1:3" ht="15">
      <c r="A843" s="81" t="s">
        <v>455</v>
      </c>
      <c r="B843" s="80" t="s">
        <v>2691</v>
      </c>
      <c r="C843" s="89" t="s">
        <v>1109</v>
      </c>
    </row>
    <row r="844" spans="1:3" ht="15">
      <c r="A844" s="81" t="s">
        <v>455</v>
      </c>
      <c r="B844" s="80" t="s">
        <v>2692</v>
      </c>
      <c r="C844" s="89" t="s">
        <v>1109</v>
      </c>
    </row>
    <row r="845" spans="1:3" ht="15">
      <c r="A845" s="81" t="s">
        <v>455</v>
      </c>
      <c r="B845" s="80" t="s">
        <v>2477</v>
      </c>
      <c r="C845" s="89" t="s">
        <v>1109</v>
      </c>
    </row>
    <row r="846" spans="1:3" ht="15">
      <c r="A846" s="81" t="s">
        <v>455</v>
      </c>
      <c r="B846" s="80" t="s">
        <v>2705</v>
      </c>
      <c r="C846" s="89" t="s">
        <v>1109</v>
      </c>
    </row>
    <row r="847" spans="1:3" ht="15">
      <c r="A847" s="81" t="s">
        <v>455</v>
      </c>
      <c r="B847" s="80" t="s">
        <v>2706</v>
      </c>
      <c r="C847" s="89" t="s">
        <v>1109</v>
      </c>
    </row>
    <row r="848" spans="1:3" ht="15">
      <c r="A848" s="81" t="s">
        <v>455</v>
      </c>
      <c r="B848" s="80" t="s">
        <v>2707</v>
      </c>
      <c r="C848" s="89" t="s">
        <v>1109</v>
      </c>
    </row>
    <row r="849" spans="1:3" ht="15">
      <c r="A849" s="81" t="s">
        <v>455</v>
      </c>
      <c r="B849" s="80" t="s">
        <v>2708</v>
      </c>
      <c r="C849" s="89" t="s">
        <v>1109</v>
      </c>
    </row>
    <row r="850" spans="1:3" ht="15">
      <c r="A850" s="81" t="s">
        <v>455</v>
      </c>
      <c r="B850" s="80" t="s">
        <v>2488</v>
      </c>
      <c r="C850" s="89" t="s">
        <v>1109</v>
      </c>
    </row>
    <row r="851" spans="1:3" ht="15">
      <c r="A851" s="81" t="s">
        <v>455</v>
      </c>
      <c r="B851" s="80" t="s">
        <v>2709</v>
      </c>
      <c r="C851" s="89" t="s">
        <v>1109</v>
      </c>
    </row>
    <row r="852" spans="1:3" ht="15">
      <c r="A852" s="81" t="s">
        <v>455</v>
      </c>
      <c r="B852" s="80" t="s">
        <v>2710</v>
      </c>
      <c r="C852" s="89" t="s">
        <v>1109</v>
      </c>
    </row>
    <row r="853" spans="1:3" ht="15">
      <c r="A853" s="81" t="s">
        <v>455</v>
      </c>
      <c r="B853" s="80" t="s">
        <v>2478</v>
      </c>
      <c r="C853" s="89" t="s">
        <v>1109</v>
      </c>
    </row>
    <row r="854" spans="1:3" ht="15">
      <c r="A854" s="81" t="s">
        <v>455</v>
      </c>
      <c r="B854" s="80" t="s">
        <v>2476</v>
      </c>
      <c r="C854" s="89" t="s">
        <v>1109</v>
      </c>
    </row>
    <row r="855" spans="1:3" ht="15">
      <c r="A855" s="81" t="s">
        <v>455</v>
      </c>
      <c r="B855" s="80" t="s">
        <v>2711</v>
      </c>
      <c r="C855" s="89" t="s">
        <v>1109</v>
      </c>
    </row>
    <row r="856" spans="1:3" ht="15">
      <c r="A856" s="81" t="s">
        <v>455</v>
      </c>
      <c r="B856" s="80" t="s">
        <v>65</v>
      </c>
      <c r="C856" s="89" t="s">
        <v>1109</v>
      </c>
    </row>
    <row r="857" spans="1:3" ht="15">
      <c r="A857" s="81" t="s">
        <v>455</v>
      </c>
      <c r="B857" s="80" t="s">
        <v>2491</v>
      </c>
      <c r="C857" s="89" t="s">
        <v>1109</v>
      </c>
    </row>
    <row r="858" spans="1:3" ht="15">
      <c r="A858" s="81" t="s">
        <v>454</v>
      </c>
      <c r="B858" s="80" t="s">
        <v>2742</v>
      </c>
      <c r="C858" s="89" t="s">
        <v>1108</v>
      </c>
    </row>
    <row r="859" spans="1:3" ht="15">
      <c r="A859" s="81" t="s">
        <v>454</v>
      </c>
      <c r="B859" s="80" t="s">
        <v>2743</v>
      </c>
      <c r="C859" s="89" t="s">
        <v>1108</v>
      </c>
    </row>
    <row r="860" spans="1:3" ht="15">
      <c r="A860" s="81" t="s">
        <v>454</v>
      </c>
      <c r="B860" s="80" t="s">
        <v>2744</v>
      </c>
      <c r="C860" s="89" t="s">
        <v>1108</v>
      </c>
    </row>
    <row r="861" spans="1:3" ht="15">
      <c r="A861" s="81" t="s">
        <v>454</v>
      </c>
      <c r="B861" s="80" t="s">
        <v>2745</v>
      </c>
      <c r="C861" s="89" t="s">
        <v>1108</v>
      </c>
    </row>
    <row r="862" spans="1:3" ht="15">
      <c r="A862" s="81" t="s">
        <v>454</v>
      </c>
      <c r="B862" s="80" t="s">
        <v>2746</v>
      </c>
      <c r="C862" s="89" t="s">
        <v>1108</v>
      </c>
    </row>
    <row r="863" spans="1:3" ht="15">
      <c r="A863" s="81" t="s">
        <v>454</v>
      </c>
      <c r="B863" s="80" t="s">
        <v>2691</v>
      </c>
      <c r="C863" s="89" t="s">
        <v>1108</v>
      </c>
    </row>
    <row r="864" spans="1:3" ht="15">
      <c r="A864" s="81" t="s">
        <v>454</v>
      </c>
      <c r="B864" s="80" t="s">
        <v>591</v>
      </c>
      <c r="C864" s="89" t="s">
        <v>1108</v>
      </c>
    </row>
    <row r="865" spans="1:3" ht="15">
      <c r="A865" s="81" t="s">
        <v>454</v>
      </c>
      <c r="B865" s="80" t="s">
        <v>594</v>
      </c>
      <c r="C865" s="89" t="s">
        <v>1108</v>
      </c>
    </row>
    <row r="866" spans="1:3" ht="15">
      <c r="A866" s="81" t="s">
        <v>453</v>
      </c>
      <c r="B866" s="80" t="s">
        <v>2690</v>
      </c>
      <c r="C866" s="89" t="s">
        <v>1107</v>
      </c>
    </row>
    <row r="867" spans="1:3" ht="15">
      <c r="A867" s="81" t="s">
        <v>453</v>
      </c>
      <c r="B867" s="80" t="s">
        <v>2500</v>
      </c>
      <c r="C867" s="89" t="s">
        <v>1107</v>
      </c>
    </row>
    <row r="868" spans="1:3" ht="15">
      <c r="A868" s="81" t="s">
        <v>453</v>
      </c>
      <c r="B868" s="80" t="s">
        <v>2691</v>
      </c>
      <c r="C868" s="89" t="s">
        <v>1107</v>
      </c>
    </row>
    <row r="869" spans="1:3" ht="15">
      <c r="A869" s="81" t="s">
        <v>453</v>
      </c>
      <c r="B869" s="80" t="s">
        <v>2692</v>
      </c>
      <c r="C869" s="89" t="s">
        <v>1107</v>
      </c>
    </row>
    <row r="870" spans="1:3" ht="15">
      <c r="A870" s="81" t="s">
        <v>453</v>
      </c>
      <c r="B870" s="80" t="s">
        <v>2498</v>
      </c>
      <c r="C870" s="89" t="s">
        <v>1107</v>
      </c>
    </row>
    <row r="871" spans="1:3" ht="15">
      <c r="A871" s="81" t="s">
        <v>453</v>
      </c>
      <c r="B871" s="80" t="s">
        <v>2477</v>
      </c>
      <c r="C871" s="89" t="s">
        <v>1107</v>
      </c>
    </row>
    <row r="872" spans="1:3" ht="15">
      <c r="A872" s="81" t="s">
        <v>453</v>
      </c>
      <c r="B872" s="80" t="s">
        <v>2501</v>
      </c>
      <c r="C872" s="89" t="s">
        <v>1107</v>
      </c>
    </row>
    <row r="873" spans="1:3" ht="15">
      <c r="A873" s="81" t="s">
        <v>453</v>
      </c>
      <c r="B873" s="80" t="s">
        <v>2693</v>
      </c>
      <c r="C873" s="89" t="s">
        <v>1107</v>
      </c>
    </row>
    <row r="874" spans="1:3" ht="15">
      <c r="A874" s="81" t="s">
        <v>453</v>
      </c>
      <c r="B874" s="80" t="s">
        <v>2478</v>
      </c>
      <c r="C874" s="89" t="s">
        <v>1107</v>
      </c>
    </row>
    <row r="875" spans="1:3" ht="15">
      <c r="A875" s="81" t="s">
        <v>453</v>
      </c>
      <c r="B875" s="80" t="s">
        <v>2476</v>
      </c>
      <c r="C875" s="89" t="s">
        <v>1107</v>
      </c>
    </row>
    <row r="876" spans="1:3" ht="15">
      <c r="A876" s="81" t="s">
        <v>453</v>
      </c>
      <c r="B876" s="80" t="s">
        <v>2502</v>
      </c>
      <c r="C876" s="89" t="s">
        <v>1107</v>
      </c>
    </row>
    <row r="877" spans="1:3" ht="15">
      <c r="A877" s="81" t="s">
        <v>453</v>
      </c>
      <c r="B877" s="80" t="s">
        <v>2694</v>
      </c>
      <c r="C877" s="89" t="s">
        <v>1107</v>
      </c>
    </row>
    <row r="878" spans="1:3" ht="15">
      <c r="A878" s="81" t="s">
        <v>453</v>
      </c>
      <c r="B878" s="80" t="s">
        <v>2695</v>
      </c>
      <c r="C878" s="89" t="s">
        <v>1107</v>
      </c>
    </row>
    <row r="879" spans="1:3" ht="15">
      <c r="A879" s="81" t="s">
        <v>453</v>
      </c>
      <c r="B879" s="80" t="s">
        <v>2696</v>
      </c>
      <c r="C879" s="89" t="s">
        <v>1107</v>
      </c>
    </row>
    <row r="880" spans="1:3" ht="15">
      <c r="A880" s="81" t="s">
        <v>453</v>
      </c>
      <c r="B880" s="80" t="s">
        <v>2504</v>
      </c>
      <c r="C880" s="89" t="s">
        <v>1107</v>
      </c>
    </row>
    <row r="881" spans="1:3" ht="15">
      <c r="A881" s="81" t="s">
        <v>453</v>
      </c>
      <c r="B881" s="80" t="s">
        <v>2505</v>
      </c>
      <c r="C881" s="89" t="s">
        <v>1107</v>
      </c>
    </row>
    <row r="882" spans="1:3" ht="15">
      <c r="A882" s="81" t="s">
        <v>453</v>
      </c>
      <c r="B882" s="80" t="s">
        <v>2499</v>
      </c>
      <c r="C882" s="89" t="s">
        <v>1107</v>
      </c>
    </row>
    <row r="883" spans="1:3" ht="15">
      <c r="A883" s="81" t="s">
        <v>453</v>
      </c>
      <c r="B883" s="80">
        <v>20</v>
      </c>
      <c r="C883" s="89" t="s">
        <v>1107</v>
      </c>
    </row>
    <row r="884" spans="1:3" ht="15">
      <c r="A884" s="81" t="s">
        <v>453</v>
      </c>
      <c r="B884" s="80" t="s">
        <v>2507</v>
      </c>
      <c r="C884" s="89" t="s">
        <v>1107</v>
      </c>
    </row>
    <row r="885" spans="1:3" ht="15">
      <c r="A885" s="81" t="s">
        <v>453</v>
      </c>
      <c r="B885" s="80" t="s">
        <v>2508</v>
      </c>
      <c r="C885" s="89" t="s">
        <v>1107</v>
      </c>
    </row>
    <row r="886" spans="1:3" ht="15">
      <c r="A886" s="81" t="s">
        <v>453</v>
      </c>
      <c r="B886" s="80" t="s">
        <v>2509</v>
      </c>
      <c r="C886" s="89" t="s">
        <v>1107</v>
      </c>
    </row>
    <row r="887" spans="1:3" ht="15">
      <c r="A887" s="81" t="s">
        <v>453</v>
      </c>
      <c r="B887" s="80" t="s">
        <v>2510</v>
      </c>
      <c r="C887" s="89" t="s">
        <v>1107</v>
      </c>
    </row>
    <row r="888" spans="1:3" ht="15">
      <c r="A888" s="81" t="s">
        <v>453</v>
      </c>
      <c r="B888" s="80" t="s">
        <v>2697</v>
      </c>
      <c r="C888" s="89" t="s">
        <v>1107</v>
      </c>
    </row>
    <row r="889" spans="1:3" ht="15">
      <c r="A889" s="81" t="s">
        <v>453</v>
      </c>
      <c r="B889" s="80" t="s">
        <v>2512</v>
      </c>
      <c r="C889" s="89" t="s">
        <v>1107</v>
      </c>
    </row>
    <row r="890" spans="1:3" ht="15">
      <c r="A890" s="81" t="s">
        <v>453</v>
      </c>
      <c r="B890" s="80" t="s">
        <v>2513</v>
      </c>
      <c r="C890" s="89" t="s">
        <v>1107</v>
      </c>
    </row>
    <row r="891" spans="1:3" ht="15">
      <c r="A891" s="81" t="s">
        <v>453</v>
      </c>
      <c r="B891" s="80">
        <v>26</v>
      </c>
      <c r="C891" s="89" t="s">
        <v>1107</v>
      </c>
    </row>
    <row r="892" spans="1:3" ht="15">
      <c r="A892" s="81" t="s">
        <v>453</v>
      </c>
      <c r="B892" s="80">
        <v>3</v>
      </c>
      <c r="C892" s="89" t="s">
        <v>1107</v>
      </c>
    </row>
    <row r="893" spans="1:3" ht="15">
      <c r="A893" s="81" t="s">
        <v>453</v>
      </c>
      <c r="B893" s="80" t="s">
        <v>2516</v>
      </c>
      <c r="C893" s="89" t="s">
        <v>1107</v>
      </c>
    </row>
    <row r="894" spans="1:3" ht="15">
      <c r="A894" s="81" t="s">
        <v>453</v>
      </c>
      <c r="B894" s="80">
        <v>23</v>
      </c>
      <c r="C894" s="89" t="s">
        <v>1107</v>
      </c>
    </row>
    <row r="895" spans="1:3" ht="15">
      <c r="A895" s="81" t="s">
        <v>453</v>
      </c>
      <c r="B895" s="80">
        <v>59</v>
      </c>
      <c r="C895" s="89" t="s">
        <v>1107</v>
      </c>
    </row>
    <row r="896" spans="1:3" ht="15">
      <c r="A896" s="81" t="s">
        <v>453</v>
      </c>
      <c r="B896" s="80" t="s">
        <v>2698</v>
      </c>
      <c r="C896" s="89" t="s">
        <v>1107</v>
      </c>
    </row>
    <row r="897" spans="1:3" ht="15">
      <c r="A897" s="81" t="s">
        <v>453</v>
      </c>
      <c r="B897" s="80" t="s">
        <v>2699</v>
      </c>
      <c r="C897" s="89" t="s">
        <v>1107</v>
      </c>
    </row>
    <row r="898" spans="1:3" ht="15">
      <c r="A898" s="81" t="s">
        <v>452</v>
      </c>
      <c r="B898" s="80" t="s">
        <v>2700</v>
      </c>
      <c r="C898" s="89" t="s">
        <v>1106</v>
      </c>
    </row>
    <row r="899" spans="1:3" ht="15">
      <c r="A899" s="81" t="s">
        <v>452</v>
      </c>
      <c r="B899" s="80" t="s">
        <v>2480</v>
      </c>
      <c r="C899" s="89" t="s">
        <v>1106</v>
      </c>
    </row>
    <row r="900" spans="1:3" ht="15">
      <c r="A900" s="81" t="s">
        <v>452</v>
      </c>
      <c r="B900" s="80" t="s">
        <v>2481</v>
      </c>
      <c r="C900" s="89" t="s">
        <v>1106</v>
      </c>
    </row>
    <row r="901" spans="1:3" ht="15">
      <c r="A901" s="81" t="s">
        <v>452</v>
      </c>
      <c r="B901" s="80" t="s">
        <v>2701</v>
      </c>
      <c r="C901" s="89" t="s">
        <v>1106</v>
      </c>
    </row>
    <row r="902" spans="1:3" ht="15">
      <c r="A902" s="81" t="s">
        <v>452</v>
      </c>
      <c r="B902" s="80" t="s">
        <v>2702</v>
      </c>
      <c r="C902" s="89" t="s">
        <v>1106</v>
      </c>
    </row>
    <row r="903" spans="1:3" ht="15">
      <c r="A903" s="81" t="s">
        <v>452</v>
      </c>
      <c r="B903" s="80" t="s">
        <v>2483</v>
      </c>
      <c r="C903" s="89" t="s">
        <v>1106</v>
      </c>
    </row>
    <row r="904" spans="1:3" ht="15">
      <c r="A904" s="81" t="s">
        <v>452</v>
      </c>
      <c r="B904" s="80" t="s">
        <v>2484</v>
      </c>
      <c r="C904" s="89" t="s">
        <v>1106</v>
      </c>
    </row>
    <row r="905" spans="1:3" ht="15">
      <c r="A905" s="81" t="s">
        <v>452</v>
      </c>
      <c r="B905" s="80" t="s">
        <v>2703</v>
      </c>
      <c r="C905" s="89" t="s">
        <v>1106</v>
      </c>
    </row>
    <row r="906" spans="1:3" ht="15">
      <c r="A906" s="81" t="s">
        <v>452</v>
      </c>
      <c r="B906" s="80" t="s">
        <v>2485</v>
      </c>
      <c r="C906" s="89" t="s">
        <v>1106</v>
      </c>
    </row>
    <row r="907" spans="1:3" ht="15">
      <c r="A907" s="81" t="s">
        <v>452</v>
      </c>
      <c r="B907" s="80" t="s">
        <v>2693</v>
      </c>
      <c r="C907" s="89" t="s">
        <v>1106</v>
      </c>
    </row>
    <row r="908" spans="1:3" ht="15">
      <c r="A908" s="81" t="s">
        <v>452</v>
      </c>
      <c r="B908" s="80" t="s">
        <v>2486</v>
      </c>
      <c r="C908" s="89" t="s">
        <v>1106</v>
      </c>
    </row>
    <row r="909" spans="1:3" ht="15">
      <c r="A909" s="81" t="s">
        <v>452</v>
      </c>
      <c r="B909" s="80" t="s">
        <v>2704</v>
      </c>
      <c r="C909" s="89" t="s">
        <v>1106</v>
      </c>
    </row>
    <row r="910" spans="1:3" ht="15">
      <c r="A910" s="81" t="s">
        <v>452</v>
      </c>
      <c r="B910" s="80" t="s">
        <v>2691</v>
      </c>
      <c r="C910" s="89" t="s">
        <v>1106</v>
      </c>
    </row>
    <row r="911" spans="1:3" ht="15">
      <c r="A911" s="81" t="s">
        <v>452</v>
      </c>
      <c r="B911" s="80" t="s">
        <v>2692</v>
      </c>
      <c r="C911" s="89" t="s">
        <v>1106</v>
      </c>
    </row>
    <row r="912" spans="1:3" ht="15">
      <c r="A912" s="81" t="s">
        <v>452</v>
      </c>
      <c r="B912" s="80" t="s">
        <v>2477</v>
      </c>
      <c r="C912" s="89" t="s">
        <v>1106</v>
      </c>
    </row>
    <row r="913" spans="1:3" ht="15">
      <c r="A913" s="81" t="s">
        <v>452</v>
      </c>
      <c r="B913" s="80" t="s">
        <v>2705</v>
      </c>
      <c r="C913" s="89" t="s">
        <v>1106</v>
      </c>
    </row>
    <row r="914" spans="1:3" ht="15">
      <c r="A914" s="81" t="s">
        <v>452</v>
      </c>
      <c r="B914" s="80" t="s">
        <v>2706</v>
      </c>
      <c r="C914" s="89" t="s">
        <v>1106</v>
      </c>
    </row>
    <row r="915" spans="1:3" ht="15">
      <c r="A915" s="81" t="s">
        <v>452</v>
      </c>
      <c r="B915" s="80" t="s">
        <v>2707</v>
      </c>
      <c r="C915" s="89" t="s">
        <v>1106</v>
      </c>
    </row>
    <row r="916" spans="1:3" ht="15">
      <c r="A916" s="81" t="s">
        <v>452</v>
      </c>
      <c r="B916" s="80" t="s">
        <v>2708</v>
      </c>
      <c r="C916" s="89" t="s">
        <v>1106</v>
      </c>
    </row>
    <row r="917" spans="1:3" ht="15">
      <c r="A917" s="81" t="s">
        <v>452</v>
      </c>
      <c r="B917" s="80" t="s">
        <v>2488</v>
      </c>
      <c r="C917" s="89" t="s">
        <v>1106</v>
      </c>
    </row>
    <row r="918" spans="1:3" ht="15">
      <c r="A918" s="81" t="s">
        <v>452</v>
      </c>
      <c r="B918" s="80" t="s">
        <v>2709</v>
      </c>
      <c r="C918" s="89" t="s">
        <v>1106</v>
      </c>
    </row>
    <row r="919" spans="1:3" ht="15">
      <c r="A919" s="81" t="s">
        <v>452</v>
      </c>
      <c r="B919" s="80" t="s">
        <v>2710</v>
      </c>
      <c r="C919" s="89" t="s">
        <v>1106</v>
      </c>
    </row>
    <row r="920" spans="1:3" ht="15">
      <c r="A920" s="81" t="s">
        <v>452</v>
      </c>
      <c r="B920" s="80" t="s">
        <v>2478</v>
      </c>
      <c r="C920" s="89" t="s">
        <v>1106</v>
      </c>
    </row>
    <row r="921" spans="1:3" ht="15">
      <c r="A921" s="81" t="s">
        <v>452</v>
      </c>
      <c r="B921" s="80" t="s">
        <v>2476</v>
      </c>
      <c r="C921" s="89" t="s">
        <v>1106</v>
      </c>
    </row>
    <row r="922" spans="1:3" ht="15">
      <c r="A922" s="81" t="s">
        <v>452</v>
      </c>
      <c r="B922" s="80" t="s">
        <v>2711</v>
      </c>
      <c r="C922" s="89" t="s">
        <v>1106</v>
      </c>
    </row>
    <row r="923" spans="1:3" ht="15">
      <c r="A923" s="81" t="s">
        <v>452</v>
      </c>
      <c r="B923" s="80" t="s">
        <v>65</v>
      </c>
      <c r="C923" s="89" t="s">
        <v>1106</v>
      </c>
    </row>
    <row r="924" spans="1:3" ht="15">
      <c r="A924" s="81" t="s">
        <v>452</v>
      </c>
      <c r="B924" s="80" t="s">
        <v>2491</v>
      </c>
      <c r="C924" s="89" t="s">
        <v>1106</v>
      </c>
    </row>
    <row r="925" spans="1:3" ht="15">
      <c r="A925" s="81" t="s">
        <v>451</v>
      </c>
      <c r="B925" s="80" t="s">
        <v>2700</v>
      </c>
      <c r="C925" s="89" t="s">
        <v>1105</v>
      </c>
    </row>
    <row r="926" spans="1:3" ht="15">
      <c r="A926" s="81" t="s">
        <v>451</v>
      </c>
      <c r="B926" s="80" t="s">
        <v>2480</v>
      </c>
      <c r="C926" s="89" t="s">
        <v>1105</v>
      </c>
    </row>
    <row r="927" spans="1:3" ht="15">
      <c r="A927" s="81" t="s">
        <v>451</v>
      </c>
      <c r="B927" s="80" t="s">
        <v>2481</v>
      </c>
      <c r="C927" s="89" t="s">
        <v>1105</v>
      </c>
    </row>
    <row r="928" spans="1:3" ht="15">
      <c r="A928" s="81" t="s">
        <v>451</v>
      </c>
      <c r="B928" s="80" t="s">
        <v>2701</v>
      </c>
      <c r="C928" s="89" t="s">
        <v>1105</v>
      </c>
    </row>
    <row r="929" spans="1:3" ht="15">
      <c r="A929" s="81" t="s">
        <v>451</v>
      </c>
      <c r="B929" s="80" t="s">
        <v>2702</v>
      </c>
      <c r="C929" s="89" t="s">
        <v>1105</v>
      </c>
    </row>
    <row r="930" spans="1:3" ht="15">
      <c r="A930" s="81" t="s">
        <v>451</v>
      </c>
      <c r="B930" s="80" t="s">
        <v>2483</v>
      </c>
      <c r="C930" s="89" t="s">
        <v>1105</v>
      </c>
    </row>
    <row r="931" spans="1:3" ht="15">
      <c r="A931" s="81" t="s">
        <v>451</v>
      </c>
      <c r="B931" s="80" t="s">
        <v>2484</v>
      </c>
      <c r="C931" s="89" t="s">
        <v>1105</v>
      </c>
    </row>
    <row r="932" spans="1:3" ht="15">
      <c r="A932" s="81" t="s">
        <v>451</v>
      </c>
      <c r="B932" s="80" t="s">
        <v>2703</v>
      </c>
      <c r="C932" s="89" t="s">
        <v>1105</v>
      </c>
    </row>
    <row r="933" spans="1:3" ht="15">
      <c r="A933" s="81" t="s">
        <v>451</v>
      </c>
      <c r="B933" s="80" t="s">
        <v>2485</v>
      </c>
      <c r="C933" s="89" t="s">
        <v>1105</v>
      </c>
    </row>
    <row r="934" spans="1:3" ht="15">
      <c r="A934" s="81" t="s">
        <v>451</v>
      </c>
      <c r="B934" s="80" t="s">
        <v>2693</v>
      </c>
      <c r="C934" s="89" t="s">
        <v>1105</v>
      </c>
    </row>
    <row r="935" spans="1:3" ht="15">
      <c r="A935" s="81" t="s">
        <v>451</v>
      </c>
      <c r="B935" s="80" t="s">
        <v>2486</v>
      </c>
      <c r="C935" s="89" t="s">
        <v>1105</v>
      </c>
    </row>
    <row r="936" spans="1:3" ht="15">
      <c r="A936" s="81" t="s">
        <v>451</v>
      </c>
      <c r="B936" s="80" t="s">
        <v>2704</v>
      </c>
      <c r="C936" s="89" t="s">
        <v>1105</v>
      </c>
    </row>
    <row r="937" spans="1:3" ht="15">
      <c r="A937" s="81" t="s">
        <v>451</v>
      </c>
      <c r="B937" s="80" t="s">
        <v>2691</v>
      </c>
      <c r="C937" s="89" t="s">
        <v>1105</v>
      </c>
    </row>
    <row r="938" spans="1:3" ht="15">
      <c r="A938" s="81" t="s">
        <v>451</v>
      </c>
      <c r="B938" s="80" t="s">
        <v>2692</v>
      </c>
      <c r="C938" s="89" t="s">
        <v>1105</v>
      </c>
    </row>
    <row r="939" spans="1:3" ht="15">
      <c r="A939" s="81" t="s">
        <v>451</v>
      </c>
      <c r="B939" s="80" t="s">
        <v>2477</v>
      </c>
      <c r="C939" s="89" t="s">
        <v>1105</v>
      </c>
    </row>
    <row r="940" spans="1:3" ht="15">
      <c r="A940" s="81" t="s">
        <v>451</v>
      </c>
      <c r="B940" s="80" t="s">
        <v>2705</v>
      </c>
      <c r="C940" s="89" t="s">
        <v>1105</v>
      </c>
    </row>
    <row r="941" spans="1:3" ht="15">
      <c r="A941" s="81" t="s">
        <v>451</v>
      </c>
      <c r="B941" s="80" t="s">
        <v>2706</v>
      </c>
      <c r="C941" s="89" t="s">
        <v>1105</v>
      </c>
    </row>
    <row r="942" spans="1:3" ht="15">
      <c r="A942" s="81" t="s">
        <v>451</v>
      </c>
      <c r="B942" s="80" t="s">
        <v>2707</v>
      </c>
      <c r="C942" s="89" t="s">
        <v>1105</v>
      </c>
    </row>
    <row r="943" spans="1:3" ht="15">
      <c r="A943" s="81" t="s">
        <v>451</v>
      </c>
      <c r="B943" s="80" t="s">
        <v>2708</v>
      </c>
      <c r="C943" s="89" t="s">
        <v>1105</v>
      </c>
    </row>
    <row r="944" spans="1:3" ht="15">
      <c r="A944" s="81" t="s">
        <v>451</v>
      </c>
      <c r="B944" s="80" t="s">
        <v>2488</v>
      </c>
      <c r="C944" s="89" t="s">
        <v>1105</v>
      </c>
    </row>
    <row r="945" spans="1:3" ht="15">
      <c r="A945" s="81" t="s">
        <v>451</v>
      </c>
      <c r="B945" s="80" t="s">
        <v>2709</v>
      </c>
      <c r="C945" s="89" t="s">
        <v>1105</v>
      </c>
    </row>
    <row r="946" spans="1:3" ht="15">
      <c r="A946" s="81" t="s">
        <v>451</v>
      </c>
      <c r="B946" s="80" t="s">
        <v>2710</v>
      </c>
      <c r="C946" s="89" t="s">
        <v>1105</v>
      </c>
    </row>
    <row r="947" spans="1:3" ht="15">
      <c r="A947" s="81" t="s">
        <v>451</v>
      </c>
      <c r="B947" s="80" t="s">
        <v>2478</v>
      </c>
      <c r="C947" s="89" t="s">
        <v>1105</v>
      </c>
    </row>
    <row r="948" spans="1:3" ht="15">
      <c r="A948" s="81" t="s">
        <v>451</v>
      </c>
      <c r="B948" s="80" t="s">
        <v>2476</v>
      </c>
      <c r="C948" s="89" t="s">
        <v>1105</v>
      </c>
    </row>
    <row r="949" spans="1:3" ht="15">
      <c r="A949" s="81" t="s">
        <v>451</v>
      </c>
      <c r="B949" s="80" t="s">
        <v>2711</v>
      </c>
      <c r="C949" s="89" t="s">
        <v>1105</v>
      </c>
    </row>
    <row r="950" spans="1:3" ht="15">
      <c r="A950" s="81" t="s">
        <v>451</v>
      </c>
      <c r="B950" s="80" t="s">
        <v>65</v>
      </c>
      <c r="C950" s="89" t="s">
        <v>1105</v>
      </c>
    </row>
    <row r="951" spans="1:3" ht="15">
      <c r="A951" s="81" t="s">
        <v>451</v>
      </c>
      <c r="B951" s="80" t="s">
        <v>2491</v>
      </c>
      <c r="C951" s="89" t="s">
        <v>1105</v>
      </c>
    </row>
    <row r="952" spans="1:3" ht="15">
      <c r="A952" s="81" t="s">
        <v>450</v>
      </c>
      <c r="B952" s="80" t="s">
        <v>2747</v>
      </c>
      <c r="C952" s="89" t="s">
        <v>1104</v>
      </c>
    </row>
    <row r="953" spans="1:3" ht="15">
      <c r="A953" s="81" t="s">
        <v>450</v>
      </c>
      <c r="B953" s="80" t="s">
        <v>2691</v>
      </c>
      <c r="C953" s="89" t="s">
        <v>1104</v>
      </c>
    </row>
    <row r="954" spans="1:3" ht="15">
      <c r="A954" s="81" t="s">
        <v>450</v>
      </c>
      <c r="B954" s="80" t="s">
        <v>2692</v>
      </c>
      <c r="C954" s="89" t="s">
        <v>1104</v>
      </c>
    </row>
    <row r="955" spans="1:3" ht="15">
      <c r="A955" s="81" t="s">
        <v>450</v>
      </c>
      <c r="B955" s="80" t="s">
        <v>2748</v>
      </c>
      <c r="C955" s="89" t="s">
        <v>1104</v>
      </c>
    </row>
    <row r="956" spans="1:3" ht="15">
      <c r="A956" s="81" t="s">
        <v>450</v>
      </c>
      <c r="B956" s="80" t="s">
        <v>2749</v>
      </c>
      <c r="C956" s="89" t="s">
        <v>1104</v>
      </c>
    </row>
    <row r="957" spans="1:3" ht="15">
      <c r="A957" s="81" t="s">
        <v>450</v>
      </c>
      <c r="B957" s="80" t="s">
        <v>2750</v>
      </c>
      <c r="C957" s="89" t="s">
        <v>1104</v>
      </c>
    </row>
    <row r="958" spans="1:3" ht="15">
      <c r="A958" s="81" t="s">
        <v>450</v>
      </c>
      <c r="B958" s="80" t="s">
        <v>2568</v>
      </c>
      <c r="C958" s="89" t="s">
        <v>1104</v>
      </c>
    </row>
    <row r="959" spans="1:3" ht="15">
      <c r="A959" s="81" t="s">
        <v>450</v>
      </c>
      <c r="B959" s="80" t="s">
        <v>2751</v>
      </c>
      <c r="C959" s="89" t="s">
        <v>1104</v>
      </c>
    </row>
    <row r="960" spans="1:3" ht="15">
      <c r="A960" s="81" t="s">
        <v>450</v>
      </c>
      <c r="B960" s="80" t="s">
        <v>1181</v>
      </c>
      <c r="C960" s="89" t="s">
        <v>1104</v>
      </c>
    </row>
    <row r="961" spans="1:3" ht="15">
      <c r="A961" s="81" t="s">
        <v>450</v>
      </c>
      <c r="B961" s="80" t="s">
        <v>2752</v>
      </c>
      <c r="C961" s="89" t="s">
        <v>1104</v>
      </c>
    </row>
    <row r="962" spans="1:3" ht="15">
      <c r="A962" s="81" t="s">
        <v>450</v>
      </c>
      <c r="B962" s="80" t="s">
        <v>2753</v>
      </c>
      <c r="C962" s="89" t="s">
        <v>1104</v>
      </c>
    </row>
    <row r="963" spans="1:3" ht="15">
      <c r="A963" s="81" t="s">
        <v>450</v>
      </c>
      <c r="B963" s="80" t="s">
        <v>2754</v>
      </c>
      <c r="C963" s="89" t="s">
        <v>1104</v>
      </c>
    </row>
    <row r="964" spans="1:3" ht="15">
      <c r="A964" s="81" t="s">
        <v>450</v>
      </c>
      <c r="B964" s="80" t="s">
        <v>2755</v>
      </c>
      <c r="C964" s="89" t="s">
        <v>1104</v>
      </c>
    </row>
    <row r="965" spans="1:3" ht="15">
      <c r="A965" s="81" t="s">
        <v>450</v>
      </c>
      <c r="B965" s="80" t="s">
        <v>2756</v>
      </c>
      <c r="C965" s="89" t="s">
        <v>1104</v>
      </c>
    </row>
    <row r="966" spans="1:3" ht="15">
      <c r="A966" s="81" t="s">
        <v>450</v>
      </c>
      <c r="B966" s="80" t="s">
        <v>2757</v>
      </c>
      <c r="C966" s="89" t="s">
        <v>1104</v>
      </c>
    </row>
    <row r="967" spans="1:3" ht="15">
      <c r="A967" s="81" t="s">
        <v>450</v>
      </c>
      <c r="B967" s="80" t="s">
        <v>2758</v>
      </c>
      <c r="C967" s="89" t="s">
        <v>1104</v>
      </c>
    </row>
    <row r="968" spans="1:3" ht="15">
      <c r="A968" s="81" t="s">
        <v>450</v>
      </c>
      <c r="B968" s="80" t="s">
        <v>2547</v>
      </c>
      <c r="C968" s="89" t="s">
        <v>1104</v>
      </c>
    </row>
    <row r="969" spans="1:3" ht="15">
      <c r="A969" s="81" t="s">
        <v>450</v>
      </c>
      <c r="B969" s="80" t="s">
        <v>594</v>
      </c>
      <c r="C969" s="89" t="s">
        <v>1104</v>
      </c>
    </row>
    <row r="970" spans="1:3" ht="15">
      <c r="A970" s="81" t="s">
        <v>450</v>
      </c>
      <c r="B970" s="80" t="s">
        <v>591</v>
      </c>
      <c r="C970" s="89" t="s">
        <v>1104</v>
      </c>
    </row>
    <row r="971" spans="1:3" ht="15">
      <c r="A971" s="81" t="s">
        <v>450</v>
      </c>
      <c r="B971" s="80" t="s">
        <v>2759</v>
      </c>
      <c r="C971" s="89" t="s">
        <v>1104</v>
      </c>
    </row>
    <row r="972" spans="1:3" ht="15">
      <c r="A972" s="81" t="s">
        <v>449</v>
      </c>
      <c r="B972" s="80" t="s">
        <v>2700</v>
      </c>
      <c r="C972" s="89" t="s">
        <v>1103</v>
      </c>
    </row>
    <row r="973" spans="1:3" ht="15">
      <c r="A973" s="81" t="s">
        <v>449</v>
      </c>
      <c r="B973" s="80" t="s">
        <v>2480</v>
      </c>
      <c r="C973" s="89" t="s">
        <v>1103</v>
      </c>
    </row>
    <row r="974" spans="1:3" ht="15">
      <c r="A974" s="81" t="s">
        <v>449</v>
      </c>
      <c r="B974" s="80" t="s">
        <v>2481</v>
      </c>
      <c r="C974" s="89" t="s">
        <v>1103</v>
      </c>
    </row>
    <row r="975" spans="1:3" ht="15">
      <c r="A975" s="81" t="s">
        <v>449</v>
      </c>
      <c r="B975" s="80" t="s">
        <v>2701</v>
      </c>
      <c r="C975" s="89" t="s">
        <v>1103</v>
      </c>
    </row>
    <row r="976" spans="1:3" ht="15">
      <c r="A976" s="81" t="s">
        <v>449</v>
      </c>
      <c r="B976" s="80" t="s">
        <v>2702</v>
      </c>
      <c r="C976" s="89" t="s">
        <v>1103</v>
      </c>
    </row>
    <row r="977" spans="1:3" ht="15">
      <c r="A977" s="81" t="s">
        <v>449</v>
      </c>
      <c r="B977" s="80" t="s">
        <v>2483</v>
      </c>
      <c r="C977" s="89" t="s">
        <v>1103</v>
      </c>
    </row>
    <row r="978" spans="1:3" ht="15">
      <c r="A978" s="81" t="s">
        <v>449</v>
      </c>
      <c r="B978" s="80" t="s">
        <v>2484</v>
      </c>
      <c r="C978" s="89" t="s">
        <v>1103</v>
      </c>
    </row>
    <row r="979" spans="1:3" ht="15">
      <c r="A979" s="81" t="s">
        <v>449</v>
      </c>
      <c r="B979" s="80" t="s">
        <v>2703</v>
      </c>
      <c r="C979" s="89" t="s">
        <v>1103</v>
      </c>
    </row>
    <row r="980" spans="1:3" ht="15">
      <c r="A980" s="81" t="s">
        <v>449</v>
      </c>
      <c r="B980" s="80" t="s">
        <v>2485</v>
      </c>
      <c r="C980" s="89" t="s">
        <v>1103</v>
      </c>
    </row>
    <row r="981" spans="1:3" ht="15">
      <c r="A981" s="81" t="s">
        <v>449</v>
      </c>
      <c r="B981" s="80" t="s">
        <v>2693</v>
      </c>
      <c r="C981" s="89" t="s">
        <v>1103</v>
      </c>
    </row>
    <row r="982" spans="1:3" ht="15">
      <c r="A982" s="81" t="s">
        <v>449</v>
      </c>
      <c r="B982" s="80" t="s">
        <v>2486</v>
      </c>
      <c r="C982" s="89" t="s">
        <v>1103</v>
      </c>
    </row>
    <row r="983" spans="1:3" ht="15">
      <c r="A983" s="81" t="s">
        <v>449</v>
      </c>
      <c r="B983" s="80" t="s">
        <v>2704</v>
      </c>
      <c r="C983" s="89" t="s">
        <v>1103</v>
      </c>
    </row>
    <row r="984" spans="1:3" ht="15">
      <c r="A984" s="81" t="s">
        <v>449</v>
      </c>
      <c r="B984" s="80" t="s">
        <v>2691</v>
      </c>
      <c r="C984" s="89" t="s">
        <v>1103</v>
      </c>
    </row>
    <row r="985" spans="1:3" ht="15">
      <c r="A985" s="81" t="s">
        <v>449</v>
      </c>
      <c r="B985" s="80" t="s">
        <v>2692</v>
      </c>
      <c r="C985" s="89" t="s">
        <v>1103</v>
      </c>
    </row>
    <row r="986" spans="1:3" ht="15">
      <c r="A986" s="81" t="s">
        <v>449</v>
      </c>
      <c r="B986" s="80" t="s">
        <v>2477</v>
      </c>
      <c r="C986" s="89" t="s">
        <v>1103</v>
      </c>
    </row>
    <row r="987" spans="1:3" ht="15">
      <c r="A987" s="81" t="s">
        <v>449</v>
      </c>
      <c r="B987" s="80" t="s">
        <v>2705</v>
      </c>
      <c r="C987" s="89" t="s">
        <v>1103</v>
      </c>
    </row>
    <row r="988" spans="1:3" ht="15">
      <c r="A988" s="81" t="s">
        <v>449</v>
      </c>
      <c r="B988" s="80" t="s">
        <v>2706</v>
      </c>
      <c r="C988" s="89" t="s">
        <v>1103</v>
      </c>
    </row>
    <row r="989" spans="1:3" ht="15">
      <c r="A989" s="81" t="s">
        <v>449</v>
      </c>
      <c r="B989" s="80" t="s">
        <v>2707</v>
      </c>
      <c r="C989" s="89" t="s">
        <v>1103</v>
      </c>
    </row>
    <row r="990" spans="1:3" ht="15">
      <c r="A990" s="81" t="s">
        <v>449</v>
      </c>
      <c r="B990" s="80" t="s">
        <v>2708</v>
      </c>
      <c r="C990" s="89" t="s">
        <v>1103</v>
      </c>
    </row>
    <row r="991" spans="1:3" ht="15">
      <c r="A991" s="81" t="s">
        <v>449</v>
      </c>
      <c r="B991" s="80" t="s">
        <v>2488</v>
      </c>
      <c r="C991" s="89" t="s">
        <v>1103</v>
      </c>
    </row>
    <row r="992" spans="1:3" ht="15">
      <c r="A992" s="81" t="s">
        <v>449</v>
      </c>
      <c r="B992" s="80" t="s">
        <v>2709</v>
      </c>
      <c r="C992" s="89" t="s">
        <v>1103</v>
      </c>
    </row>
    <row r="993" spans="1:3" ht="15">
      <c r="A993" s="81" t="s">
        <v>449</v>
      </c>
      <c r="B993" s="80" t="s">
        <v>2710</v>
      </c>
      <c r="C993" s="89" t="s">
        <v>1103</v>
      </c>
    </row>
    <row r="994" spans="1:3" ht="15">
      <c r="A994" s="81" t="s">
        <v>449</v>
      </c>
      <c r="B994" s="80" t="s">
        <v>2478</v>
      </c>
      <c r="C994" s="89" t="s">
        <v>1103</v>
      </c>
    </row>
    <row r="995" spans="1:3" ht="15">
      <c r="A995" s="81" t="s">
        <v>449</v>
      </c>
      <c r="B995" s="80" t="s">
        <v>2476</v>
      </c>
      <c r="C995" s="89" t="s">
        <v>1103</v>
      </c>
    </row>
    <row r="996" spans="1:3" ht="15">
      <c r="A996" s="81" t="s">
        <v>449</v>
      </c>
      <c r="B996" s="80" t="s">
        <v>2711</v>
      </c>
      <c r="C996" s="89" t="s">
        <v>1103</v>
      </c>
    </row>
    <row r="997" spans="1:3" ht="15">
      <c r="A997" s="81" t="s">
        <v>449</v>
      </c>
      <c r="B997" s="80" t="s">
        <v>65</v>
      </c>
      <c r="C997" s="89" t="s">
        <v>1103</v>
      </c>
    </row>
    <row r="998" spans="1:3" ht="15">
      <c r="A998" s="81" t="s">
        <v>449</v>
      </c>
      <c r="B998" s="80" t="s">
        <v>2491</v>
      </c>
      <c r="C998" s="89" t="s">
        <v>1103</v>
      </c>
    </row>
    <row r="999" spans="1:3" ht="15">
      <c r="A999" s="81" t="s">
        <v>448</v>
      </c>
      <c r="B999" s="80" t="s">
        <v>2760</v>
      </c>
      <c r="C999" s="89" t="s">
        <v>1102</v>
      </c>
    </row>
    <row r="1000" spans="1:3" ht="15">
      <c r="A1000" s="81" t="s">
        <v>448</v>
      </c>
      <c r="B1000" s="80" t="s">
        <v>2761</v>
      </c>
      <c r="C1000" s="89" t="s">
        <v>1102</v>
      </c>
    </row>
    <row r="1001" spans="1:3" ht="15">
      <c r="A1001" s="81" t="s">
        <v>448</v>
      </c>
      <c r="B1001" s="80" t="s">
        <v>2762</v>
      </c>
      <c r="C1001" s="89" t="s">
        <v>1102</v>
      </c>
    </row>
    <row r="1002" spans="1:3" ht="15">
      <c r="A1002" s="81" t="s">
        <v>448</v>
      </c>
      <c r="B1002" s="80" t="s">
        <v>2763</v>
      </c>
      <c r="C1002" s="89" t="s">
        <v>1102</v>
      </c>
    </row>
    <row r="1003" spans="1:3" ht="15">
      <c r="A1003" s="81" t="s">
        <v>448</v>
      </c>
      <c r="B1003" s="80" t="s">
        <v>1181</v>
      </c>
      <c r="C1003" s="89" t="s">
        <v>1102</v>
      </c>
    </row>
    <row r="1004" spans="1:3" ht="15">
      <c r="A1004" s="81" t="s">
        <v>448</v>
      </c>
      <c r="B1004" s="80" t="s">
        <v>2764</v>
      </c>
      <c r="C1004" s="89" t="s">
        <v>1102</v>
      </c>
    </row>
    <row r="1005" spans="1:3" ht="15">
      <c r="A1005" s="81" t="s">
        <v>448</v>
      </c>
      <c r="B1005" s="80" t="s">
        <v>2765</v>
      </c>
      <c r="C1005" s="89" t="s">
        <v>1102</v>
      </c>
    </row>
    <row r="1006" spans="1:3" ht="15">
      <c r="A1006" s="81" t="s">
        <v>448</v>
      </c>
      <c r="B1006" s="80" t="s">
        <v>2766</v>
      </c>
      <c r="C1006" s="89" t="s">
        <v>1102</v>
      </c>
    </row>
    <row r="1007" spans="1:3" ht="15">
      <c r="A1007" s="81" t="s">
        <v>448</v>
      </c>
      <c r="B1007" s="80" t="s">
        <v>2743</v>
      </c>
      <c r="C1007" s="89" t="s">
        <v>1102</v>
      </c>
    </row>
    <row r="1008" spans="1:3" ht="15">
      <c r="A1008" s="81" t="s">
        <v>448</v>
      </c>
      <c r="B1008" s="80" t="s">
        <v>2693</v>
      </c>
      <c r="C1008" s="89" t="s">
        <v>1102</v>
      </c>
    </row>
    <row r="1009" spans="1:3" ht="15">
      <c r="A1009" s="81" t="s">
        <v>448</v>
      </c>
      <c r="B1009" s="80" t="s">
        <v>2767</v>
      </c>
      <c r="C1009" s="89" t="s">
        <v>1102</v>
      </c>
    </row>
    <row r="1010" spans="1:3" ht="15">
      <c r="A1010" s="81" t="s">
        <v>448</v>
      </c>
      <c r="B1010" s="80" t="s">
        <v>2571</v>
      </c>
      <c r="C1010" s="89" t="s">
        <v>1102</v>
      </c>
    </row>
    <row r="1011" spans="1:3" ht="15">
      <c r="A1011" s="81" t="s">
        <v>448</v>
      </c>
      <c r="B1011" s="80" t="s">
        <v>2768</v>
      </c>
      <c r="C1011" s="89" t="s">
        <v>1102</v>
      </c>
    </row>
    <row r="1012" spans="1:3" ht="15">
      <c r="A1012" s="81" t="s">
        <v>448</v>
      </c>
      <c r="B1012" s="80" t="s">
        <v>2769</v>
      </c>
      <c r="C1012" s="89" t="s">
        <v>1102</v>
      </c>
    </row>
    <row r="1013" spans="1:3" ht="15">
      <c r="A1013" s="81" t="s">
        <v>448</v>
      </c>
      <c r="B1013" s="80" t="s">
        <v>2770</v>
      </c>
      <c r="C1013" s="89" t="s">
        <v>1102</v>
      </c>
    </row>
    <row r="1014" spans="1:3" ht="15">
      <c r="A1014" s="81" t="s">
        <v>448</v>
      </c>
      <c r="B1014" s="80" t="s">
        <v>2771</v>
      </c>
      <c r="C1014" s="89" t="s">
        <v>1102</v>
      </c>
    </row>
    <row r="1015" spans="1:3" ht="15">
      <c r="A1015" s="81" t="s">
        <v>448</v>
      </c>
      <c r="B1015" s="80" t="s">
        <v>2772</v>
      </c>
      <c r="C1015" s="89" t="s">
        <v>1102</v>
      </c>
    </row>
    <row r="1016" spans="1:3" ht="15">
      <c r="A1016" s="81" t="s">
        <v>448</v>
      </c>
      <c r="B1016" s="80" t="s">
        <v>2773</v>
      </c>
      <c r="C1016" s="89" t="s">
        <v>1102</v>
      </c>
    </row>
    <row r="1017" spans="1:3" ht="15">
      <c r="A1017" s="81" t="s">
        <v>448</v>
      </c>
      <c r="B1017" s="80" t="s">
        <v>2774</v>
      </c>
      <c r="C1017" s="89" t="s">
        <v>1102</v>
      </c>
    </row>
    <row r="1018" spans="1:3" ht="15">
      <c r="A1018" s="81" t="s">
        <v>448</v>
      </c>
      <c r="B1018" s="80" t="s">
        <v>2775</v>
      </c>
      <c r="C1018" s="89" t="s">
        <v>1102</v>
      </c>
    </row>
    <row r="1019" spans="1:3" ht="15">
      <c r="A1019" s="81" t="s">
        <v>448</v>
      </c>
      <c r="B1019" s="80" t="s">
        <v>2776</v>
      </c>
      <c r="C1019" s="89" t="s">
        <v>1102</v>
      </c>
    </row>
    <row r="1020" spans="1:3" ht="15">
      <c r="A1020" s="81" t="s">
        <v>448</v>
      </c>
      <c r="B1020" s="80" t="s">
        <v>594</v>
      </c>
      <c r="C1020" s="89" t="s">
        <v>1102</v>
      </c>
    </row>
    <row r="1021" spans="1:3" ht="15">
      <c r="A1021" s="81" t="s">
        <v>448</v>
      </c>
      <c r="B1021" s="80" t="s">
        <v>2610</v>
      </c>
      <c r="C1021" s="89" t="s">
        <v>1102</v>
      </c>
    </row>
    <row r="1022" spans="1:3" ht="15">
      <c r="A1022" s="81" t="s">
        <v>447</v>
      </c>
      <c r="B1022" s="80" t="s">
        <v>2691</v>
      </c>
      <c r="C1022" s="89" t="s">
        <v>1101</v>
      </c>
    </row>
    <row r="1023" spans="1:3" ht="15">
      <c r="A1023" s="81" t="s">
        <v>447</v>
      </c>
      <c r="B1023" s="80" t="s">
        <v>2777</v>
      </c>
      <c r="C1023" s="89" t="s">
        <v>1101</v>
      </c>
    </row>
    <row r="1024" spans="1:3" ht="15">
      <c r="A1024" s="81" t="s">
        <v>447</v>
      </c>
      <c r="B1024" s="80" t="s">
        <v>2778</v>
      </c>
      <c r="C1024" s="89" t="s">
        <v>1101</v>
      </c>
    </row>
    <row r="1025" spans="1:3" ht="15">
      <c r="A1025" s="81" t="s">
        <v>447</v>
      </c>
      <c r="B1025" s="80" t="s">
        <v>2779</v>
      </c>
      <c r="C1025" s="89" t="s">
        <v>1101</v>
      </c>
    </row>
    <row r="1026" spans="1:3" ht="15">
      <c r="A1026" s="81" t="s">
        <v>447</v>
      </c>
      <c r="B1026" s="80" t="s">
        <v>2780</v>
      </c>
      <c r="C1026" s="89" t="s">
        <v>1101</v>
      </c>
    </row>
    <row r="1027" spans="1:3" ht="15">
      <c r="A1027" s="81" t="s">
        <v>447</v>
      </c>
      <c r="B1027" s="80" t="s">
        <v>2781</v>
      </c>
      <c r="C1027" s="89" t="s">
        <v>1101</v>
      </c>
    </row>
    <row r="1028" spans="1:3" ht="15">
      <c r="A1028" s="81" t="s">
        <v>447</v>
      </c>
      <c r="B1028" s="80" t="s">
        <v>2572</v>
      </c>
      <c r="C1028" s="89" t="s">
        <v>1101</v>
      </c>
    </row>
    <row r="1029" spans="1:3" ht="15">
      <c r="A1029" s="81" t="s">
        <v>447</v>
      </c>
      <c r="B1029" s="80" t="s">
        <v>2782</v>
      </c>
      <c r="C1029" s="89" t="s">
        <v>1101</v>
      </c>
    </row>
    <row r="1030" spans="1:3" ht="15">
      <c r="A1030" s="81" t="s">
        <v>447</v>
      </c>
      <c r="B1030" s="80" t="s">
        <v>2783</v>
      </c>
      <c r="C1030" s="89" t="s">
        <v>1101</v>
      </c>
    </row>
    <row r="1031" spans="1:3" ht="15">
      <c r="A1031" s="81" t="s">
        <v>447</v>
      </c>
      <c r="B1031" s="80" t="s">
        <v>2575</v>
      </c>
      <c r="C1031" s="89" t="s">
        <v>1101</v>
      </c>
    </row>
    <row r="1032" spans="1:3" ht="15">
      <c r="A1032" s="81" t="s">
        <v>447</v>
      </c>
      <c r="B1032" s="80" t="s">
        <v>2784</v>
      </c>
      <c r="C1032" s="89" t="s">
        <v>1101</v>
      </c>
    </row>
    <row r="1033" spans="1:3" ht="15">
      <c r="A1033" s="81" t="s">
        <v>447</v>
      </c>
      <c r="B1033" s="80" t="s">
        <v>2785</v>
      </c>
      <c r="C1033" s="89" t="s">
        <v>1101</v>
      </c>
    </row>
    <row r="1034" spans="1:3" ht="15">
      <c r="A1034" s="81" t="s">
        <v>446</v>
      </c>
      <c r="B1034" s="80" t="s">
        <v>2786</v>
      </c>
      <c r="C1034" s="89" t="s">
        <v>1100</v>
      </c>
    </row>
    <row r="1035" spans="1:3" ht="15">
      <c r="A1035" s="81" t="s">
        <v>446</v>
      </c>
      <c r="B1035" s="80" t="s">
        <v>2691</v>
      </c>
      <c r="C1035" s="89" t="s">
        <v>1100</v>
      </c>
    </row>
    <row r="1036" spans="1:3" ht="15">
      <c r="A1036" s="81" t="s">
        <v>446</v>
      </c>
      <c r="B1036" s="80" t="s">
        <v>2692</v>
      </c>
      <c r="C1036" s="89" t="s">
        <v>1100</v>
      </c>
    </row>
    <row r="1037" spans="1:3" ht="15">
      <c r="A1037" s="81" t="s">
        <v>446</v>
      </c>
      <c r="B1037" s="80" t="s">
        <v>2568</v>
      </c>
      <c r="C1037" s="89" t="s">
        <v>1100</v>
      </c>
    </row>
    <row r="1038" spans="1:3" ht="15">
      <c r="A1038" s="81" t="s">
        <v>446</v>
      </c>
      <c r="B1038" s="80" t="s">
        <v>2787</v>
      </c>
      <c r="C1038" s="89" t="s">
        <v>1100</v>
      </c>
    </row>
    <row r="1039" spans="1:3" ht="15">
      <c r="A1039" s="81" t="s">
        <v>446</v>
      </c>
      <c r="B1039" s="80" t="s">
        <v>2788</v>
      </c>
      <c r="C1039" s="89" t="s">
        <v>1100</v>
      </c>
    </row>
    <row r="1040" spans="1:3" ht="15">
      <c r="A1040" s="81" t="s">
        <v>446</v>
      </c>
      <c r="B1040" s="80" t="s">
        <v>2789</v>
      </c>
      <c r="C1040" s="89" t="s">
        <v>1100</v>
      </c>
    </row>
    <row r="1041" spans="1:3" ht="15">
      <c r="A1041" s="81" t="s">
        <v>446</v>
      </c>
      <c r="B1041" s="80" t="s">
        <v>2790</v>
      </c>
      <c r="C1041" s="89" t="s">
        <v>1100</v>
      </c>
    </row>
    <row r="1042" spans="1:3" ht="15">
      <c r="A1042" s="81" t="s">
        <v>446</v>
      </c>
      <c r="B1042" s="80" t="s">
        <v>2781</v>
      </c>
      <c r="C1042" s="89" t="s">
        <v>1100</v>
      </c>
    </row>
    <row r="1043" spans="1:3" ht="15">
      <c r="A1043" s="81" t="s">
        <v>446</v>
      </c>
      <c r="B1043" s="80" t="s">
        <v>2791</v>
      </c>
      <c r="C1043" s="89" t="s">
        <v>1100</v>
      </c>
    </row>
    <row r="1044" spans="1:3" ht="15">
      <c r="A1044" s="81" t="s">
        <v>446</v>
      </c>
      <c r="B1044" s="80" t="s">
        <v>2549</v>
      </c>
      <c r="C1044" s="89" t="s">
        <v>1100</v>
      </c>
    </row>
    <row r="1045" spans="1:3" ht="15">
      <c r="A1045" s="81" t="s">
        <v>446</v>
      </c>
      <c r="B1045" s="80" t="s">
        <v>2792</v>
      </c>
      <c r="C1045" s="89" t="s">
        <v>1100</v>
      </c>
    </row>
    <row r="1046" spans="1:3" ht="15">
      <c r="A1046" s="81" t="s">
        <v>446</v>
      </c>
      <c r="B1046" s="80" t="s">
        <v>2793</v>
      </c>
      <c r="C1046" s="89" t="s">
        <v>1100</v>
      </c>
    </row>
    <row r="1047" spans="1:3" ht="15">
      <c r="A1047" s="81" t="s">
        <v>446</v>
      </c>
      <c r="B1047" s="80" t="s">
        <v>2794</v>
      </c>
      <c r="C1047" s="89" t="s">
        <v>1100</v>
      </c>
    </row>
    <row r="1048" spans="1:3" ht="15">
      <c r="A1048" s="81" t="s">
        <v>446</v>
      </c>
      <c r="B1048" s="80" t="s">
        <v>2795</v>
      </c>
      <c r="C1048" s="89" t="s">
        <v>1100</v>
      </c>
    </row>
    <row r="1049" spans="1:3" ht="15">
      <c r="A1049" s="81" t="s">
        <v>446</v>
      </c>
      <c r="B1049" s="80" t="s">
        <v>2796</v>
      </c>
      <c r="C1049" s="89" t="s">
        <v>1100</v>
      </c>
    </row>
    <row r="1050" spans="1:3" ht="15">
      <c r="A1050" s="81" t="s">
        <v>446</v>
      </c>
      <c r="B1050" s="80" t="s">
        <v>1181</v>
      </c>
      <c r="C1050" s="89" t="s">
        <v>1100</v>
      </c>
    </row>
    <row r="1051" spans="1:3" ht="15">
      <c r="A1051" s="81" t="s">
        <v>446</v>
      </c>
      <c r="B1051" s="80" t="s">
        <v>2797</v>
      </c>
      <c r="C1051" s="89" t="s">
        <v>1100</v>
      </c>
    </row>
    <row r="1052" spans="1:3" ht="15">
      <c r="A1052" s="81" t="s">
        <v>446</v>
      </c>
      <c r="B1052" s="80" t="s">
        <v>2798</v>
      </c>
      <c r="C1052" s="89" t="s">
        <v>1100</v>
      </c>
    </row>
    <row r="1053" spans="1:3" ht="15">
      <c r="A1053" s="81" t="s">
        <v>446</v>
      </c>
      <c r="B1053" s="80" t="s">
        <v>2799</v>
      </c>
      <c r="C1053" s="89" t="s">
        <v>1100</v>
      </c>
    </row>
    <row r="1054" spans="1:3" ht="15">
      <c r="A1054" s="81" t="s">
        <v>446</v>
      </c>
      <c r="B1054" s="80" t="s">
        <v>2710</v>
      </c>
      <c r="C1054" s="89" t="s">
        <v>1100</v>
      </c>
    </row>
    <row r="1055" spans="1:3" ht="15">
      <c r="A1055" s="81" t="s">
        <v>446</v>
      </c>
      <c r="B1055" s="80" t="s">
        <v>2800</v>
      </c>
      <c r="C1055" s="89" t="s">
        <v>1100</v>
      </c>
    </row>
    <row r="1056" spans="1:3" ht="15">
      <c r="A1056" s="81" t="s">
        <v>446</v>
      </c>
      <c r="B1056" s="80" t="s">
        <v>2801</v>
      </c>
      <c r="C1056" s="89" t="s">
        <v>1100</v>
      </c>
    </row>
    <row r="1057" spans="1:3" ht="15">
      <c r="A1057" s="81" t="s">
        <v>446</v>
      </c>
      <c r="B1057" s="80" t="s">
        <v>598</v>
      </c>
      <c r="C1057" s="89" t="s">
        <v>1100</v>
      </c>
    </row>
    <row r="1058" spans="1:3" ht="15">
      <c r="A1058" s="81" t="s">
        <v>445</v>
      </c>
      <c r="B1058" s="80" t="s">
        <v>2713</v>
      </c>
      <c r="C1058" s="89" t="s">
        <v>1099</v>
      </c>
    </row>
    <row r="1059" spans="1:3" ht="15">
      <c r="A1059" s="81" t="s">
        <v>445</v>
      </c>
      <c r="B1059" s="80" t="s">
        <v>2802</v>
      </c>
      <c r="C1059" s="89" t="s">
        <v>1099</v>
      </c>
    </row>
    <row r="1060" spans="1:3" ht="15">
      <c r="A1060" s="81" t="s">
        <v>445</v>
      </c>
      <c r="B1060" s="80" t="s">
        <v>2803</v>
      </c>
      <c r="C1060" s="89" t="s">
        <v>1099</v>
      </c>
    </row>
    <row r="1061" spans="1:3" ht="15">
      <c r="A1061" s="81" t="s">
        <v>445</v>
      </c>
      <c r="B1061" s="80" t="s">
        <v>2804</v>
      </c>
      <c r="C1061" s="89" t="s">
        <v>1099</v>
      </c>
    </row>
    <row r="1062" spans="1:3" ht="15">
      <c r="A1062" s="81" t="s">
        <v>445</v>
      </c>
      <c r="B1062" s="80" t="s">
        <v>2805</v>
      </c>
      <c r="C1062" s="89" t="s">
        <v>1099</v>
      </c>
    </row>
    <row r="1063" spans="1:3" ht="15">
      <c r="A1063" s="81" t="s">
        <v>445</v>
      </c>
      <c r="B1063" s="80" t="s">
        <v>2806</v>
      </c>
      <c r="C1063" s="89" t="s">
        <v>1099</v>
      </c>
    </row>
    <row r="1064" spans="1:3" ht="15">
      <c r="A1064" s="81" t="s">
        <v>445</v>
      </c>
      <c r="B1064" s="80" t="s">
        <v>2807</v>
      </c>
      <c r="C1064" s="89" t="s">
        <v>1099</v>
      </c>
    </row>
    <row r="1065" spans="1:3" ht="15">
      <c r="A1065" s="81" t="s">
        <v>445</v>
      </c>
      <c r="B1065" s="80" t="s">
        <v>2808</v>
      </c>
      <c r="C1065" s="89" t="s">
        <v>1099</v>
      </c>
    </row>
    <row r="1066" spans="1:3" ht="15">
      <c r="A1066" s="81" t="s">
        <v>445</v>
      </c>
      <c r="B1066" s="80" t="s">
        <v>2691</v>
      </c>
      <c r="C1066" s="89" t="s">
        <v>1099</v>
      </c>
    </row>
    <row r="1067" spans="1:3" ht="15">
      <c r="A1067" s="81" t="s">
        <v>444</v>
      </c>
      <c r="B1067" s="80" t="s">
        <v>2700</v>
      </c>
      <c r="C1067" s="89" t="s">
        <v>1098</v>
      </c>
    </row>
    <row r="1068" spans="1:3" ht="15">
      <c r="A1068" s="81" t="s">
        <v>444</v>
      </c>
      <c r="B1068" s="80" t="s">
        <v>2480</v>
      </c>
      <c r="C1068" s="89" t="s">
        <v>1098</v>
      </c>
    </row>
    <row r="1069" spans="1:3" ht="15">
      <c r="A1069" s="81" t="s">
        <v>444</v>
      </c>
      <c r="B1069" s="80" t="s">
        <v>2481</v>
      </c>
      <c r="C1069" s="89" t="s">
        <v>1098</v>
      </c>
    </row>
    <row r="1070" spans="1:3" ht="15">
      <c r="A1070" s="81" t="s">
        <v>444</v>
      </c>
      <c r="B1070" s="80" t="s">
        <v>2701</v>
      </c>
      <c r="C1070" s="89" t="s">
        <v>1098</v>
      </c>
    </row>
    <row r="1071" spans="1:3" ht="15">
      <c r="A1071" s="81" t="s">
        <v>444</v>
      </c>
      <c r="B1071" s="80" t="s">
        <v>2702</v>
      </c>
      <c r="C1071" s="89" t="s">
        <v>1098</v>
      </c>
    </row>
    <row r="1072" spans="1:3" ht="15">
      <c r="A1072" s="81" t="s">
        <v>444</v>
      </c>
      <c r="B1072" s="80" t="s">
        <v>2483</v>
      </c>
      <c r="C1072" s="89" t="s">
        <v>1098</v>
      </c>
    </row>
    <row r="1073" spans="1:3" ht="15">
      <c r="A1073" s="81" t="s">
        <v>444</v>
      </c>
      <c r="B1073" s="80" t="s">
        <v>2484</v>
      </c>
      <c r="C1073" s="89" t="s">
        <v>1098</v>
      </c>
    </row>
    <row r="1074" spans="1:3" ht="15">
      <c r="A1074" s="81" t="s">
        <v>444</v>
      </c>
      <c r="B1074" s="80" t="s">
        <v>2703</v>
      </c>
      <c r="C1074" s="89" t="s">
        <v>1098</v>
      </c>
    </row>
    <row r="1075" spans="1:3" ht="15">
      <c r="A1075" s="81" t="s">
        <v>444</v>
      </c>
      <c r="B1075" s="80" t="s">
        <v>2485</v>
      </c>
      <c r="C1075" s="89" t="s">
        <v>1098</v>
      </c>
    </row>
    <row r="1076" spans="1:3" ht="15">
      <c r="A1076" s="81" t="s">
        <v>444</v>
      </c>
      <c r="B1076" s="80" t="s">
        <v>2693</v>
      </c>
      <c r="C1076" s="89" t="s">
        <v>1098</v>
      </c>
    </row>
    <row r="1077" spans="1:3" ht="15">
      <c r="A1077" s="81" t="s">
        <v>444</v>
      </c>
      <c r="B1077" s="80" t="s">
        <v>2486</v>
      </c>
      <c r="C1077" s="89" t="s">
        <v>1098</v>
      </c>
    </row>
    <row r="1078" spans="1:3" ht="15">
      <c r="A1078" s="81" t="s">
        <v>444</v>
      </c>
      <c r="B1078" s="80" t="s">
        <v>2704</v>
      </c>
      <c r="C1078" s="89" t="s">
        <v>1098</v>
      </c>
    </row>
    <row r="1079" spans="1:3" ht="15">
      <c r="A1079" s="81" t="s">
        <v>444</v>
      </c>
      <c r="B1079" s="80" t="s">
        <v>2691</v>
      </c>
      <c r="C1079" s="89" t="s">
        <v>1098</v>
      </c>
    </row>
    <row r="1080" spans="1:3" ht="15">
      <c r="A1080" s="81" t="s">
        <v>444</v>
      </c>
      <c r="B1080" s="80" t="s">
        <v>2692</v>
      </c>
      <c r="C1080" s="89" t="s">
        <v>1098</v>
      </c>
    </row>
    <row r="1081" spans="1:3" ht="15">
      <c r="A1081" s="81" t="s">
        <v>444</v>
      </c>
      <c r="B1081" s="80" t="s">
        <v>2477</v>
      </c>
      <c r="C1081" s="89" t="s">
        <v>1098</v>
      </c>
    </row>
    <row r="1082" spans="1:3" ht="15">
      <c r="A1082" s="81" t="s">
        <v>444</v>
      </c>
      <c r="B1082" s="80" t="s">
        <v>2705</v>
      </c>
      <c r="C1082" s="89" t="s">
        <v>1098</v>
      </c>
    </row>
    <row r="1083" spans="1:3" ht="15">
      <c r="A1083" s="81" t="s">
        <v>444</v>
      </c>
      <c r="B1083" s="80" t="s">
        <v>2706</v>
      </c>
      <c r="C1083" s="89" t="s">
        <v>1098</v>
      </c>
    </row>
    <row r="1084" spans="1:3" ht="15">
      <c r="A1084" s="81" t="s">
        <v>444</v>
      </c>
      <c r="B1084" s="80" t="s">
        <v>2707</v>
      </c>
      <c r="C1084" s="89" t="s">
        <v>1098</v>
      </c>
    </row>
    <row r="1085" spans="1:3" ht="15">
      <c r="A1085" s="81" t="s">
        <v>444</v>
      </c>
      <c r="B1085" s="80" t="s">
        <v>2708</v>
      </c>
      <c r="C1085" s="89" t="s">
        <v>1098</v>
      </c>
    </row>
    <row r="1086" spans="1:3" ht="15">
      <c r="A1086" s="81" t="s">
        <v>444</v>
      </c>
      <c r="B1086" s="80" t="s">
        <v>2488</v>
      </c>
      <c r="C1086" s="89" t="s">
        <v>1098</v>
      </c>
    </row>
    <row r="1087" spans="1:3" ht="15">
      <c r="A1087" s="81" t="s">
        <v>444</v>
      </c>
      <c r="B1087" s="80" t="s">
        <v>2709</v>
      </c>
      <c r="C1087" s="89" t="s">
        <v>1098</v>
      </c>
    </row>
    <row r="1088" spans="1:3" ht="15">
      <c r="A1088" s="81" t="s">
        <v>444</v>
      </c>
      <c r="B1088" s="80" t="s">
        <v>2710</v>
      </c>
      <c r="C1088" s="89" t="s">
        <v>1098</v>
      </c>
    </row>
    <row r="1089" spans="1:3" ht="15">
      <c r="A1089" s="81" t="s">
        <v>444</v>
      </c>
      <c r="B1089" s="80" t="s">
        <v>2478</v>
      </c>
      <c r="C1089" s="89" t="s">
        <v>1098</v>
      </c>
    </row>
    <row r="1090" spans="1:3" ht="15">
      <c r="A1090" s="81" t="s">
        <v>444</v>
      </c>
      <c r="B1090" s="80" t="s">
        <v>2476</v>
      </c>
      <c r="C1090" s="89" t="s">
        <v>1098</v>
      </c>
    </row>
    <row r="1091" spans="1:3" ht="15">
      <c r="A1091" s="81" t="s">
        <v>444</v>
      </c>
      <c r="B1091" s="80" t="s">
        <v>2711</v>
      </c>
      <c r="C1091" s="89" t="s">
        <v>1098</v>
      </c>
    </row>
    <row r="1092" spans="1:3" ht="15">
      <c r="A1092" s="81" t="s">
        <v>444</v>
      </c>
      <c r="B1092" s="80" t="s">
        <v>65</v>
      </c>
      <c r="C1092" s="89" t="s">
        <v>1098</v>
      </c>
    </row>
    <row r="1093" spans="1:3" ht="15">
      <c r="A1093" s="81" t="s">
        <v>444</v>
      </c>
      <c r="B1093" s="80" t="s">
        <v>2491</v>
      </c>
      <c r="C1093" s="89" t="s">
        <v>1098</v>
      </c>
    </row>
    <row r="1094" spans="1:3" ht="15">
      <c r="A1094" s="81" t="s">
        <v>443</v>
      </c>
      <c r="B1094" s="80" t="s">
        <v>2809</v>
      </c>
      <c r="C1094" s="89" t="s">
        <v>1096</v>
      </c>
    </row>
    <row r="1095" spans="1:3" ht="15">
      <c r="A1095" s="81" t="s">
        <v>443</v>
      </c>
      <c r="B1095" s="80" t="s">
        <v>2810</v>
      </c>
      <c r="C1095" s="89" t="s">
        <v>1096</v>
      </c>
    </row>
    <row r="1096" spans="1:3" ht="15">
      <c r="A1096" s="81" t="s">
        <v>443</v>
      </c>
      <c r="B1096" s="80" t="s">
        <v>2811</v>
      </c>
      <c r="C1096" s="89" t="s">
        <v>1096</v>
      </c>
    </row>
    <row r="1097" spans="1:3" ht="15">
      <c r="A1097" s="81" t="s">
        <v>443</v>
      </c>
      <c r="B1097" s="80" t="s">
        <v>2812</v>
      </c>
      <c r="C1097" s="89" t="s">
        <v>1096</v>
      </c>
    </row>
    <row r="1098" spans="1:3" ht="15">
      <c r="A1098" s="81" t="s">
        <v>443</v>
      </c>
      <c r="B1098" s="80" t="s">
        <v>2813</v>
      </c>
      <c r="C1098" s="89" t="s">
        <v>1096</v>
      </c>
    </row>
    <row r="1099" spans="1:3" ht="15">
      <c r="A1099" s="81" t="s">
        <v>443</v>
      </c>
      <c r="B1099" s="80" t="s">
        <v>2814</v>
      </c>
      <c r="C1099" s="89" t="s">
        <v>1096</v>
      </c>
    </row>
    <row r="1100" spans="1:3" ht="15">
      <c r="A1100" s="81" t="s">
        <v>443</v>
      </c>
      <c r="B1100" s="80" t="s">
        <v>2815</v>
      </c>
      <c r="C1100" s="89" t="s">
        <v>1096</v>
      </c>
    </row>
    <row r="1101" spans="1:3" ht="15">
      <c r="A1101" s="81" t="s">
        <v>443</v>
      </c>
      <c r="B1101" s="80" t="s">
        <v>2816</v>
      </c>
      <c r="C1101" s="89" t="s">
        <v>1096</v>
      </c>
    </row>
    <row r="1102" spans="1:3" ht="15">
      <c r="A1102" s="81" t="s">
        <v>443</v>
      </c>
      <c r="B1102" s="80" t="s">
        <v>1181</v>
      </c>
      <c r="C1102" s="89" t="s">
        <v>1096</v>
      </c>
    </row>
    <row r="1103" spans="1:3" ht="15">
      <c r="A1103" s="81" t="s">
        <v>443</v>
      </c>
      <c r="B1103" s="80" t="s">
        <v>2817</v>
      </c>
      <c r="C1103" s="89" t="s">
        <v>1096</v>
      </c>
    </row>
    <row r="1104" spans="1:3" ht="15">
      <c r="A1104" s="81" t="s">
        <v>443</v>
      </c>
      <c r="B1104" s="80" t="s">
        <v>2818</v>
      </c>
      <c r="C1104" s="89" t="s">
        <v>1096</v>
      </c>
    </row>
    <row r="1105" spans="1:3" ht="15">
      <c r="A1105" s="81" t="s">
        <v>443</v>
      </c>
      <c r="B1105" s="80" t="s">
        <v>2691</v>
      </c>
      <c r="C1105" s="89" t="s">
        <v>1096</v>
      </c>
    </row>
    <row r="1106" spans="1:3" ht="15">
      <c r="A1106" s="81" t="s">
        <v>443</v>
      </c>
      <c r="B1106" s="80" t="s">
        <v>2819</v>
      </c>
      <c r="C1106" s="89" t="s">
        <v>1096</v>
      </c>
    </row>
    <row r="1107" spans="1:3" ht="15">
      <c r="A1107" s="81" t="s">
        <v>443</v>
      </c>
      <c r="B1107" s="80" t="s">
        <v>2820</v>
      </c>
      <c r="C1107" s="89" t="s">
        <v>1096</v>
      </c>
    </row>
    <row r="1108" spans="1:3" ht="15">
      <c r="A1108" s="81" t="s">
        <v>443</v>
      </c>
      <c r="B1108" s="80" t="s">
        <v>2821</v>
      </c>
      <c r="C1108" s="89" t="s">
        <v>1096</v>
      </c>
    </row>
    <row r="1109" spans="1:3" ht="15">
      <c r="A1109" s="81" t="s">
        <v>443</v>
      </c>
      <c r="B1109" s="80" t="s">
        <v>2822</v>
      </c>
      <c r="C1109" s="89" t="s">
        <v>1096</v>
      </c>
    </row>
    <row r="1110" spans="1:3" ht="15">
      <c r="A1110" s="81" t="s">
        <v>443</v>
      </c>
      <c r="B1110" s="80" t="s">
        <v>2823</v>
      </c>
      <c r="C1110" s="89" t="s">
        <v>1096</v>
      </c>
    </row>
    <row r="1111" spans="1:3" ht="15">
      <c r="A1111" s="81" t="s">
        <v>443</v>
      </c>
      <c r="B1111" s="80" t="s">
        <v>2577</v>
      </c>
      <c r="C1111" s="89" t="s">
        <v>1096</v>
      </c>
    </row>
    <row r="1112" spans="1:3" ht="15">
      <c r="A1112" s="81" t="s">
        <v>443</v>
      </c>
      <c r="B1112" s="80" t="s">
        <v>2693</v>
      </c>
      <c r="C1112" s="89" t="s">
        <v>1096</v>
      </c>
    </row>
    <row r="1113" spans="1:3" ht="15">
      <c r="A1113" s="81" t="s">
        <v>443</v>
      </c>
      <c r="B1113" s="80" t="s">
        <v>2824</v>
      </c>
      <c r="C1113" s="89" t="s">
        <v>1096</v>
      </c>
    </row>
    <row r="1114" spans="1:3" ht="15">
      <c r="A1114" s="81" t="s">
        <v>443</v>
      </c>
      <c r="B1114" s="80" t="s">
        <v>2700</v>
      </c>
      <c r="C1114" s="89" t="s">
        <v>1097</v>
      </c>
    </row>
    <row r="1115" spans="1:3" ht="15">
      <c r="A1115" s="81" t="s">
        <v>443</v>
      </c>
      <c r="B1115" s="80" t="s">
        <v>2480</v>
      </c>
      <c r="C1115" s="89" t="s">
        <v>1097</v>
      </c>
    </row>
    <row r="1116" spans="1:3" ht="15">
      <c r="A1116" s="81" t="s">
        <v>443</v>
      </c>
      <c r="B1116" s="80" t="s">
        <v>2481</v>
      </c>
      <c r="C1116" s="89" t="s">
        <v>1097</v>
      </c>
    </row>
    <row r="1117" spans="1:3" ht="15">
      <c r="A1117" s="81" t="s">
        <v>443</v>
      </c>
      <c r="B1117" s="80" t="s">
        <v>2701</v>
      </c>
      <c r="C1117" s="89" t="s">
        <v>1097</v>
      </c>
    </row>
    <row r="1118" spans="1:3" ht="15">
      <c r="A1118" s="81" t="s">
        <v>443</v>
      </c>
      <c r="B1118" s="80" t="s">
        <v>2702</v>
      </c>
      <c r="C1118" s="89" t="s">
        <v>1097</v>
      </c>
    </row>
    <row r="1119" spans="1:3" ht="15">
      <c r="A1119" s="81" t="s">
        <v>443</v>
      </c>
      <c r="B1119" s="80" t="s">
        <v>2483</v>
      </c>
      <c r="C1119" s="89" t="s">
        <v>1097</v>
      </c>
    </row>
    <row r="1120" spans="1:3" ht="15">
      <c r="A1120" s="81" t="s">
        <v>443</v>
      </c>
      <c r="B1120" s="80" t="s">
        <v>2484</v>
      </c>
      <c r="C1120" s="89" t="s">
        <v>1097</v>
      </c>
    </row>
    <row r="1121" spans="1:3" ht="15">
      <c r="A1121" s="81" t="s">
        <v>443</v>
      </c>
      <c r="B1121" s="80" t="s">
        <v>2703</v>
      </c>
      <c r="C1121" s="89" t="s">
        <v>1097</v>
      </c>
    </row>
    <row r="1122" spans="1:3" ht="15">
      <c r="A1122" s="81" t="s">
        <v>443</v>
      </c>
      <c r="B1122" s="80" t="s">
        <v>2485</v>
      </c>
      <c r="C1122" s="89" t="s">
        <v>1097</v>
      </c>
    </row>
    <row r="1123" spans="1:3" ht="15">
      <c r="A1123" s="81" t="s">
        <v>443</v>
      </c>
      <c r="B1123" s="80" t="s">
        <v>2693</v>
      </c>
      <c r="C1123" s="89" t="s">
        <v>1097</v>
      </c>
    </row>
    <row r="1124" spans="1:3" ht="15">
      <c r="A1124" s="81" t="s">
        <v>443</v>
      </c>
      <c r="B1124" s="80" t="s">
        <v>2486</v>
      </c>
      <c r="C1124" s="89" t="s">
        <v>1097</v>
      </c>
    </row>
    <row r="1125" spans="1:3" ht="15">
      <c r="A1125" s="81" t="s">
        <v>443</v>
      </c>
      <c r="B1125" s="80" t="s">
        <v>2704</v>
      </c>
      <c r="C1125" s="89" t="s">
        <v>1097</v>
      </c>
    </row>
    <row r="1126" spans="1:3" ht="15">
      <c r="A1126" s="81" t="s">
        <v>443</v>
      </c>
      <c r="B1126" s="80" t="s">
        <v>2691</v>
      </c>
      <c r="C1126" s="89" t="s">
        <v>1097</v>
      </c>
    </row>
    <row r="1127" spans="1:3" ht="15">
      <c r="A1127" s="81" t="s">
        <v>443</v>
      </c>
      <c r="B1127" s="80" t="s">
        <v>2692</v>
      </c>
      <c r="C1127" s="89" t="s">
        <v>1097</v>
      </c>
    </row>
    <row r="1128" spans="1:3" ht="15">
      <c r="A1128" s="81" t="s">
        <v>443</v>
      </c>
      <c r="B1128" s="80" t="s">
        <v>2477</v>
      </c>
      <c r="C1128" s="89" t="s">
        <v>1097</v>
      </c>
    </row>
    <row r="1129" spans="1:3" ht="15">
      <c r="A1129" s="81" t="s">
        <v>443</v>
      </c>
      <c r="B1129" s="80" t="s">
        <v>2705</v>
      </c>
      <c r="C1129" s="89" t="s">
        <v>1097</v>
      </c>
    </row>
    <row r="1130" spans="1:3" ht="15">
      <c r="A1130" s="81" t="s">
        <v>443</v>
      </c>
      <c r="B1130" s="80" t="s">
        <v>2706</v>
      </c>
      <c r="C1130" s="89" t="s">
        <v>1097</v>
      </c>
    </row>
    <row r="1131" spans="1:3" ht="15">
      <c r="A1131" s="81" t="s">
        <v>443</v>
      </c>
      <c r="B1131" s="80" t="s">
        <v>2707</v>
      </c>
      <c r="C1131" s="89" t="s">
        <v>1097</v>
      </c>
    </row>
    <row r="1132" spans="1:3" ht="15">
      <c r="A1132" s="81" t="s">
        <v>443</v>
      </c>
      <c r="B1132" s="80" t="s">
        <v>2708</v>
      </c>
      <c r="C1132" s="89" t="s">
        <v>1097</v>
      </c>
    </row>
    <row r="1133" spans="1:3" ht="15">
      <c r="A1133" s="81" t="s">
        <v>443</v>
      </c>
      <c r="B1133" s="80" t="s">
        <v>2488</v>
      </c>
      <c r="C1133" s="89" t="s">
        <v>1097</v>
      </c>
    </row>
    <row r="1134" spans="1:3" ht="15">
      <c r="A1134" s="81" t="s">
        <v>443</v>
      </c>
      <c r="B1134" s="80" t="s">
        <v>2709</v>
      </c>
      <c r="C1134" s="89" t="s">
        <v>1097</v>
      </c>
    </row>
    <row r="1135" spans="1:3" ht="15">
      <c r="A1135" s="81" t="s">
        <v>443</v>
      </c>
      <c r="B1135" s="80" t="s">
        <v>2710</v>
      </c>
      <c r="C1135" s="89" t="s">
        <v>1097</v>
      </c>
    </row>
    <row r="1136" spans="1:3" ht="15">
      <c r="A1136" s="81" t="s">
        <v>443</v>
      </c>
      <c r="B1136" s="80" t="s">
        <v>2478</v>
      </c>
      <c r="C1136" s="89" t="s">
        <v>1097</v>
      </c>
    </row>
    <row r="1137" spans="1:3" ht="15">
      <c r="A1137" s="81" t="s">
        <v>443</v>
      </c>
      <c r="B1137" s="80" t="s">
        <v>2476</v>
      </c>
      <c r="C1137" s="89" t="s">
        <v>1097</v>
      </c>
    </row>
    <row r="1138" spans="1:3" ht="15">
      <c r="A1138" s="81" t="s">
        <v>443</v>
      </c>
      <c r="B1138" s="80" t="s">
        <v>2711</v>
      </c>
      <c r="C1138" s="89" t="s">
        <v>1097</v>
      </c>
    </row>
    <row r="1139" spans="1:3" ht="15">
      <c r="A1139" s="81" t="s">
        <v>443</v>
      </c>
      <c r="B1139" s="80" t="s">
        <v>65</v>
      </c>
      <c r="C1139" s="89" t="s">
        <v>1097</v>
      </c>
    </row>
    <row r="1140" spans="1:3" ht="15">
      <c r="A1140" s="81" t="s">
        <v>443</v>
      </c>
      <c r="B1140" s="80" t="s">
        <v>2491</v>
      </c>
      <c r="C1140" s="89" t="s">
        <v>1097</v>
      </c>
    </row>
    <row r="1141" spans="1:3" ht="15">
      <c r="A1141" s="81" t="s">
        <v>442</v>
      </c>
      <c r="B1141" s="80" t="s">
        <v>2825</v>
      </c>
      <c r="C1141" s="89" t="s">
        <v>1095</v>
      </c>
    </row>
    <row r="1142" spans="1:3" ht="15">
      <c r="A1142" s="81" t="s">
        <v>442</v>
      </c>
      <c r="B1142" s="80" t="s">
        <v>2826</v>
      </c>
      <c r="C1142" s="89" t="s">
        <v>1095</v>
      </c>
    </row>
    <row r="1143" spans="1:3" ht="15">
      <c r="A1143" s="81" t="s">
        <v>442</v>
      </c>
      <c r="B1143" s="80" t="s">
        <v>2827</v>
      </c>
      <c r="C1143" s="89" t="s">
        <v>1095</v>
      </c>
    </row>
    <row r="1144" spans="1:3" ht="15">
      <c r="A1144" s="81" t="s">
        <v>442</v>
      </c>
      <c r="B1144" s="80" t="s">
        <v>2828</v>
      </c>
      <c r="C1144" s="89" t="s">
        <v>1095</v>
      </c>
    </row>
    <row r="1145" spans="1:3" ht="15">
      <c r="A1145" s="81" t="s">
        <v>442</v>
      </c>
      <c r="B1145" s="80" t="s">
        <v>2829</v>
      </c>
      <c r="C1145" s="89" t="s">
        <v>1095</v>
      </c>
    </row>
    <row r="1146" spans="1:3" ht="15">
      <c r="A1146" s="81" t="s">
        <v>442</v>
      </c>
      <c r="B1146" s="80" t="s">
        <v>2830</v>
      </c>
      <c r="C1146" s="89" t="s">
        <v>1095</v>
      </c>
    </row>
    <row r="1147" spans="1:3" ht="15">
      <c r="A1147" s="81" t="s">
        <v>442</v>
      </c>
      <c r="B1147" s="80" t="s">
        <v>2831</v>
      </c>
      <c r="C1147" s="89" t="s">
        <v>1095</v>
      </c>
    </row>
    <row r="1148" spans="1:3" ht="15">
      <c r="A1148" s="81" t="s">
        <v>442</v>
      </c>
      <c r="B1148" s="80" t="s">
        <v>594</v>
      </c>
      <c r="C1148" s="89" t="s">
        <v>1095</v>
      </c>
    </row>
    <row r="1149" spans="1:3" ht="15">
      <c r="A1149" s="81" t="s">
        <v>441</v>
      </c>
      <c r="B1149" s="80" t="s">
        <v>2713</v>
      </c>
      <c r="C1149" s="89" t="s">
        <v>1094</v>
      </c>
    </row>
    <row r="1150" spans="1:3" ht="15">
      <c r="A1150" s="81" t="s">
        <v>441</v>
      </c>
      <c r="B1150" s="80" t="s">
        <v>2832</v>
      </c>
      <c r="C1150" s="89" t="s">
        <v>1094</v>
      </c>
    </row>
    <row r="1151" spans="1:3" ht="15">
      <c r="A1151" s="81" t="s">
        <v>441</v>
      </c>
      <c r="B1151" s="80" t="s">
        <v>2833</v>
      </c>
      <c r="C1151" s="89" t="s">
        <v>1094</v>
      </c>
    </row>
    <row r="1152" spans="1:3" ht="15">
      <c r="A1152" s="81" t="s">
        <v>441</v>
      </c>
      <c r="B1152" s="80" t="s">
        <v>2834</v>
      </c>
      <c r="C1152" s="89" t="s">
        <v>1094</v>
      </c>
    </row>
    <row r="1153" spans="1:3" ht="15">
      <c r="A1153" s="81" t="s">
        <v>441</v>
      </c>
      <c r="B1153" s="80" t="s">
        <v>2835</v>
      </c>
      <c r="C1153" s="89" t="s">
        <v>1094</v>
      </c>
    </row>
    <row r="1154" spans="1:3" ht="15">
      <c r="A1154" s="81" t="s">
        <v>441</v>
      </c>
      <c r="B1154" s="80" t="s">
        <v>2836</v>
      </c>
      <c r="C1154" s="89" t="s">
        <v>1094</v>
      </c>
    </row>
    <row r="1155" spans="1:3" ht="15">
      <c r="A1155" s="81" t="s">
        <v>441</v>
      </c>
      <c r="B1155" s="80" t="s">
        <v>2837</v>
      </c>
      <c r="C1155" s="89" t="s">
        <v>1094</v>
      </c>
    </row>
    <row r="1156" spans="1:3" ht="15">
      <c r="A1156" s="81" t="s">
        <v>441</v>
      </c>
      <c r="B1156" s="80" t="s">
        <v>2838</v>
      </c>
      <c r="C1156" s="89" t="s">
        <v>1094</v>
      </c>
    </row>
    <row r="1157" spans="1:3" ht="15">
      <c r="A1157" s="81" t="s">
        <v>441</v>
      </c>
      <c r="B1157" s="80" t="s">
        <v>2839</v>
      </c>
      <c r="C1157" s="89" t="s">
        <v>1094</v>
      </c>
    </row>
    <row r="1158" spans="1:3" ht="15">
      <c r="A1158" s="81" t="s">
        <v>441</v>
      </c>
      <c r="B1158" s="80" t="s">
        <v>2691</v>
      </c>
      <c r="C1158" s="89" t="s">
        <v>1094</v>
      </c>
    </row>
    <row r="1159" spans="1:3" ht="15">
      <c r="A1159" s="81" t="s">
        <v>441</v>
      </c>
      <c r="B1159" s="80" t="s">
        <v>2840</v>
      </c>
      <c r="C1159" s="89" t="s">
        <v>1094</v>
      </c>
    </row>
    <row r="1160" spans="1:3" ht="15">
      <c r="A1160" s="81" t="s">
        <v>441</v>
      </c>
      <c r="B1160" s="80" t="s">
        <v>2841</v>
      </c>
      <c r="C1160" s="89" t="s">
        <v>1094</v>
      </c>
    </row>
    <row r="1161" spans="1:3" ht="15">
      <c r="A1161" s="81" t="s">
        <v>440</v>
      </c>
      <c r="B1161" s="80" t="s">
        <v>2691</v>
      </c>
      <c r="C1161" s="89" t="s">
        <v>1093</v>
      </c>
    </row>
    <row r="1162" spans="1:3" ht="15">
      <c r="A1162" s="81" t="s">
        <v>440</v>
      </c>
      <c r="B1162" s="80" t="s">
        <v>2692</v>
      </c>
      <c r="C1162" s="89" t="s">
        <v>1093</v>
      </c>
    </row>
    <row r="1163" spans="1:3" ht="15">
      <c r="A1163" s="81" t="s">
        <v>440</v>
      </c>
      <c r="B1163" s="80" t="s">
        <v>2842</v>
      </c>
      <c r="C1163" s="89" t="s">
        <v>1093</v>
      </c>
    </row>
    <row r="1164" spans="1:3" ht="15">
      <c r="A1164" s="81" t="s">
        <v>440</v>
      </c>
      <c r="B1164" s="80" t="s">
        <v>2843</v>
      </c>
      <c r="C1164" s="89" t="s">
        <v>1093</v>
      </c>
    </row>
    <row r="1165" spans="1:3" ht="15">
      <c r="A1165" s="81" t="s">
        <v>440</v>
      </c>
      <c r="B1165" s="80" t="s">
        <v>2844</v>
      </c>
      <c r="C1165" s="89" t="s">
        <v>1093</v>
      </c>
    </row>
    <row r="1166" spans="1:3" ht="15">
      <c r="A1166" s="81" t="s">
        <v>440</v>
      </c>
      <c r="B1166" s="80" t="s">
        <v>2845</v>
      </c>
      <c r="C1166" s="89" t="s">
        <v>1093</v>
      </c>
    </row>
    <row r="1167" spans="1:3" ht="15">
      <c r="A1167" s="81" t="s">
        <v>440</v>
      </c>
      <c r="B1167" s="80" t="s">
        <v>2548</v>
      </c>
      <c r="C1167" s="89" t="s">
        <v>1093</v>
      </c>
    </row>
    <row r="1168" spans="1:3" ht="15">
      <c r="A1168" s="81" t="s">
        <v>440</v>
      </c>
      <c r="B1168" s="80" t="s">
        <v>2846</v>
      </c>
      <c r="C1168" s="89" t="s">
        <v>1093</v>
      </c>
    </row>
    <row r="1169" spans="1:3" ht="15">
      <c r="A1169" s="81" t="s">
        <v>440</v>
      </c>
      <c r="B1169" s="80" t="s">
        <v>2847</v>
      </c>
      <c r="C1169" s="89" t="s">
        <v>1093</v>
      </c>
    </row>
    <row r="1170" spans="1:3" ht="15">
      <c r="A1170" s="81" t="s">
        <v>440</v>
      </c>
      <c r="B1170" s="80" t="s">
        <v>2848</v>
      </c>
      <c r="C1170" s="89" t="s">
        <v>1093</v>
      </c>
    </row>
    <row r="1171" spans="1:3" ht="15">
      <c r="A1171" s="81" t="s">
        <v>440</v>
      </c>
      <c r="B1171" s="80" t="s">
        <v>2693</v>
      </c>
      <c r="C1171" s="89" t="s">
        <v>1093</v>
      </c>
    </row>
    <row r="1172" spans="1:3" ht="15">
      <c r="A1172" s="81" t="s">
        <v>440</v>
      </c>
      <c r="B1172" s="80" t="s">
        <v>2849</v>
      </c>
      <c r="C1172" s="89" t="s">
        <v>1093</v>
      </c>
    </row>
    <row r="1173" spans="1:3" ht="15">
      <c r="A1173" s="81" t="s">
        <v>439</v>
      </c>
      <c r="B1173" s="80" t="s">
        <v>2700</v>
      </c>
      <c r="C1173" s="89" t="s">
        <v>1092</v>
      </c>
    </row>
    <row r="1174" spans="1:3" ht="15">
      <c r="A1174" s="81" t="s">
        <v>439</v>
      </c>
      <c r="B1174" s="80" t="s">
        <v>2480</v>
      </c>
      <c r="C1174" s="89" t="s">
        <v>1092</v>
      </c>
    </row>
    <row r="1175" spans="1:3" ht="15">
      <c r="A1175" s="81" t="s">
        <v>439</v>
      </c>
      <c r="B1175" s="80" t="s">
        <v>2481</v>
      </c>
      <c r="C1175" s="89" t="s">
        <v>1092</v>
      </c>
    </row>
    <row r="1176" spans="1:3" ht="15">
      <c r="A1176" s="81" t="s">
        <v>439</v>
      </c>
      <c r="B1176" s="80" t="s">
        <v>2701</v>
      </c>
      <c r="C1176" s="89" t="s">
        <v>1092</v>
      </c>
    </row>
    <row r="1177" spans="1:3" ht="15">
      <c r="A1177" s="81" t="s">
        <v>439</v>
      </c>
      <c r="B1177" s="80" t="s">
        <v>2702</v>
      </c>
      <c r="C1177" s="89" t="s">
        <v>1092</v>
      </c>
    </row>
    <row r="1178" spans="1:3" ht="15">
      <c r="A1178" s="81" t="s">
        <v>439</v>
      </c>
      <c r="B1178" s="80" t="s">
        <v>2483</v>
      </c>
      <c r="C1178" s="89" t="s">
        <v>1092</v>
      </c>
    </row>
    <row r="1179" spans="1:3" ht="15">
      <c r="A1179" s="81" t="s">
        <v>439</v>
      </c>
      <c r="B1179" s="80" t="s">
        <v>2484</v>
      </c>
      <c r="C1179" s="89" t="s">
        <v>1092</v>
      </c>
    </row>
    <row r="1180" spans="1:3" ht="15">
      <c r="A1180" s="81" t="s">
        <v>439</v>
      </c>
      <c r="B1180" s="80" t="s">
        <v>2703</v>
      </c>
      <c r="C1180" s="89" t="s">
        <v>1092</v>
      </c>
    </row>
    <row r="1181" spans="1:3" ht="15">
      <c r="A1181" s="81" t="s">
        <v>439</v>
      </c>
      <c r="B1181" s="80" t="s">
        <v>2485</v>
      </c>
      <c r="C1181" s="89" t="s">
        <v>1092</v>
      </c>
    </row>
    <row r="1182" spans="1:3" ht="15">
      <c r="A1182" s="81" t="s">
        <v>439</v>
      </c>
      <c r="B1182" s="80" t="s">
        <v>2693</v>
      </c>
      <c r="C1182" s="89" t="s">
        <v>1092</v>
      </c>
    </row>
    <row r="1183" spans="1:3" ht="15">
      <c r="A1183" s="81" t="s">
        <v>439</v>
      </c>
      <c r="B1183" s="80" t="s">
        <v>2486</v>
      </c>
      <c r="C1183" s="89" t="s">
        <v>1092</v>
      </c>
    </row>
    <row r="1184" spans="1:3" ht="15">
      <c r="A1184" s="81" t="s">
        <v>439</v>
      </c>
      <c r="B1184" s="80" t="s">
        <v>2704</v>
      </c>
      <c r="C1184" s="89" t="s">
        <v>1092</v>
      </c>
    </row>
    <row r="1185" spans="1:3" ht="15">
      <c r="A1185" s="81" t="s">
        <v>439</v>
      </c>
      <c r="B1185" s="80" t="s">
        <v>2691</v>
      </c>
      <c r="C1185" s="89" t="s">
        <v>1092</v>
      </c>
    </row>
    <row r="1186" spans="1:3" ht="15">
      <c r="A1186" s="81" t="s">
        <v>439</v>
      </c>
      <c r="B1186" s="80" t="s">
        <v>2692</v>
      </c>
      <c r="C1186" s="89" t="s">
        <v>1092</v>
      </c>
    </row>
    <row r="1187" spans="1:3" ht="15">
      <c r="A1187" s="81" t="s">
        <v>439</v>
      </c>
      <c r="B1187" s="80" t="s">
        <v>2477</v>
      </c>
      <c r="C1187" s="89" t="s">
        <v>1092</v>
      </c>
    </row>
    <row r="1188" spans="1:3" ht="15">
      <c r="A1188" s="81" t="s">
        <v>439</v>
      </c>
      <c r="B1188" s="80" t="s">
        <v>2705</v>
      </c>
      <c r="C1188" s="89" t="s">
        <v>1092</v>
      </c>
    </row>
    <row r="1189" spans="1:3" ht="15">
      <c r="A1189" s="81" t="s">
        <v>439</v>
      </c>
      <c r="B1189" s="80" t="s">
        <v>2706</v>
      </c>
      <c r="C1189" s="89" t="s">
        <v>1092</v>
      </c>
    </row>
    <row r="1190" spans="1:3" ht="15">
      <c r="A1190" s="81" t="s">
        <v>439</v>
      </c>
      <c r="B1190" s="80" t="s">
        <v>2707</v>
      </c>
      <c r="C1190" s="89" t="s">
        <v>1092</v>
      </c>
    </row>
    <row r="1191" spans="1:3" ht="15">
      <c r="A1191" s="81" t="s">
        <v>439</v>
      </c>
      <c r="B1191" s="80" t="s">
        <v>2708</v>
      </c>
      <c r="C1191" s="89" t="s">
        <v>1092</v>
      </c>
    </row>
    <row r="1192" spans="1:3" ht="15">
      <c r="A1192" s="81" t="s">
        <v>439</v>
      </c>
      <c r="B1192" s="80" t="s">
        <v>2488</v>
      </c>
      <c r="C1192" s="89" t="s">
        <v>1092</v>
      </c>
    </row>
    <row r="1193" spans="1:3" ht="15">
      <c r="A1193" s="81" t="s">
        <v>439</v>
      </c>
      <c r="B1193" s="80" t="s">
        <v>2709</v>
      </c>
      <c r="C1193" s="89" t="s">
        <v>1092</v>
      </c>
    </row>
    <row r="1194" spans="1:3" ht="15">
      <c r="A1194" s="81" t="s">
        <v>439</v>
      </c>
      <c r="B1194" s="80" t="s">
        <v>2710</v>
      </c>
      <c r="C1194" s="89" t="s">
        <v>1092</v>
      </c>
    </row>
    <row r="1195" spans="1:3" ht="15">
      <c r="A1195" s="81" t="s">
        <v>439</v>
      </c>
      <c r="B1195" s="80" t="s">
        <v>2478</v>
      </c>
      <c r="C1195" s="89" t="s">
        <v>1092</v>
      </c>
    </row>
    <row r="1196" spans="1:3" ht="15">
      <c r="A1196" s="81" t="s">
        <v>439</v>
      </c>
      <c r="B1196" s="80" t="s">
        <v>2476</v>
      </c>
      <c r="C1196" s="89" t="s">
        <v>1092</v>
      </c>
    </row>
    <row r="1197" spans="1:3" ht="15">
      <c r="A1197" s="81" t="s">
        <v>439</v>
      </c>
      <c r="B1197" s="80" t="s">
        <v>2711</v>
      </c>
      <c r="C1197" s="89" t="s">
        <v>1092</v>
      </c>
    </row>
    <row r="1198" spans="1:3" ht="15">
      <c r="A1198" s="81" t="s">
        <v>439</v>
      </c>
      <c r="B1198" s="80" t="s">
        <v>65</v>
      </c>
      <c r="C1198" s="89" t="s">
        <v>1092</v>
      </c>
    </row>
    <row r="1199" spans="1:3" ht="15">
      <c r="A1199" s="81" t="s">
        <v>439</v>
      </c>
      <c r="B1199" s="80" t="s">
        <v>2491</v>
      </c>
      <c r="C1199" s="89" t="s">
        <v>1092</v>
      </c>
    </row>
    <row r="1200" spans="1:3" ht="15">
      <c r="A1200" s="81" t="s">
        <v>438</v>
      </c>
      <c r="B1200" s="80" t="s">
        <v>2793</v>
      </c>
      <c r="C1200" s="89" t="s">
        <v>1091</v>
      </c>
    </row>
    <row r="1201" spans="1:3" ht="15">
      <c r="A1201" s="81" t="s">
        <v>438</v>
      </c>
      <c r="B1201" s="80" t="s">
        <v>2693</v>
      </c>
      <c r="C1201" s="89" t="s">
        <v>1091</v>
      </c>
    </row>
    <row r="1202" spans="1:3" ht="15">
      <c r="A1202" s="81" t="s">
        <v>438</v>
      </c>
      <c r="B1202" s="80" t="s">
        <v>2850</v>
      </c>
      <c r="C1202" s="89" t="s">
        <v>1091</v>
      </c>
    </row>
    <row r="1203" spans="1:3" ht="15">
      <c r="A1203" s="81" t="s">
        <v>438</v>
      </c>
      <c r="B1203" s="80" t="s">
        <v>2851</v>
      </c>
      <c r="C1203" s="89" t="s">
        <v>1091</v>
      </c>
    </row>
    <row r="1204" spans="1:3" ht="15">
      <c r="A1204" s="81" t="s">
        <v>438</v>
      </c>
      <c r="B1204" s="80" t="s">
        <v>2703</v>
      </c>
      <c r="C1204" s="89" t="s">
        <v>1091</v>
      </c>
    </row>
    <row r="1205" spans="1:3" ht="15">
      <c r="A1205" s="81" t="s">
        <v>438</v>
      </c>
      <c r="B1205" s="80" t="s">
        <v>2852</v>
      </c>
      <c r="C1205" s="89" t="s">
        <v>1091</v>
      </c>
    </row>
    <row r="1206" spans="1:3" ht="15">
      <c r="A1206" s="81" t="s">
        <v>438</v>
      </c>
      <c r="B1206" s="80" t="s">
        <v>2853</v>
      </c>
      <c r="C1206" s="89" t="s">
        <v>1091</v>
      </c>
    </row>
    <row r="1207" spans="1:3" ht="15">
      <c r="A1207" s="81" t="s">
        <v>438</v>
      </c>
      <c r="B1207" s="80" t="s">
        <v>2854</v>
      </c>
      <c r="C1207" s="89" t="s">
        <v>1091</v>
      </c>
    </row>
    <row r="1208" spans="1:3" ht="15">
      <c r="A1208" s="81" t="s">
        <v>438</v>
      </c>
      <c r="B1208" s="80" t="s">
        <v>2691</v>
      </c>
      <c r="C1208" s="89" t="s">
        <v>1091</v>
      </c>
    </row>
    <row r="1209" spans="1:3" ht="15">
      <c r="A1209" s="81" t="s">
        <v>438</v>
      </c>
      <c r="B1209" s="80" t="s">
        <v>2692</v>
      </c>
      <c r="C1209" s="89" t="s">
        <v>1091</v>
      </c>
    </row>
    <row r="1210" spans="1:3" ht="15">
      <c r="A1210" s="81" t="s">
        <v>438</v>
      </c>
      <c r="B1210" s="80" t="s">
        <v>2855</v>
      </c>
      <c r="C1210" s="89" t="s">
        <v>1091</v>
      </c>
    </row>
    <row r="1211" spans="1:3" ht="15">
      <c r="A1211" s="81" t="s">
        <v>438</v>
      </c>
      <c r="B1211" s="80" t="s">
        <v>2856</v>
      </c>
      <c r="C1211" s="89" t="s">
        <v>1091</v>
      </c>
    </row>
    <row r="1212" spans="1:3" ht="15">
      <c r="A1212" s="81" t="s">
        <v>438</v>
      </c>
      <c r="B1212" s="80" t="s">
        <v>2857</v>
      </c>
      <c r="C1212" s="89" t="s">
        <v>1091</v>
      </c>
    </row>
    <row r="1213" spans="1:3" ht="15">
      <c r="A1213" s="81" t="s">
        <v>437</v>
      </c>
      <c r="B1213" s="80" t="s">
        <v>2700</v>
      </c>
      <c r="C1213" s="89" t="s">
        <v>1090</v>
      </c>
    </row>
    <row r="1214" spans="1:3" ht="15">
      <c r="A1214" s="81" t="s">
        <v>437</v>
      </c>
      <c r="B1214" s="80" t="s">
        <v>2480</v>
      </c>
      <c r="C1214" s="89" t="s">
        <v>1090</v>
      </c>
    </row>
    <row r="1215" spans="1:3" ht="15">
      <c r="A1215" s="81" t="s">
        <v>437</v>
      </c>
      <c r="B1215" s="80" t="s">
        <v>2481</v>
      </c>
      <c r="C1215" s="89" t="s">
        <v>1090</v>
      </c>
    </row>
    <row r="1216" spans="1:3" ht="15">
      <c r="A1216" s="81" t="s">
        <v>437</v>
      </c>
      <c r="B1216" s="80" t="s">
        <v>2701</v>
      </c>
      <c r="C1216" s="89" t="s">
        <v>1090</v>
      </c>
    </row>
    <row r="1217" spans="1:3" ht="15">
      <c r="A1217" s="81" t="s">
        <v>437</v>
      </c>
      <c r="B1217" s="80" t="s">
        <v>2702</v>
      </c>
      <c r="C1217" s="89" t="s">
        <v>1090</v>
      </c>
    </row>
    <row r="1218" spans="1:3" ht="15">
      <c r="A1218" s="81" t="s">
        <v>437</v>
      </c>
      <c r="B1218" s="80" t="s">
        <v>2483</v>
      </c>
      <c r="C1218" s="89" t="s">
        <v>1090</v>
      </c>
    </row>
    <row r="1219" spans="1:3" ht="15">
      <c r="A1219" s="81" t="s">
        <v>437</v>
      </c>
      <c r="B1219" s="80" t="s">
        <v>2484</v>
      </c>
      <c r="C1219" s="89" t="s">
        <v>1090</v>
      </c>
    </row>
    <row r="1220" spans="1:3" ht="15">
      <c r="A1220" s="81" t="s">
        <v>437</v>
      </c>
      <c r="B1220" s="80" t="s">
        <v>2703</v>
      </c>
      <c r="C1220" s="89" t="s">
        <v>1090</v>
      </c>
    </row>
    <row r="1221" spans="1:3" ht="15">
      <c r="A1221" s="81" t="s">
        <v>437</v>
      </c>
      <c r="B1221" s="80" t="s">
        <v>2485</v>
      </c>
      <c r="C1221" s="89" t="s">
        <v>1090</v>
      </c>
    </row>
    <row r="1222" spans="1:3" ht="15">
      <c r="A1222" s="81" t="s">
        <v>437</v>
      </c>
      <c r="B1222" s="80" t="s">
        <v>2693</v>
      </c>
      <c r="C1222" s="89" t="s">
        <v>1090</v>
      </c>
    </row>
    <row r="1223" spans="1:3" ht="15">
      <c r="A1223" s="81" t="s">
        <v>437</v>
      </c>
      <c r="B1223" s="80" t="s">
        <v>2486</v>
      </c>
      <c r="C1223" s="89" t="s">
        <v>1090</v>
      </c>
    </row>
    <row r="1224" spans="1:3" ht="15">
      <c r="A1224" s="81" t="s">
        <v>437</v>
      </c>
      <c r="B1224" s="80" t="s">
        <v>2704</v>
      </c>
      <c r="C1224" s="89" t="s">
        <v>1090</v>
      </c>
    </row>
    <row r="1225" spans="1:3" ht="15">
      <c r="A1225" s="81" t="s">
        <v>437</v>
      </c>
      <c r="B1225" s="80" t="s">
        <v>2691</v>
      </c>
      <c r="C1225" s="89" t="s">
        <v>1090</v>
      </c>
    </row>
    <row r="1226" spans="1:3" ht="15">
      <c r="A1226" s="81" t="s">
        <v>437</v>
      </c>
      <c r="B1226" s="80" t="s">
        <v>2692</v>
      </c>
      <c r="C1226" s="89" t="s">
        <v>1090</v>
      </c>
    </row>
    <row r="1227" spans="1:3" ht="15">
      <c r="A1227" s="81" t="s">
        <v>437</v>
      </c>
      <c r="B1227" s="80" t="s">
        <v>2477</v>
      </c>
      <c r="C1227" s="89" t="s">
        <v>1090</v>
      </c>
    </row>
    <row r="1228" spans="1:3" ht="15">
      <c r="A1228" s="81" t="s">
        <v>437</v>
      </c>
      <c r="B1228" s="80" t="s">
        <v>2705</v>
      </c>
      <c r="C1228" s="89" t="s">
        <v>1090</v>
      </c>
    </row>
    <row r="1229" spans="1:3" ht="15">
      <c r="A1229" s="81" t="s">
        <v>437</v>
      </c>
      <c r="B1229" s="80" t="s">
        <v>2706</v>
      </c>
      <c r="C1229" s="89" t="s">
        <v>1090</v>
      </c>
    </row>
    <row r="1230" spans="1:3" ht="15">
      <c r="A1230" s="81" t="s">
        <v>437</v>
      </c>
      <c r="B1230" s="80" t="s">
        <v>2707</v>
      </c>
      <c r="C1230" s="89" t="s">
        <v>1090</v>
      </c>
    </row>
    <row r="1231" spans="1:3" ht="15">
      <c r="A1231" s="81" t="s">
        <v>437</v>
      </c>
      <c r="B1231" s="80" t="s">
        <v>2708</v>
      </c>
      <c r="C1231" s="89" t="s">
        <v>1090</v>
      </c>
    </row>
    <row r="1232" spans="1:3" ht="15">
      <c r="A1232" s="81" t="s">
        <v>437</v>
      </c>
      <c r="B1232" s="80" t="s">
        <v>2488</v>
      </c>
      <c r="C1232" s="89" t="s">
        <v>1090</v>
      </c>
    </row>
    <row r="1233" spans="1:3" ht="15">
      <c r="A1233" s="81" t="s">
        <v>437</v>
      </c>
      <c r="B1233" s="80" t="s">
        <v>2709</v>
      </c>
      <c r="C1233" s="89" t="s">
        <v>1090</v>
      </c>
    </row>
    <row r="1234" spans="1:3" ht="15">
      <c r="A1234" s="81" t="s">
        <v>437</v>
      </c>
      <c r="B1234" s="80" t="s">
        <v>2710</v>
      </c>
      <c r="C1234" s="89" t="s">
        <v>1090</v>
      </c>
    </row>
    <row r="1235" spans="1:3" ht="15">
      <c r="A1235" s="81" t="s">
        <v>437</v>
      </c>
      <c r="B1235" s="80" t="s">
        <v>2478</v>
      </c>
      <c r="C1235" s="89" t="s">
        <v>1090</v>
      </c>
    </row>
    <row r="1236" spans="1:3" ht="15">
      <c r="A1236" s="81" t="s">
        <v>437</v>
      </c>
      <c r="B1236" s="80" t="s">
        <v>2476</v>
      </c>
      <c r="C1236" s="89" t="s">
        <v>1090</v>
      </c>
    </row>
    <row r="1237" spans="1:3" ht="15">
      <c r="A1237" s="81" t="s">
        <v>437</v>
      </c>
      <c r="B1237" s="80" t="s">
        <v>2711</v>
      </c>
      <c r="C1237" s="89" t="s">
        <v>1090</v>
      </c>
    </row>
    <row r="1238" spans="1:3" ht="15">
      <c r="A1238" s="81" t="s">
        <v>437</v>
      </c>
      <c r="B1238" s="80" t="s">
        <v>65</v>
      </c>
      <c r="C1238" s="89" t="s">
        <v>1090</v>
      </c>
    </row>
    <row r="1239" spans="1:3" ht="15">
      <c r="A1239" s="81" t="s">
        <v>437</v>
      </c>
      <c r="B1239" s="80" t="s">
        <v>2491</v>
      </c>
      <c r="C1239" s="89" t="s">
        <v>1090</v>
      </c>
    </row>
    <row r="1240" spans="1:3" ht="15">
      <c r="A1240" s="81" t="s">
        <v>483</v>
      </c>
      <c r="B1240" s="80" t="s">
        <v>2690</v>
      </c>
      <c r="C1240" s="89" t="s">
        <v>1139</v>
      </c>
    </row>
    <row r="1241" spans="1:3" ht="15">
      <c r="A1241" s="81" t="s">
        <v>483</v>
      </c>
      <c r="B1241" s="80" t="s">
        <v>2500</v>
      </c>
      <c r="C1241" s="89" t="s">
        <v>1139</v>
      </c>
    </row>
    <row r="1242" spans="1:3" ht="15">
      <c r="A1242" s="81" t="s">
        <v>483</v>
      </c>
      <c r="B1242" s="80" t="s">
        <v>2691</v>
      </c>
      <c r="C1242" s="89" t="s">
        <v>1139</v>
      </c>
    </row>
    <row r="1243" spans="1:3" ht="15">
      <c r="A1243" s="81" t="s">
        <v>483</v>
      </c>
      <c r="B1243" s="80" t="s">
        <v>2692</v>
      </c>
      <c r="C1243" s="89" t="s">
        <v>1139</v>
      </c>
    </row>
    <row r="1244" spans="1:3" ht="15">
      <c r="A1244" s="81" t="s">
        <v>483</v>
      </c>
      <c r="B1244" s="80" t="s">
        <v>2498</v>
      </c>
      <c r="C1244" s="89" t="s">
        <v>1139</v>
      </c>
    </row>
    <row r="1245" spans="1:3" ht="15">
      <c r="A1245" s="81" t="s">
        <v>483</v>
      </c>
      <c r="B1245" s="80" t="s">
        <v>2477</v>
      </c>
      <c r="C1245" s="89" t="s">
        <v>1139</v>
      </c>
    </row>
    <row r="1246" spans="1:3" ht="15">
      <c r="A1246" s="81" t="s">
        <v>483</v>
      </c>
      <c r="B1246" s="80" t="s">
        <v>2501</v>
      </c>
      <c r="C1246" s="89" t="s">
        <v>1139</v>
      </c>
    </row>
    <row r="1247" spans="1:3" ht="15">
      <c r="A1247" s="81" t="s">
        <v>483</v>
      </c>
      <c r="B1247" s="80" t="s">
        <v>2693</v>
      </c>
      <c r="C1247" s="89" t="s">
        <v>1139</v>
      </c>
    </row>
    <row r="1248" spans="1:3" ht="15">
      <c r="A1248" s="81" t="s">
        <v>483</v>
      </c>
      <c r="B1248" s="80" t="s">
        <v>2478</v>
      </c>
      <c r="C1248" s="89" t="s">
        <v>1139</v>
      </c>
    </row>
    <row r="1249" spans="1:3" ht="15">
      <c r="A1249" s="81" t="s">
        <v>483</v>
      </c>
      <c r="B1249" s="80" t="s">
        <v>2476</v>
      </c>
      <c r="C1249" s="89" t="s">
        <v>1139</v>
      </c>
    </row>
    <row r="1250" spans="1:3" ht="15">
      <c r="A1250" s="81" t="s">
        <v>483</v>
      </c>
      <c r="B1250" s="80" t="s">
        <v>2502</v>
      </c>
      <c r="C1250" s="89" t="s">
        <v>1139</v>
      </c>
    </row>
    <row r="1251" spans="1:3" ht="15">
      <c r="A1251" s="81" t="s">
        <v>483</v>
      </c>
      <c r="B1251" s="80" t="s">
        <v>2694</v>
      </c>
      <c r="C1251" s="89" t="s">
        <v>1139</v>
      </c>
    </row>
    <row r="1252" spans="1:3" ht="15">
      <c r="A1252" s="81" t="s">
        <v>483</v>
      </c>
      <c r="B1252" s="80" t="s">
        <v>2695</v>
      </c>
      <c r="C1252" s="89" t="s">
        <v>1139</v>
      </c>
    </row>
    <row r="1253" spans="1:3" ht="15">
      <c r="A1253" s="81" t="s">
        <v>483</v>
      </c>
      <c r="B1253" s="80" t="s">
        <v>2696</v>
      </c>
      <c r="C1253" s="89" t="s">
        <v>1139</v>
      </c>
    </row>
    <row r="1254" spans="1:3" ht="15">
      <c r="A1254" s="81" t="s">
        <v>483</v>
      </c>
      <c r="B1254" s="80" t="s">
        <v>2504</v>
      </c>
      <c r="C1254" s="89" t="s">
        <v>1139</v>
      </c>
    </row>
    <row r="1255" spans="1:3" ht="15">
      <c r="A1255" s="81" t="s">
        <v>483</v>
      </c>
      <c r="B1255" s="80" t="s">
        <v>2505</v>
      </c>
      <c r="C1255" s="89" t="s">
        <v>1139</v>
      </c>
    </row>
    <row r="1256" spans="1:3" ht="15">
      <c r="A1256" s="81" t="s">
        <v>483</v>
      </c>
      <c r="B1256" s="80" t="s">
        <v>2499</v>
      </c>
      <c r="C1256" s="89" t="s">
        <v>1139</v>
      </c>
    </row>
    <row r="1257" spans="1:3" ht="15">
      <c r="A1257" s="81" t="s">
        <v>483</v>
      </c>
      <c r="B1257" s="80">
        <v>20</v>
      </c>
      <c r="C1257" s="89" t="s">
        <v>1139</v>
      </c>
    </row>
    <row r="1258" spans="1:3" ht="15">
      <c r="A1258" s="81" t="s">
        <v>483</v>
      </c>
      <c r="B1258" s="80" t="s">
        <v>2507</v>
      </c>
      <c r="C1258" s="89" t="s">
        <v>1139</v>
      </c>
    </row>
    <row r="1259" spans="1:3" ht="15">
      <c r="A1259" s="81" t="s">
        <v>483</v>
      </c>
      <c r="B1259" s="80" t="s">
        <v>2508</v>
      </c>
      <c r="C1259" s="89" t="s">
        <v>1139</v>
      </c>
    </row>
    <row r="1260" spans="1:3" ht="15">
      <c r="A1260" s="81" t="s">
        <v>483</v>
      </c>
      <c r="B1260" s="80" t="s">
        <v>2509</v>
      </c>
      <c r="C1260" s="89" t="s">
        <v>1139</v>
      </c>
    </row>
    <row r="1261" spans="1:3" ht="15">
      <c r="A1261" s="81" t="s">
        <v>483</v>
      </c>
      <c r="B1261" s="80" t="s">
        <v>2510</v>
      </c>
      <c r="C1261" s="89" t="s">
        <v>1139</v>
      </c>
    </row>
    <row r="1262" spans="1:3" ht="15">
      <c r="A1262" s="81" t="s">
        <v>483</v>
      </c>
      <c r="B1262" s="80" t="s">
        <v>2697</v>
      </c>
      <c r="C1262" s="89" t="s">
        <v>1139</v>
      </c>
    </row>
    <row r="1263" spans="1:3" ht="15">
      <c r="A1263" s="81" t="s">
        <v>483</v>
      </c>
      <c r="B1263" s="80" t="s">
        <v>2512</v>
      </c>
      <c r="C1263" s="89" t="s">
        <v>1139</v>
      </c>
    </row>
    <row r="1264" spans="1:3" ht="15">
      <c r="A1264" s="81" t="s">
        <v>483</v>
      </c>
      <c r="B1264" s="80" t="s">
        <v>2513</v>
      </c>
      <c r="C1264" s="89" t="s">
        <v>1139</v>
      </c>
    </row>
    <row r="1265" spans="1:3" ht="15">
      <c r="A1265" s="81" t="s">
        <v>483</v>
      </c>
      <c r="B1265" s="80">
        <v>26</v>
      </c>
      <c r="C1265" s="89" t="s">
        <v>1139</v>
      </c>
    </row>
    <row r="1266" spans="1:3" ht="15">
      <c r="A1266" s="81" t="s">
        <v>483</v>
      </c>
      <c r="B1266" s="80">
        <v>3</v>
      </c>
      <c r="C1266" s="89" t="s">
        <v>1139</v>
      </c>
    </row>
    <row r="1267" spans="1:3" ht="15">
      <c r="A1267" s="81" t="s">
        <v>483</v>
      </c>
      <c r="B1267" s="80" t="s">
        <v>2516</v>
      </c>
      <c r="C1267" s="89" t="s">
        <v>1139</v>
      </c>
    </row>
    <row r="1268" spans="1:3" ht="15">
      <c r="A1268" s="81" t="s">
        <v>483</v>
      </c>
      <c r="B1268" s="80">
        <v>23</v>
      </c>
      <c r="C1268" s="89" t="s">
        <v>1139</v>
      </c>
    </row>
    <row r="1269" spans="1:3" ht="15">
      <c r="A1269" s="81" t="s">
        <v>483</v>
      </c>
      <c r="B1269" s="80">
        <v>59</v>
      </c>
      <c r="C1269" s="89" t="s">
        <v>1139</v>
      </c>
    </row>
    <row r="1270" spans="1:3" ht="15">
      <c r="A1270" s="81" t="s">
        <v>483</v>
      </c>
      <c r="B1270" s="80" t="s">
        <v>2698</v>
      </c>
      <c r="C1270" s="89" t="s">
        <v>1139</v>
      </c>
    </row>
    <row r="1271" spans="1:3" ht="15">
      <c r="A1271" s="81" t="s">
        <v>483</v>
      </c>
      <c r="B1271" s="80" t="s">
        <v>2699</v>
      </c>
      <c r="C1271" s="89" t="s">
        <v>1139</v>
      </c>
    </row>
    <row r="1272" spans="1:3" ht="15">
      <c r="A1272" s="81" t="s">
        <v>483</v>
      </c>
      <c r="B1272" s="80" t="s">
        <v>2858</v>
      </c>
      <c r="C1272" s="89" t="s">
        <v>1138</v>
      </c>
    </row>
    <row r="1273" spans="1:3" ht="15">
      <c r="A1273" s="81" t="s">
        <v>483</v>
      </c>
      <c r="B1273" s="80" t="s">
        <v>2691</v>
      </c>
      <c r="C1273" s="89" t="s">
        <v>1138</v>
      </c>
    </row>
    <row r="1274" spans="1:3" ht="15">
      <c r="A1274" s="81" t="s">
        <v>483</v>
      </c>
      <c r="B1274" s="80" t="s">
        <v>2692</v>
      </c>
      <c r="C1274" s="89" t="s">
        <v>1138</v>
      </c>
    </row>
    <row r="1275" spans="1:3" ht="15">
      <c r="A1275" s="81" t="s">
        <v>483</v>
      </c>
      <c r="B1275" s="80" t="s">
        <v>2859</v>
      </c>
      <c r="C1275" s="89" t="s">
        <v>1138</v>
      </c>
    </row>
    <row r="1276" spans="1:3" ht="15">
      <c r="A1276" s="81" t="s">
        <v>483</v>
      </c>
      <c r="B1276" s="80" t="s">
        <v>2860</v>
      </c>
      <c r="C1276" s="89" t="s">
        <v>1138</v>
      </c>
    </row>
    <row r="1277" spans="1:3" ht="15">
      <c r="A1277" s="81" t="s">
        <v>483</v>
      </c>
      <c r="B1277" s="80" t="s">
        <v>2699</v>
      </c>
      <c r="C1277" s="89" t="s">
        <v>1138</v>
      </c>
    </row>
    <row r="1278" spans="1:3" ht="15">
      <c r="A1278" s="81" t="s">
        <v>436</v>
      </c>
      <c r="B1278" s="80" t="s">
        <v>2712</v>
      </c>
      <c r="C1278" s="89" t="s">
        <v>1089</v>
      </c>
    </row>
    <row r="1279" spans="1:3" ht="15">
      <c r="A1279" s="81" t="s">
        <v>436</v>
      </c>
      <c r="B1279" s="80" t="s">
        <v>2713</v>
      </c>
      <c r="C1279" s="89" t="s">
        <v>1089</v>
      </c>
    </row>
    <row r="1280" spans="1:3" ht="15">
      <c r="A1280" s="81" t="s">
        <v>436</v>
      </c>
      <c r="B1280" s="80" t="s">
        <v>2691</v>
      </c>
      <c r="C1280" s="89" t="s">
        <v>1089</v>
      </c>
    </row>
    <row r="1281" spans="1:3" ht="15">
      <c r="A1281" s="81" t="s">
        <v>436</v>
      </c>
      <c r="B1281" s="80" t="s">
        <v>2692</v>
      </c>
      <c r="C1281" s="89" t="s">
        <v>1089</v>
      </c>
    </row>
    <row r="1282" spans="1:3" ht="15">
      <c r="A1282" s="81" t="s">
        <v>436</v>
      </c>
      <c r="B1282" s="80" t="s">
        <v>2861</v>
      </c>
      <c r="C1282" s="89" t="s">
        <v>1089</v>
      </c>
    </row>
    <row r="1283" spans="1:3" ht="15">
      <c r="A1283" s="81" t="s">
        <v>436</v>
      </c>
      <c r="B1283" s="80" t="s">
        <v>2862</v>
      </c>
      <c r="C1283" s="89" t="s">
        <v>1089</v>
      </c>
    </row>
    <row r="1284" spans="1:3" ht="15">
      <c r="A1284" s="81" t="s">
        <v>436</v>
      </c>
      <c r="B1284" s="80" t="s">
        <v>1178</v>
      </c>
      <c r="C1284" s="89" t="s">
        <v>1089</v>
      </c>
    </row>
    <row r="1285" spans="1:3" ht="15">
      <c r="A1285" s="81" t="s">
        <v>436</v>
      </c>
      <c r="B1285" s="80" t="s">
        <v>2550</v>
      </c>
      <c r="C1285" s="89" t="s">
        <v>1089</v>
      </c>
    </row>
    <row r="1286" spans="1:3" ht="15">
      <c r="A1286" s="81" t="s">
        <v>436</v>
      </c>
      <c r="B1286" s="80" t="s">
        <v>2863</v>
      </c>
      <c r="C1286" s="89" t="s">
        <v>1089</v>
      </c>
    </row>
    <row r="1287" spans="1:3" ht="15">
      <c r="A1287" s="81" t="s">
        <v>436</v>
      </c>
      <c r="B1287" s="80" t="s">
        <v>2864</v>
      </c>
      <c r="C1287" s="89" t="s">
        <v>1089</v>
      </c>
    </row>
    <row r="1288" spans="1:3" ht="15">
      <c r="A1288" s="81" t="s">
        <v>435</v>
      </c>
      <c r="B1288" s="80" t="s">
        <v>2865</v>
      </c>
      <c r="C1288" s="89" t="s">
        <v>1088</v>
      </c>
    </row>
    <row r="1289" spans="1:3" ht="15">
      <c r="A1289" s="81" t="s">
        <v>435</v>
      </c>
      <c r="B1289" s="80" t="s">
        <v>2866</v>
      </c>
      <c r="C1289" s="89" t="s">
        <v>1088</v>
      </c>
    </row>
    <row r="1290" spans="1:3" ht="15">
      <c r="A1290" s="81" t="s">
        <v>435</v>
      </c>
      <c r="B1290" s="80" t="s">
        <v>2867</v>
      </c>
      <c r="C1290" s="89" t="s">
        <v>1088</v>
      </c>
    </row>
    <row r="1291" spans="1:3" ht="15">
      <c r="A1291" s="81" t="s">
        <v>435</v>
      </c>
      <c r="B1291" s="80" t="s">
        <v>2868</v>
      </c>
      <c r="C1291" s="89" t="s">
        <v>1088</v>
      </c>
    </row>
    <row r="1292" spans="1:3" ht="15">
      <c r="A1292" s="81" t="s">
        <v>435</v>
      </c>
      <c r="B1292" s="80" t="s">
        <v>2582</v>
      </c>
      <c r="C1292" s="89" t="s">
        <v>1088</v>
      </c>
    </row>
    <row r="1293" spans="1:3" ht="15">
      <c r="A1293" s="81" t="s">
        <v>435</v>
      </c>
      <c r="B1293" s="80" t="s">
        <v>2869</v>
      </c>
      <c r="C1293" s="89" t="s">
        <v>1088</v>
      </c>
    </row>
    <row r="1294" spans="1:3" ht="15">
      <c r="A1294" s="81" t="s">
        <v>435</v>
      </c>
      <c r="B1294" s="80" t="s">
        <v>2870</v>
      </c>
      <c r="C1294" s="89" t="s">
        <v>1088</v>
      </c>
    </row>
    <row r="1295" spans="1:3" ht="15">
      <c r="A1295" s="81" t="s">
        <v>435</v>
      </c>
      <c r="B1295" s="80" t="s">
        <v>2710</v>
      </c>
      <c r="C1295" s="89" t="s">
        <v>1088</v>
      </c>
    </row>
    <row r="1296" spans="1:3" ht="15">
      <c r="A1296" s="81" t="s">
        <v>435</v>
      </c>
      <c r="B1296" s="80" t="s">
        <v>2693</v>
      </c>
      <c r="C1296" s="89" t="s">
        <v>1088</v>
      </c>
    </row>
    <row r="1297" spans="1:3" ht="15">
      <c r="A1297" s="81" t="s">
        <v>435</v>
      </c>
      <c r="B1297" s="80" t="s">
        <v>2871</v>
      </c>
      <c r="C1297" s="89" t="s">
        <v>1088</v>
      </c>
    </row>
    <row r="1298" spans="1:3" ht="15">
      <c r="A1298" s="81" t="s">
        <v>435</v>
      </c>
      <c r="B1298" s="80" t="s">
        <v>2872</v>
      </c>
      <c r="C1298" s="89" t="s">
        <v>1088</v>
      </c>
    </row>
    <row r="1299" spans="1:3" ht="15">
      <c r="A1299" s="81" t="s">
        <v>435</v>
      </c>
      <c r="B1299" s="80" t="s">
        <v>2873</v>
      </c>
      <c r="C1299" s="89" t="s">
        <v>1088</v>
      </c>
    </row>
    <row r="1300" spans="1:3" ht="15">
      <c r="A1300" s="81" t="s">
        <v>435</v>
      </c>
      <c r="B1300" s="80" t="s">
        <v>2874</v>
      </c>
      <c r="C1300" s="89" t="s">
        <v>1088</v>
      </c>
    </row>
    <row r="1301" spans="1:3" ht="15">
      <c r="A1301" s="81" t="s">
        <v>435</v>
      </c>
      <c r="B1301" s="80" t="s">
        <v>2875</v>
      </c>
      <c r="C1301" s="89" t="s">
        <v>1088</v>
      </c>
    </row>
    <row r="1302" spans="1:3" ht="15">
      <c r="A1302" s="81" t="s">
        <v>435</v>
      </c>
      <c r="B1302" s="80" t="s">
        <v>1181</v>
      </c>
      <c r="C1302" s="89" t="s">
        <v>1088</v>
      </c>
    </row>
    <row r="1303" spans="1:3" ht="15">
      <c r="A1303" s="81" t="s">
        <v>435</v>
      </c>
      <c r="B1303" s="80" t="s">
        <v>2876</v>
      </c>
      <c r="C1303" s="89" t="s">
        <v>1088</v>
      </c>
    </row>
    <row r="1304" spans="1:3" ht="15">
      <c r="A1304" s="81" t="s">
        <v>435</v>
      </c>
      <c r="B1304" s="80" t="s">
        <v>2691</v>
      </c>
      <c r="C1304" s="89" t="s">
        <v>1088</v>
      </c>
    </row>
    <row r="1305" spans="1:3" ht="15">
      <c r="A1305" s="81" t="s">
        <v>435</v>
      </c>
      <c r="B1305" s="80" t="s">
        <v>2692</v>
      </c>
      <c r="C1305" s="89" t="s">
        <v>1088</v>
      </c>
    </row>
    <row r="1306" spans="1:3" ht="15">
      <c r="A1306" s="81" t="s">
        <v>435</v>
      </c>
      <c r="B1306" s="80" t="s">
        <v>2877</v>
      </c>
      <c r="C1306" s="89" t="s">
        <v>1088</v>
      </c>
    </row>
    <row r="1307" spans="1:3" ht="15">
      <c r="A1307" s="81" t="s">
        <v>435</v>
      </c>
      <c r="B1307" s="80" t="s">
        <v>2878</v>
      </c>
      <c r="C1307" s="89" t="s">
        <v>1088</v>
      </c>
    </row>
    <row r="1308" spans="1:3" ht="15">
      <c r="A1308" s="81" t="s">
        <v>435</v>
      </c>
      <c r="B1308" s="80" t="s">
        <v>2879</v>
      </c>
      <c r="C1308" s="89" t="s">
        <v>1088</v>
      </c>
    </row>
    <row r="1309" spans="1:3" ht="15">
      <c r="A1309" s="81" t="s">
        <v>435</v>
      </c>
      <c r="B1309" s="80" t="s">
        <v>2880</v>
      </c>
      <c r="C1309" s="89" t="s">
        <v>1088</v>
      </c>
    </row>
    <row r="1310" spans="1:3" ht="15">
      <c r="A1310" s="81" t="s">
        <v>434</v>
      </c>
      <c r="B1310" s="80" t="s">
        <v>2881</v>
      </c>
      <c r="C1310" s="89" t="s">
        <v>1087</v>
      </c>
    </row>
    <row r="1311" spans="1:3" ht="15">
      <c r="A1311" s="81" t="s">
        <v>434</v>
      </c>
      <c r="B1311" s="80" t="s">
        <v>2882</v>
      </c>
      <c r="C1311" s="89" t="s">
        <v>1087</v>
      </c>
    </row>
    <row r="1312" spans="1:3" ht="15">
      <c r="A1312" s="81" t="s">
        <v>434</v>
      </c>
      <c r="B1312" s="80" t="s">
        <v>2699</v>
      </c>
      <c r="C1312" s="89" t="s">
        <v>1087</v>
      </c>
    </row>
    <row r="1313" spans="1:3" ht="15">
      <c r="A1313" s="81" t="s">
        <v>434</v>
      </c>
      <c r="B1313" s="80" t="s">
        <v>2583</v>
      </c>
      <c r="C1313" s="89" t="s">
        <v>1087</v>
      </c>
    </row>
    <row r="1314" spans="1:3" ht="15">
      <c r="A1314" s="81" t="s">
        <v>434</v>
      </c>
      <c r="B1314" s="80" t="s">
        <v>2584</v>
      </c>
      <c r="C1314" s="89" t="s">
        <v>1087</v>
      </c>
    </row>
    <row r="1315" spans="1:3" ht="15">
      <c r="A1315" s="81" t="s">
        <v>434</v>
      </c>
      <c r="B1315" s="80" t="s">
        <v>2585</v>
      </c>
      <c r="C1315" s="89" t="s">
        <v>1087</v>
      </c>
    </row>
    <row r="1316" spans="1:3" ht="15">
      <c r="A1316" s="81" t="s">
        <v>434</v>
      </c>
      <c r="B1316" s="80" t="s">
        <v>2586</v>
      </c>
      <c r="C1316" s="89" t="s">
        <v>1087</v>
      </c>
    </row>
    <row r="1317" spans="1:3" ht="15">
      <c r="A1317" s="81" t="s">
        <v>434</v>
      </c>
      <c r="B1317" s="80" t="s">
        <v>2587</v>
      </c>
      <c r="C1317" s="89" t="s">
        <v>1087</v>
      </c>
    </row>
    <row r="1318" spans="1:3" ht="15">
      <c r="A1318" s="81" t="s">
        <v>434</v>
      </c>
      <c r="B1318" s="80" t="s">
        <v>2883</v>
      </c>
      <c r="C1318" s="89" t="s">
        <v>1087</v>
      </c>
    </row>
    <row r="1319" spans="1:3" ht="15">
      <c r="A1319" s="81" t="s">
        <v>434</v>
      </c>
      <c r="B1319" s="80" t="s">
        <v>2589</v>
      </c>
      <c r="C1319" s="89" t="s">
        <v>1087</v>
      </c>
    </row>
    <row r="1320" spans="1:3" ht="15">
      <c r="A1320" s="81" t="s">
        <v>434</v>
      </c>
      <c r="B1320" s="80" t="s">
        <v>2590</v>
      </c>
      <c r="C1320" s="89" t="s">
        <v>1087</v>
      </c>
    </row>
    <row r="1321" spans="1:3" ht="15">
      <c r="A1321" s="81" t="s">
        <v>434</v>
      </c>
      <c r="B1321" s="80" t="s">
        <v>2884</v>
      </c>
      <c r="C1321" s="89" t="s">
        <v>1087</v>
      </c>
    </row>
    <row r="1322" spans="1:3" ht="15">
      <c r="A1322" s="81" t="s">
        <v>434</v>
      </c>
      <c r="B1322" s="80" t="s">
        <v>2885</v>
      </c>
      <c r="C1322" s="89" t="s">
        <v>1087</v>
      </c>
    </row>
    <row r="1323" spans="1:3" ht="15">
      <c r="A1323" s="81" t="s">
        <v>434</v>
      </c>
      <c r="B1323" s="80" t="s">
        <v>2703</v>
      </c>
      <c r="C1323" s="89" t="s">
        <v>1087</v>
      </c>
    </row>
    <row r="1324" spans="1:3" ht="15">
      <c r="A1324" s="81" t="s">
        <v>434</v>
      </c>
      <c r="B1324" s="80" t="s">
        <v>2886</v>
      </c>
      <c r="C1324" s="89" t="s">
        <v>1087</v>
      </c>
    </row>
    <row r="1325" spans="1:3" ht="15">
      <c r="A1325" s="81" t="s">
        <v>434</v>
      </c>
      <c r="B1325" s="80" t="s">
        <v>2550</v>
      </c>
      <c r="C1325" s="89" t="s">
        <v>1087</v>
      </c>
    </row>
    <row r="1326" spans="1:3" ht="15">
      <c r="A1326" s="81" t="s">
        <v>434</v>
      </c>
      <c r="B1326" s="80" t="s">
        <v>2591</v>
      </c>
      <c r="C1326" s="89" t="s">
        <v>1087</v>
      </c>
    </row>
    <row r="1327" spans="1:3" ht="15">
      <c r="A1327" s="81" t="s">
        <v>434</v>
      </c>
      <c r="B1327" s="80" t="s">
        <v>2887</v>
      </c>
      <c r="C1327" s="89" t="s">
        <v>1087</v>
      </c>
    </row>
    <row r="1328" spans="1:3" ht="15">
      <c r="A1328" s="81" t="s">
        <v>434</v>
      </c>
      <c r="B1328" s="80" t="s">
        <v>2592</v>
      </c>
      <c r="C1328" s="89" t="s">
        <v>1087</v>
      </c>
    </row>
    <row r="1329" spans="1:3" ht="15">
      <c r="A1329" s="81" t="s">
        <v>434</v>
      </c>
      <c r="B1329" s="80" t="s">
        <v>2593</v>
      </c>
      <c r="C1329" s="89" t="s">
        <v>1087</v>
      </c>
    </row>
    <row r="1330" spans="1:3" ht="15">
      <c r="A1330" s="81" t="s">
        <v>434</v>
      </c>
      <c r="B1330" s="80" t="s">
        <v>2594</v>
      </c>
      <c r="C1330" s="89" t="s">
        <v>1087</v>
      </c>
    </row>
    <row r="1331" spans="1:3" ht="15">
      <c r="A1331" s="81" t="s">
        <v>434</v>
      </c>
      <c r="B1331" s="80" t="s">
        <v>2595</v>
      </c>
      <c r="C1331" s="89" t="s">
        <v>1087</v>
      </c>
    </row>
    <row r="1332" spans="1:3" ht="15">
      <c r="A1332" s="81" t="s">
        <v>434</v>
      </c>
      <c r="B1332" s="80" t="s">
        <v>2596</v>
      </c>
      <c r="C1332" s="89" t="s">
        <v>1087</v>
      </c>
    </row>
    <row r="1333" spans="1:3" ht="15">
      <c r="A1333" s="81" t="s">
        <v>434</v>
      </c>
      <c r="B1333" s="80" t="s">
        <v>2888</v>
      </c>
      <c r="C1333" s="89" t="s">
        <v>1087</v>
      </c>
    </row>
    <row r="1334" spans="1:3" ht="15">
      <c r="A1334" s="81" t="s">
        <v>434</v>
      </c>
      <c r="B1334" s="80" t="s">
        <v>2597</v>
      </c>
      <c r="C1334" s="89" t="s">
        <v>1087</v>
      </c>
    </row>
    <row r="1335" spans="1:3" ht="15">
      <c r="A1335" s="81" t="s">
        <v>434</v>
      </c>
      <c r="B1335" s="80" t="s">
        <v>2598</v>
      </c>
      <c r="C1335" s="89" t="s">
        <v>1087</v>
      </c>
    </row>
    <row r="1336" spans="1:3" ht="15">
      <c r="A1336" s="81" t="s">
        <v>434</v>
      </c>
      <c r="B1336" s="80" t="s">
        <v>2599</v>
      </c>
      <c r="C1336" s="89" t="s">
        <v>1087</v>
      </c>
    </row>
    <row r="1337" spans="1:3" ht="15">
      <c r="A1337" s="81" t="s">
        <v>433</v>
      </c>
      <c r="B1337" s="80" t="s">
        <v>2881</v>
      </c>
      <c r="C1337" s="89" t="s">
        <v>1086</v>
      </c>
    </row>
    <row r="1338" spans="1:3" ht="15">
      <c r="A1338" s="81" t="s">
        <v>433</v>
      </c>
      <c r="B1338" s="80" t="s">
        <v>2882</v>
      </c>
      <c r="C1338" s="89" t="s">
        <v>1086</v>
      </c>
    </row>
    <row r="1339" spans="1:3" ht="15">
      <c r="A1339" s="81" t="s">
        <v>433</v>
      </c>
      <c r="B1339" s="80" t="s">
        <v>2699</v>
      </c>
      <c r="C1339" s="89" t="s">
        <v>1086</v>
      </c>
    </row>
    <row r="1340" spans="1:3" ht="15">
      <c r="A1340" s="81" t="s">
        <v>433</v>
      </c>
      <c r="B1340" s="80" t="s">
        <v>2583</v>
      </c>
      <c r="C1340" s="89" t="s">
        <v>1086</v>
      </c>
    </row>
    <row r="1341" spans="1:3" ht="15">
      <c r="A1341" s="81" t="s">
        <v>433</v>
      </c>
      <c r="B1341" s="80" t="s">
        <v>2584</v>
      </c>
      <c r="C1341" s="89" t="s">
        <v>1086</v>
      </c>
    </row>
    <row r="1342" spans="1:3" ht="15">
      <c r="A1342" s="81" t="s">
        <v>433</v>
      </c>
      <c r="B1342" s="80" t="s">
        <v>2585</v>
      </c>
      <c r="C1342" s="89" t="s">
        <v>1086</v>
      </c>
    </row>
    <row r="1343" spans="1:3" ht="15">
      <c r="A1343" s="81" t="s">
        <v>433</v>
      </c>
      <c r="B1343" s="80" t="s">
        <v>2586</v>
      </c>
      <c r="C1343" s="89" t="s">
        <v>1086</v>
      </c>
    </row>
    <row r="1344" spans="1:3" ht="15">
      <c r="A1344" s="81" t="s">
        <v>433</v>
      </c>
      <c r="B1344" s="80" t="s">
        <v>2587</v>
      </c>
      <c r="C1344" s="89" t="s">
        <v>1086</v>
      </c>
    </row>
    <row r="1345" spans="1:3" ht="15">
      <c r="A1345" s="81" t="s">
        <v>433</v>
      </c>
      <c r="B1345" s="80" t="s">
        <v>2883</v>
      </c>
      <c r="C1345" s="89" t="s">
        <v>1086</v>
      </c>
    </row>
    <row r="1346" spans="1:3" ht="15">
      <c r="A1346" s="81" t="s">
        <v>433</v>
      </c>
      <c r="B1346" s="80" t="s">
        <v>2589</v>
      </c>
      <c r="C1346" s="89" t="s">
        <v>1086</v>
      </c>
    </row>
    <row r="1347" spans="1:3" ht="15">
      <c r="A1347" s="81" t="s">
        <v>433</v>
      </c>
      <c r="B1347" s="80" t="s">
        <v>2590</v>
      </c>
      <c r="C1347" s="89" t="s">
        <v>1086</v>
      </c>
    </row>
    <row r="1348" spans="1:3" ht="15">
      <c r="A1348" s="81" t="s">
        <v>433</v>
      </c>
      <c r="B1348" s="80" t="s">
        <v>2884</v>
      </c>
      <c r="C1348" s="89" t="s">
        <v>1086</v>
      </c>
    </row>
    <row r="1349" spans="1:3" ht="15">
      <c r="A1349" s="81" t="s">
        <v>433</v>
      </c>
      <c r="B1349" s="80" t="s">
        <v>2885</v>
      </c>
      <c r="C1349" s="89" t="s">
        <v>1086</v>
      </c>
    </row>
    <row r="1350" spans="1:3" ht="15">
      <c r="A1350" s="81" t="s">
        <v>433</v>
      </c>
      <c r="B1350" s="80" t="s">
        <v>2703</v>
      </c>
      <c r="C1350" s="89" t="s">
        <v>1086</v>
      </c>
    </row>
    <row r="1351" spans="1:3" ht="15">
      <c r="A1351" s="81" t="s">
        <v>433</v>
      </c>
      <c r="B1351" s="80" t="s">
        <v>2886</v>
      </c>
      <c r="C1351" s="89" t="s">
        <v>1086</v>
      </c>
    </row>
    <row r="1352" spans="1:3" ht="15">
      <c r="A1352" s="81" t="s">
        <v>433</v>
      </c>
      <c r="B1352" s="80" t="s">
        <v>2550</v>
      </c>
      <c r="C1352" s="89" t="s">
        <v>1086</v>
      </c>
    </row>
    <row r="1353" spans="1:3" ht="15">
      <c r="A1353" s="81" t="s">
        <v>433</v>
      </c>
      <c r="B1353" s="80" t="s">
        <v>2591</v>
      </c>
      <c r="C1353" s="89" t="s">
        <v>1086</v>
      </c>
    </row>
    <row r="1354" spans="1:3" ht="15">
      <c r="A1354" s="81" t="s">
        <v>433</v>
      </c>
      <c r="B1354" s="80" t="s">
        <v>2887</v>
      </c>
      <c r="C1354" s="89" t="s">
        <v>1086</v>
      </c>
    </row>
    <row r="1355" spans="1:3" ht="15">
      <c r="A1355" s="81" t="s">
        <v>433</v>
      </c>
      <c r="B1355" s="80" t="s">
        <v>2592</v>
      </c>
      <c r="C1355" s="89" t="s">
        <v>1086</v>
      </c>
    </row>
    <row r="1356" spans="1:3" ht="15">
      <c r="A1356" s="81" t="s">
        <v>433</v>
      </c>
      <c r="B1356" s="80" t="s">
        <v>2593</v>
      </c>
      <c r="C1356" s="89" t="s">
        <v>1086</v>
      </c>
    </row>
    <row r="1357" spans="1:3" ht="15">
      <c r="A1357" s="81" t="s">
        <v>433</v>
      </c>
      <c r="B1357" s="80" t="s">
        <v>2594</v>
      </c>
      <c r="C1357" s="89" t="s">
        <v>1086</v>
      </c>
    </row>
    <row r="1358" spans="1:3" ht="15">
      <c r="A1358" s="81" t="s">
        <v>433</v>
      </c>
      <c r="B1358" s="80" t="s">
        <v>2595</v>
      </c>
      <c r="C1358" s="89" t="s">
        <v>1086</v>
      </c>
    </row>
    <row r="1359" spans="1:3" ht="15">
      <c r="A1359" s="81" t="s">
        <v>433</v>
      </c>
      <c r="B1359" s="80" t="s">
        <v>2596</v>
      </c>
      <c r="C1359" s="89" t="s">
        <v>1086</v>
      </c>
    </row>
    <row r="1360" spans="1:3" ht="15">
      <c r="A1360" s="81" t="s">
        <v>433</v>
      </c>
      <c r="B1360" s="80" t="s">
        <v>2888</v>
      </c>
      <c r="C1360" s="89" t="s">
        <v>1086</v>
      </c>
    </row>
    <row r="1361" spans="1:3" ht="15">
      <c r="A1361" s="81" t="s">
        <v>433</v>
      </c>
      <c r="B1361" s="80" t="s">
        <v>2597</v>
      </c>
      <c r="C1361" s="89" t="s">
        <v>1086</v>
      </c>
    </row>
    <row r="1362" spans="1:3" ht="15">
      <c r="A1362" s="81" t="s">
        <v>433</v>
      </c>
      <c r="B1362" s="80" t="s">
        <v>2598</v>
      </c>
      <c r="C1362" s="89" t="s">
        <v>1086</v>
      </c>
    </row>
    <row r="1363" spans="1:3" ht="15">
      <c r="A1363" s="81" t="s">
        <v>433</v>
      </c>
      <c r="B1363" s="80" t="s">
        <v>2599</v>
      </c>
      <c r="C1363" s="89" t="s">
        <v>1086</v>
      </c>
    </row>
    <row r="1364" spans="1:3" ht="15">
      <c r="A1364" s="81" t="s">
        <v>432</v>
      </c>
      <c r="B1364" s="80" t="s">
        <v>495</v>
      </c>
      <c r="C1364" s="89" t="s">
        <v>1085</v>
      </c>
    </row>
    <row r="1365" spans="1:3" ht="15">
      <c r="A1365" s="81" t="s">
        <v>432</v>
      </c>
      <c r="B1365" s="80" t="s">
        <v>2889</v>
      </c>
      <c r="C1365" s="89" t="s">
        <v>1085</v>
      </c>
    </row>
    <row r="1366" spans="1:3" ht="15">
      <c r="A1366" s="81" t="s">
        <v>432</v>
      </c>
      <c r="B1366" s="80" t="s">
        <v>2890</v>
      </c>
      <c r="C1366" s="89" t="s">
        <v>1085</v>
      </c>
    </row>
    <row r="1367" spans="1:3" ht="15">
      <c r="A1367" s="81" t="s">
        <v>432</v>
      </c>
      <c r="B1367" s="80" t="s">
        <v>2891</v>
      </c>
      <c r="C1367" s="89" t="s">
        <v>1085</v>
      </c>
    </row>
    <row r="1368" spans="1:3" ht="15">
      <c r="A1368" s="81" t="s">
        <v>432</v>
      </c>
      <c r="B1368" s="80" t="s">
        <v>2600</v>
      </c>
      <c r="C1368" s="89" t="s">
        <v>1085</v>
      </c>
    </row>
    <row r="1369" spans="1:3" ht="15">
      <c r="A1369" s="81" t="s">
        <v>432</v>
      </c>
      <c r="B1369" s="80" t="s">
        <v>2892</v>
      </c>
      <c r="C1369" s="89" t="s">
        <v>1085</v>
      </c>
    </row>
    <row r="1370" spans="1:3" ht="15">
      <c r="A1370" s="81" t="s">
        <v>432</v>
      </c>
      <c r="B1370" s="80" t="s">
        <v>2693</v>
      </c>
      <c r="C1370" s="89" t="s">
        <v>1085</v>
      </c>
    </row>
    <row r="1371" spans="1:3" ht="15">
      <c r="A1371" s="81" t="s">
        <v>432</v>
      </c>
      <c r="B1371" s="80" t="s">
        <v>2893</v>
      </c>
      <c r="C1371" s="89" t="s">
        <v>1085</v>
      </c>
    </row>
    <row r="1372" spans="1:3" ht="15">
      <c r="A1372" s="81" t="s">
        <v>432</v>
      </c>
      <c r="B1372" s="80" t="s">
        <v>2894</v>
      </c>
      <c r="C1372" s="89" t="s">
        <v>1085</v>
      </c>
    </row>
    <row r="1373" spans="1:3" ht="15">
      <c r="A1373" s="81" t="s">
        <v>432</v>
      </c>
      <c r="B1373" s="80" t="s">
        <v>2895</v>
      </c>
      <c r="C1373" s="89" t="s">
        <v>1085</v>
      </c>
    </row>
    <row r="1374" spans="1:3" ht="15">
      <c r="A1374" s="81" t="s">
        <v>432</v>
      </c>
      <c r="B1374" s="80" t="s">
        <v>2896</v>
      </c>
      <c r="C1374" s="89" t="s">
        <v>1085</v>
      </c>
    </row>
    <row r="1375" spans="1:3" ht="15">
      <c r="A1375" s="81" t="s">
        <v>432</v>
      </c>
      <c r="B1375" s="80" t="s">
        <v>2703</v>
      </c>
      <c r="C1375" s="89" t="s">
        <v>1085</v>
      </c>
    </row>
    <row r="1376" spans="1:3" ht="15">
      <c r="A1376" s="81" t="s">
        <v>432</v>
      </c>
      <c r="B1376" s="80" t="s">
        <v>2897</v>
      </c>
      <c r="C1376" s="89" t="s">
        <v>1085</v>
      </c>
    </row>
    <row r="1377" spans="1:3" ht="15">
      <c r="A1377" s="81" t="s">
        <v>432</v>
      </c>
      <c r="B1377" s="80" t="s">
        <v>2898</v>
      </c>
      <c r="C1377" s="89" t="s">
        <v>1085</v>
      </c>
    </row>
    <row r="1378" spans="1:3" ht="15">
      <c r="A1378" s="81" t="s">
        <v>432</v>
      </c>
      <c r="B1378" s="80" t="s">
        <v>2899</v>
      </c>
      <c r="C1378" s="89" t="s">
        <v>1085</v>
      </c>
    </row>
    <row r="1379" spans="1:3" ht="15">
      <c r="A1379" s="81" t="s">
        <v>432</v>
      </c>
      <c r="B1379" s="80" t="s">
        <v>2900</v>
      </c>
      <c r="C1379" s="89" t="s">
        <v>1085</v>
      </c>
    </row>
    <row r="1380" spans="1:3" ht="15">
      <c r="A1380" s="81" t="s">
        <v>432</v>
      </c>
      <c r="B1380" s="80" t="s">
        <v>2803</v>
      </c>
      <c r="C1380" s="89" t="s">
        <v>1085</v>
      </c>
    </row>
    <row r="1381" spans="1:3" ht="15">
      <c r="A1381" s="81" t="s">
        <v>432</v>
      </c>
      <c r="B1381" s="80" t="s">
        <v>2901</v>
      </c>
      <c r="C1381" s="89" t="s">
        <v>1085</v>
      </c>
    </row>
    <row r="1382" spans="1:3" ht="15">
      <c r="A1382" s="81" t="s">
        <v>432</v>
      </c>
      <c r="B1382" s="80" t="s">
        <v>1181</v>
      </c>
      <c r="C1382" s="89" t="s">
        <v>1085</v>
      </c>
    </row>
    <row r="1383" spans="1:3" ht="15">
      <c r="A1383" s="81" t="s">
        <v>432</v>
      </c>
      <c r="B1383" s="80" t="s">
        <v>2902</v>
      </c>
      <c r="C1383" s="89" t="s">
        <v>1085</v>
      </c>
    </row>
    <row r="1384" spans="1:3" ht="15">
      <c r="A1384" s="81" t="s">
        <v>432</v>
      </c>
      <c r="B1384" s="80" t="s">
        <v>2602</v>
      </c>
      <c r="C1384" s="89" t="s">
        <v>1085</v>
      </c>
    </row>
    <row r="1385" spans="1:3" ht="15">
      <c r="A1385" s="81" t="s">
        <v>432</v>
      </c>
      <c r="B1385" s="80" t="s">
        <v>2603</v>
      </c>
      <c r="C1385" s="89" t="s">
        <v>1085</v>
      </c>
    </row>
    <row r="1386" spans="1:3" ht="15">
      <c r="A1386" s="81" t="s">
        <v>432</v>
      </c>
      <c r="B1386" s="80" t="s">
        <v>2903</v>
      </c>
      <c r="C1386" s="89" t="s">
        <v>1085</v>
      </c>
    </row>
    <row r="1387" spans="1:3" ht="15">
      <c r="A1387" s="81" t="s">
        <v>432</v>
      </c>
      <c r="B1387" s="80" t="s">
        <v>2571</v>
      </c>
      <c r="C1387" s="89" t="s">
        <v>1085</v>
      </c>
    </row>
    <row r="1388" spans="1:3" ht="15">
      <c r="A1388" s="81" t="s">
        <v>432</v>
      </c>
      <c r="B1388" s="80" t="s">
        <v>2871</v>
      </c>
      <c r="C1388" s="89" t="s">
        <v>1085</v>
      </c>
    </row>
    <row r="1389" spans="1:3" ht="15">
      <c r="A1389" s="81" t="s">
        <v>432</v>
      </c>
      <c r="B1389" s="80" t="s">
        <v>2904</v>
      </c>
      <c r="C1389" s="89" t="s">
        <v>1085</v>
      </c>
    </row>
    <row r="1390" spans="1:3" ht="15">
      <c r="A1390" s="81" t="s">
        <v>432</v>
      </c>
      <c r="B1390" s="80" t="s">
        <v>2769</v>
      </c>
      <c r="C1390" s="89" t="s">
        <v>1085</v>
      </c>
    </row>
    <row r="1391" spans="1:3" ht="15">
      <c r="A1391" s="81" t="s">
        <v>432</v>
      </c>
      <c r="B1391" s="80" t="s">
        <v>2691</v>
      </c>
      <c r="C1391" s="89" t="s">
        <v>1085</v>
      </c>
    </row>
    <row r="1392" spans="1:3" ht="15">
      <c r="A1392" s="81" t="s">
        <v>432</v>
      </c>
      <c r="B1392" s="80" t="s">
        <v>2777</v>
      </c>
      <c r="C1392" s="89" t="s">
        <v>1085</v>
      </c>
    </row>
    <row r="1393" spans="1:3" ht="15">
      <c r="A1393" s="81" t="s">
        <v>431</v>
      </c>
      <c r="B1393" s="80" t="s">
        <v>2700</v>
      </c>
      <c r="C1393" s="89" t="s">
        <v>1084</v>
      </c>
    </row>
    <row r="1394" spans="1:3" ht="15">
      <c r="A1394" s="81" t="s">
        <v>431</v>
      </c>
      <c r="B1394" s="80" t="s">
        <v>2480</v>
      </c>
      <c r="C1394" s="89" t="s">
        <v>1084</v>
      </c>
    </row>
    <row r="1395" spans="1:3" ht="15">
      <c r="A1395" s="81" t="s">
        <v>431</v>
      </c>
      <c r="B1395" s="80" t="s">
        <v>2481</v>
      </c>
      <c r="C1395" s="89" t="s">
        <v>1084</v>
      </c>
    </row>
    <row r="1396" spans="1:3" ht="15">
      <c r="A1396" s="81" t="s">
        <v>431</v>
      </c>
      <c r="B1396" s="80" t="s">
        <v>2701</v>
      </c>
      <c r="C1396" s="89" t="s">
        <v>1084</v>
      </c>
    </row>
    <row r="1397" spans="1:3" ht="15">
      <c r="A1397" s="81" t="s">
        <v>431</v>
      </c>
      <c r="B1397" s="80" t="s">
        <v>2702</v>
      </c>
      <c r="C1397" s="89" t="s">
        <v>1084</v>
      </c>
    </row>
    <row r="1398" spans="1:3" ht="15">
      <c r="A1398" s="81" t="s">
        <v>431</v>
      </c>
      <c r="B1398" s="80" t="s">
        <v>2483</v>
      </c>
      <c r="C1398" s="89" t="s">
        <v>1084</v>
      </c>
    </row>
    <row r="1399" spans="1:3" ht="15">
      <c r="A1399" s="81" t="s">
        <v>431</v>
      </c>
      <c r="B1399" s="80" t="s">
        <v>2484</v>
      </c>
      <c r="C1399" s="89" t="s">
        <v>1084</v>
      </c>
    </row>
    <row r="1400" spans="1:3" ht="15">
      <c r="A1400" s="81" t="s">
        <v>431</v>
      </c>
      <c r="B1400" s="80" t="s">
        <v>2703</v>
      </c>
      <c r="C1400" s="89" t="s">
        <v>1084</v>
      </c>
    </row>
    <row r="1401" spans="1:3" ht="15">
      <c r="A1401" s="81" t="s">
        <v>431</v>
      </c>
      <c r="B1401" s="80" t="s">
        <v>2485</v>
      </c>
      <c r="C1401" s="89" t="s">
        <v>1084</v>
      </c>
    </row>
    <row r="1402" spans="1:3" ht="15">
      <c r="A1402" s="81" t="s">
        <v>431</v>
      </c>
      <c r="B1402" s="80" t="s">
        <v>2693</v>
      </c>
      <c r="C1402" s="89" t="s">
        <v>1084</v>
      </c>
    </row>
    <row r="1403" spans="1:3" ht="15">
      <c r="A1403" s="81" t="s">
        <v>431</v>
      </c>
      <c r="B1403" s="80" t="s">
        <v>2486</v>
      </c>
      <c r="C1403" s="89" t="s">
        <v>1084</v>
      </c>
    </row>
    <row r="1404" spans="1:3" ht="15">
      <c r="A1404" s="81" t="s">
        <v>431</v>
      </c>
      <c r="B1404" s="80" t="s">
        <v>2704</v>
      </c>
      <c r="C1404" s="89" t="s">
        <v>1084</v>
      </c>
    </row>
    <row r="1405" spans="1:3" ht="15">
      <c r="A1405" s="81" t="s">
        <v>431</v>
      </c>
      <c r="B1405" s="80" t="s">
        <v>2691</v>
      </c>
      <c r="C1405" s="89" t="s">
        <v>1084</v>
      </c>
    </row>
    <row r="1406" spans="1:3" ht="15">
      <c r="A1406" s="81" t="s">
        <v>431</v>
      </c>
      <c r="B1406" s="80" t="s">
        <v>2692</v>
      </c>
      <c r="C1406" s="89" t="s">
        <v>1084</v>
      </c>
    </row>
    <row r="1407" spans="1:3" ht="15">
      <c r="A1407" s="81" t="s">
        <v>431</v>
      </c>
      <c r="B1407" s="80" t="s">
        <v>2477</v>
      </c>
      <c r="C1407" s="89" t="s">
        <v>1084</v>
      </c>
    </row>
    <row r="1408" spans="1:3" ht="15">
      <c r="A1408" s="81" t="s">
        <v>431</v>
      </c>
      <c r="B1408" s="80" t="s">
        <v>2705</v>
      </c>
      <c r="C1408" s="89" t="s">
        <v>1084</v>
      </c>
    </row>
    <row r="1409" spans="1:3" ht="15">
      <c r="A1409" s="81" t="s">
        <v>431</v>
      </c>
      <c r="B1409" s="80" t="s">
        <v>2706</v>
      </c>
      <c r="C1409" s="89" t="s">
        <v>1084</v>
      </c>
    </row>
    <row r="1410" spans="1:3" ht="15">
      <c r="A1410" s="81" t="s">
        <v>431</v>
      </c>
      <c r="B1410" s="80" t="s">
        <v>2707</v>
      </c>
      <c r="C1410" s="89" t="s">
        <v>1084</v>
      </c>
    </row>
    <row r="1411" spans="1:3" ht="15">
      <c r="A1411" s="81" t="s">
        <v>431</v>
      </c>
      <c r="B1411" s="80" t="s">
        <v>2708</v>
      </c>
      <c r="C1411" s="89" t="s">
        <v>1084</v>
      </c>
    </row>
    <row r="1412" spans="1:3" ht="15">
      <c r="A1412" s="81" t="s">
        <v>431</v>
      </c>
      <c r="B1412" s="80" t="s">
        <v>2488</v>
      </c>
      <c r="C1412" s="89" t="s">
        <v>1084</v>
      </c>
    </row>
    <row r="1413" spans="1:3" ht="15">
      <c r="A1413" s="81" t="s">
        <v>431</v>
      </c>
      <c r="B1413" s="80" t="s">
        <v>2709</v>
      </c>
      <c r="C1413" s="89" t="s">
        <v>1084</v>
      </c>
    </row>
    <row r="1414" spans="1:3" ht="15">
      <c r="A1414" s="81" t="s">
        <v>431</v>
      </c>
      <c r="B1414" s="80" t="s">
        <v>2710</v>
      </c>
      <c r="C1414" s="89" t="s">
        <v>1084</v>
      </c>
    </row>
    <row r="1415" spans="1:3" ht="15">
      <c r="A1415" s="81" t="s">
        <v>431</v>
      </c>
      <c r="B1415" s="80" t="s">
        <v>2478</v>
      </c>
      <c r="C1415" s="89" t="s">
        <v>1084</v>
      </c>
    </row>
    <row r="1416" spans="1:3" ht="15">
      <c r="A1416" s="81" t="s">
        <v>431</v>
      </c>
      <c r="B1416" s="80" t="s">
        <v>2476</v>
      </c>
      <c r="C1416" s="89" t="s">
        <v>1084</v>
      </c>
    </row>
    <row r="1417" spans="1:3" ht="15">
      <c r="A1417" s="81" t="s">
        <v>431</v>
      </c>
      <c r="B1417" s="80" t="s">
        <v>2711</v>
      </c>
      <c r="C1417" s="89" t="s">
        <v>1084</v>
      </c>
    </row>
    <row r="1418" spans="1:3" ht="15">
      <c r="A1418" s="81" t="s">
        <v>431</v>
      </c>
      <c r="B1418" s="80" t="s">
        <v>65</v>
      </c>
      <c r="C1418" s="89" t="s">
        <v>1084</v>
      </c>
    </row>
    <row r="1419" spans="1:3" ht="15">
      <c r="A1419" s="81" t="s">
        <v>431</v>
      </c>
      <c r="B1419" s="80" t="s">
        <v>2491</v>
      </c>
      <c r="C1419" s="89" t="s">
        <v>1084</v>
      </c>
    </row>
    <row r="1420" spans="1:3" ht="15">
      <c r="A1420" s="81" t="s">
        <v>431</v>
      </c>
      <c r="B1420" s="80" t="s">
        <v>2691</v>
      </c>
      <c r="C1420" s="89" t="s">
        <v>1083</v>
      </c>
    </row>
    <row r="1421" spans="1:3" ht="15">
      <c r="A1421" s="81" t="s">
        <v>431</v>
      </c>
      <c r="B1421" s="80" t="s">
        <v>2692</v>
      </c>
      <c r="C1421" s="89" t="s">
        <v>1083</v>
      </c>
    </row>
    <row r="1422" spans="1:3" ht="15">
      <c r="A1422" s="81" t="s">
        <v>431</v>
      </c>
      <c r="B1422" s="80" t="s">
        <v>2494</v>
      </c>
      <c r="C1422" s="89" t="s">
        <v>1083</v>
      </c>
    </row>
    <row r="1423" spans="1:3" ht="15">
      <c r="A1423" s="81" t="s">
        <v>431</v>
      </c>
      <c r="B1423" s="80" t="s">
        <v>2492</v>
      </c>
      <c r="C1423" s="89" t="s">
        <v>1083</v>
      </c>
    </row>
    <row r="1424" spans="1:3" ht="15">
      <c r="A1424" s="81" t="s">
        <v>431</v>
      </c>
      <c r="B1424" s="80" t="s">
        <v>2495</v>
      </c>
      <c r="C1424" s="89" t="s">
        <v>1083</v>
      </c>
    </row>
    <row r="1425" spans="1:3" ht="15">
      <c r="A1425" s="81" t="s">
        <v>431</v>
      </c>
      <c r="B1425" s="80" t="s">
        <v>2493</v>
      </c>
      <c r="C1425" s="89" t="s">
        <v>1083</v>
      </c>
    </row>
    <row r="1426" spans="1:3" ht="15">
      <c r="A1426" s="81" t="s">
        <v>429</v>
      </c>
      <c r="B1426" s="80" t="s">
        <v>2905</v>
      </c>
      <c r="C1426" s="89" t="s">
        <v>1080</v>
      </c>
    </row>
    <row r="1427" spans="1:3" ht="15">
      <c r="A1427" s="81" t="s">
        <v>429</v>
      </c>
      <c r="B1427" s="80" t="s">
        <v>2533</v>
      </c>
      <c r="C1427" s="89" t="s">
        <v>1080</v>
      </c>
    </row>
    <row r="1428" spans="1:3" ht="15">
      <c r="A1428" s="81" t="s">
        <v>429</v>
      </c>
      <c r="B1428" s="80" t="s">
        <v>2906</v>
      </c>
      <c r="C1428" s="89" t="s">
        <v>1080</v>
      </c>
    </row>
    <row r="1429" spans="1:3" ht="15">
      <c r="A1429" s="81" t="s">
        <v>429</v>
      </c>
      <c r="B1429" s="80" t="s">
        <v>2535</v>
      </c>
      <c r="C1429" s="89" t="s">
        <v>1080</v>
      </c>
    </row>
    <row r="1430" spans="1:3" ht="15">
      <c r="A1430" s="81" t="s">
        <v>429</v>
      </c>
      <c r="B1430" s="80" t="s">
        <v>2536</v>
      </c>
      <c r="C1430" s="89" t="s">
        <v>1080</v>
      </c>
    </row>
    <row r="1431" spans="1:3" ht="15">
      <c r="A1431" s="81" t="s">
        <v>429</v>
      </c>
      <c r="B1431" s="80" t="s">
        <v>2907</v>
      </c>
      <c r="C1431" s="89" t="s">
        <v>1080</v>
      </c>
    </row>
    <row r="1432" spans="1:3" ht="15">
      <c r="A1432" s="81" t="s">
        <v>429</v>
      </c>
      <c r="B1432" s="80" t="s">
        <v>2769</v>
      </c>
      <c r="C1432" s="89" t="s">
        <v>1080</v>
      </c>
    </row>
    <row r="1433" spans="1:3" ht="15">
      <c r="A1433" s="81" t="s">
        <v>429</v>
      </c>
      <c r="B1433" s="80" t="s">
        <v>2713</v>
      </c>
      <c r="C1433" s="89" t="s">
        <v>1080</v>
      </c>
    </row>
    <row r="1434" spans="1:3" ht="15">
      <c r="A1434" s="81" t="s">
        <v>429</v>
      </c>
      <c r="B1434" s="80" t="s">
        <v>2537</v>
      </c>
      <c r="C1434" s="89" t="s">
        <v>1080</v>
      </c>
    </row>
    <row r="1435" spans="1:3" ht="15">
      <c r="A1435" s="81" t="s">
        <v>429</v>
      </c>
      <c r="B1435" s="80" t="s">
        <v>2908</v>
      </c>
      <c r="C1435" s="89" t="s">
        <v>1080</v>
      </c>
    </row>
    <row r="1436" spans="1:3" ht="15">
      <c r="A1436" s="81" t="s">
        <v>429</v>
      </c>
      <c r="B1436" s="80" t="s">
        <v>2538</v>
      </c>
      <c r="C1436" s="89" t="s">
        <v>1080</v>
      </c>
    </row>
    <row r="1437" spans="1:3" ht="15">
      <c r="A1437" s="81" t="s">
        <v>429</v>
      </c>
      <c r="B1437" s="80" t="s">
        <v>2691</v>
      </c>
      <c r="C1437" s="89" t="s">
        <v>1080</v>
      </c>
    </row>
    <row r="1438" spans="1:3" ht="15">
      <c r="A1438" s="81" t="s">
        <v>429</v>
      </c>
      <c r="B1438" s="80" t="s">
        <v>2777</v>
      </c>
      <c r="C1438" s="89" t="s">
        <v>1080</v>
      </c>
    </row>
    <row r="1439" spans="1:3" ht="15">
      <c r="A1439" s="81" t="s">
        <v>429</v>
      </c>
      <c r="B1439" s="80" t="s">
        <v>2539</v>
      </c>
      <c r="C1439" s="89" t="s">
        <v>1080</v>
      </c>
    </row>
    <row r="1440" spans="1:3" ht="15">
      <c r="A1440" s="81" t="s">
        <v>429</v>
      </c>
      <c r="B1440" s="80" t="s">
        <v>2540</v>
      </c>
      <c r="C1440" s="89" t="s">
        <v>1080</v>
      </c>
    </row>
    <row r="1441" spans="1:3" ht="15">
      <c r="A1441" s="81" t="s">
        <v>429</v>
      </c>
      <c r="B1441" s="80" t="s">
        <v>2541</v>
      </c>
      <c r="C1441" s="89" t="s">
        <v>1080</v>
      </c>
    </row>
    <row r="1442" spans="1:3" ht="15">
      <c r="A1442" s="81" t="s">
        <v>429</v>
      </c>
      <c r="B1442" s="80" t="s">
        <v>2909</v>
      </c>
      <c r="C1442" s="89" t="s">
        <v>1080</v>
      </c>
    </row>
    <row r="1443" spans="1:3" ht="15">
      <c r="A1443" s="81" t="s">
        <v>429</v>
      </c>
      <c r="B1443" s="80" t="s">
        <v>2543</v>
      </c>
      <c r="C1443" s="89" t="s">
        <v>1080</v>
      </c>
    </row>
    <row r="1444" spans="1:3" ht="15">
      <c r="A1444" s="81" t="s">
        <v>429</v>
      </c>
      <c r="B1444" s="80" t="s">
        <v>2910</v>
      </c>
      <c r="C1444" s="89" t="s">
        <v>1080</v>
      </c>
    </row>
    <row r="1445" spans="1:3" ht="15">
      <c r="A1445" s="81" t="s">
        <v>429</v>
      </c>
      <c r="B1445" s="80" t="s">
        <v>2544</v>
      </c>
      <c r="C1445" s="89" t="s">
        <v>1080</v>
      </c>
    </row>
    <row r="1446" spans="1:3" ht="15">
      <c r="A1446" s="81" t="s">
        <v>427</v>
      </c>
      <c r="B1446" s="80" t="s">
        <v>2700</v>
      </c>
      <c r="C1446" s="89" t="s">
        <v>1078</v>
      </c>
    </row>
    <row r="1447" spans="1:3" ht="15">
      <c r="A1447" s="81" t="s">
        <v>427</v>
      </c>
      <c r="B1447" s="80" t="s">
        <v>2480</v>
      </c>
      <c r="C1447" s="89" t="s">
        <v>1078</v>
      </c>
    </row>
    <row r="1448" spans="1:3" ht="15">
      <c r="A1448" s="81" t="s">
        <v>427</v>
      </c>
      <c r="B1448" s="80" t="s">
        <v>2481</v>
      </c>
      <c r="C1448" s="89" t="s">
        <v>1078</v>
      </c>
    </row>
    <row r="1449" spans="1:3" ht="15">
      <c r="A1449" s="81" t="s">
        <v>427</v>
      </c>
      <c r="B1449" s="80" t="s">
        <v>2701</v>
      </c>
      <c r="C1449" s="89" t="s">
        <v>1078</v>
      </c>
    </row>
    <row r="1450" spans="1:3" ht="15">
      <c r="A1450" s="81" t="s">
        <v>427</v>
      </c>
      <c r="B1450" s="80" t="s">
        <v>2702</v>
      </c>
      <c r="C1450" s="89" t="s">
        <v>1078</v>
      </c>
    </row>
    <row r="1451" spans="1:3" ht="15">
      <c r="A1451" s="81" t="s">
        <v>427</v>
      </c>
      <c r="B1451" s="80" t="s">
        <v>2483</v>
      </c>
      <c r="C1451" s="89" t="s">
        <v>1078</v>
      </c>
    </row>
    <row r="1452" spans="1:3" ht="15">
      <c r="A1452" s="81" t="s">
        <v>427</v>
      </c>
      <c r="B1452" s="80" t="s">
        <v>2484</v>
      </c>
      <c r="C1452" s="89" t="s">
        <v>1078</v>
      </c>
    </row>
    <row r="1453" spans="1:3" ht="15">
      <c r="A1453" s="81" t="s">
        <v>427</v>
      </c>
      <c r="B1453" s="80" t="s">
        <v>2703</v>
      </c>
      <c r="C1453" s="89" t="s">
        <v>1078</v>
      </c>
    </row>
    <row r="1454" spans="1:3" ht="15">
      <c r="A1454" s="81" t="s">
        <v>427</v>
      </c>
      <c r="B1454" s="80" t="s">
        <v>2485</v>
      </c>
      <c r="C1454" s="89" t="s">
        <v>1078</v>
      </c>
    </row>
    <row r="1455" spans="1:3" ht="15">
      <c r="A1455" s="81" t="s">
        <v>427</v>
      </c>
      <c r="B1455" s="80" t="s">
        <v>2693</v>
      </c>
      <c r="C1455" s="89" t="s">
        <v>1078</v>
      </c>
    </row>
    <row r="1456" spans="1:3" ht="15">
      <c r="A1456" s="81" t="s">
        <v>427</v>
      </c>
      <c r="B1456" s="80" t="s">
        <v>2486</v>
      </c>
      <c r="C1456" s="89" t="s">
        <v>1078</v>
      </c>
    </row>
    <row r="1457" spans="1:3" ht="15">
      <c r="A1457" s="81" t="s">
        <v>427</v>
      </c>
      <c r="B1457" s="80" t="s">
        <v>2704</v>
      </c>
      <c r="C1457" s="89" t="s">
        <v>1078</v>
      </c>
    </row>
    <row r="1458" spans="1:3" ht="15">
      <c r="A1458" s="81" t="s">
        <v>427</v>
      </c>
      <c r="B1458" s="80" t="s">
        <v>2691</v>
      </c>
      <c r="C1458" s="89" t="s">
        <v>1078</v>
      </c>
    </row>
    <row r="1459" spans="1:3" ht="15">
      <c r="A1459" s="81" t="s">
        <v>427</v>
      </c>
      <c r="B1459" s="80" t="s">
        <v>2692</v>
      </c>
      <c r="C1459" s="89" t="s">
        <v>1078</v>
      </c>
    </row>
    <row r="1460" spans="1:3" ht="15">
      <c r="A1460" s="81" t="s">
        <v>427</v>
      </c>
      <c r="B1460" s="80" t="s">
        <v>2477</v>
      </c>
      <c r="C1460" s="89" t="s">
        <v>1078</v>
      </c>
    </row>
    <row r="1461" spans="1:3" ht="15">
      <c r="A1461" s="81" t="s">
        <v>427</v>
      </c>
      <c r="B1461" s="80" t="s">
        <v>2705</v>
      </c>
      <c r="C1461" s="89" t="s">
        <v>1078</v>
      </c>
    </row>
    <row r="1462" spans="1:3" ht="15">
      <c r="A1462" s="81" t="s">
        <v>427</v>
      </c>
      <c r="B1462" s="80" t="s">
        <v>2706</v>
      </c>
      <c r="C1462" s="89" t="s">
        <v>1078</v>
      </c>
    </row>
    <row r="1463" spans="1:3" ht="15">
      <c r="A1463" s="81" t="s">
        <v>427</v>
      </c>
      <c r="B1463" s="80" t="s">
        <v>2707</v>
      </c>
      <c r="C1463" s="89" t="s">
        <v>1078</v>
      </c>
    </row>
    <row r="1464" spans="1:3" ht="15">
      <c r="A1464" s="81" t="s">
        <v>427</v>
      </c>
      <c r="B1464" s="80" t="s">
        <v>2708</v>
      </c>
      <c r="C1464" s="89" t="s">
        <v>1078</v>
      </c>
    </row>
    <row r="1465" spans="1:3" ht="15">
      <c r="A1465" s="81" t="s">
        <v>427</v>
      </c>
      <c r="B1465" s="80" t="s">
        <v>2488</v>
      </c>
      <c r="C1465" s="89" t="s">
        <v>1078</v>
      </c>
    </row>
    <row r="1466" spans="1:3" ht="15">
      <c r="A1466" s="81" t="s">
        <v>427</v>
      </c>
      <c r="B1466" s="80" t="s">
        <v>2709</v>
      </c>
      <c r="C1466" s="89" t="s">
        <v>1078</v>
      </c>
    </row>
    <row r="1467" spans="1:3" ht="15">
      <c r="A1467" s="81" t="s">
        <v>427</v>
      </c>
      <c r="B1467" s="80" t="s">
        <v>2710</v>
      </c>
      <c r="C1467" s="89" t="s">
        <v>1078</v>
      </c>
    </row>
    <row r="1468" spans="1:3" ht="15">
      <c r="A1468" s="81" t="s">
        <v>427</v>
      </c>
      <c r="B1468" s="80" t="s">
        <v>2478</v>
      </c>
      <c r="C1468" s="89" t="s">
        <v>1078</v>
      </c>
    </row>
    <row r="1469" spans="1:3" ht="15">
      <c r="A1469" s="81" t="s">
        <v>427</v>
      </c>
      <c r="B1469" s="80" t="s">
        <v>2476</v>
      </c>
      <c r="C1469" s="89" t="s">
        <v>1078</v>
      </c>
    </row>
    <row r="1470" spans="1:3" ht="15">
      <c r="A1470" s="81" t="s">
        <v>427</v>
      </c>
      <c r="B1470" s="80" t="s">
        <v>2711</v>
      </c>
      <c r="C1470" s="89" t="s">
        <v>1078</v>
      </c>
    </row>
    <row r="1471" spans="1:3" ht="15">
      <c r="A1471" s="81" t="s">
        <v>427</v>
      </c>
      <c r="B1471" s="80" t="s">
        <v>65</v>
      </c>
      <c r="C1471" s="89" t="s">
        <v>1078</v>
      </c>
    </row>
    <row r="1472" spans="1:3" ht="15">
      <c r="A1472" s="81" t="s">
        <v>427</v>
      </c>
      <c r="B1472" s="80" t="s">
        <v>2491</v>
      </c>
      <c r="C1472" s="89" t="s">
        <v>1078</v>
      </c>
    </row>
    <row r="1473" spans="1:3" ht="15">
      <c r="A1473" s="81" t="s">
        <v>426</v>
      </c>
      <c r="B1473" s="80" t="s">
        <v>2700</v>
      </c>
      <c r="C1473" s="89" t="s">
        <v>1077</v>
      </c>
    </row>
    <row r="1474" spans="1:3" ht="15">
      <c r="A1474" s="81" t="s">
        <v>426</v>
      </c>
      <c r="B1474" s="80" t="s">
        <v>2480</v>
      </c>
      <c r="C1474" s="89" t="s">
        <v>1077</v>
      </c>
    </row>
    <row r="1475" spans="1:3" ht="15">
      <c r="A1475" s="81" t="s">
        <v>426</v>
      </c>
      <c r="B1475" s="80" t="s">
        <v>2481</v>
      </c>
      <c r="C1475" s="89" t="s">
        <v>1077</v>
      </c>
    </row>
    <row r="1476" spans="1:3" ht="15">
      <c r="A1476" s="81" t="s">
        <v>426</v>
      </c>
      <c r="B1476" s="80" t="s">
        <v>2701</v>
      </c>
      <c r="C1476" s="89" t="s">
        <v>1077</v>
      </c>
    </row>
    <row r="1477" spans="1:3" ht="15">
      <c r="A1477" s="81" t="s">
        <v>426</v>
      </c>
      <c r="B1477" s="80" t="s">
        <v>2702</v>
      </c>
      <c r="C1477" s="89" t="s">
        <v>1077</v>
      </c>
    </row>
    <row r="1478" spans="1:3" ht="15">
      <c r="A1478" s="81" t="s">
        <v>426</v>
      </c>
      <c r="B1478" s="80" t="s">
        <v>2483</v>
      </c>
      <c r="C1478" s="89" t="s">
        <v>1077</v>
      </c>
    </row>
    <row r="1479" spans="1:3" ht="15">
      <c r="A1479" s="81" t="s">
        <v>426</v>
      </c>
      <c r="B1479" s="80" t="s">
        <v>2484</v>
      </c>
      <c r="C1479" s="89" t="s">
        <v>1077</v>
      </c>
    </row>
    <row r="1480" spans="1:3" ht="15">
      <c r="A1480" s="81" t="s">
        <v>426</v>
      </c>
      <c r="B1480" s="80" t="s">
        <v>2703</v>
      </c>
      <c r="C1480" s="89" t="s">
        <v>1077</v>
      </c>
    </row>
    <row r="1481" spans="1:3" ht="15">
      <c r="A1481" s="81" t="s">
        <v>426</v>
      </c>
      <c r="B1481" s="80" t="s">
        <v>2485</v>
      </c>
      <c r="C1481" s="89" t="s">
        <v>1077</v>
      </c>
    </row>
    <row r="1482" spans="1:3" ht="15">
      <c r="A1482" s="81" t="s">
        <v>426</v>
      </c>
      <c r="B1482" s="80" t="s">
        <v>2693</v>
      </c>
      <c r="C1482" s="89" t="s">
        <v>1077</v>
      </c>
    </row>
    <row r="1483" spans="1:3" ht="15">
      <c r="A1483" s="81" t="s">
        <v>426</v>
      </c>
      <c r="B1483" s="80" t="s">
        <v>2486</v>
      </c>
      <c r="C1483" s="89" t="s">
        <v>1077</v>
      </c>
    </row>
    <row r="1484" spans="1:3" ht="15">
      <c r="A1484" s="81" t="s">
        <v>426</v>
      </c>
      <c r="B1484" s="80" t="s">
        <v>2704</v>
      </c>
      <c r="C1484" s="89" t="s">
        <v>1077</v>
      </c>
    </row>
    <row r="1485" spans="1:3" ht="15">
      <c r="A1485" s="81" t="s">
        <v>426</v>
      </c>
      <c r="B1485" s="80" t="s">
        <v>2691</v>
      </c>
      <c r="C1485" s="89" t="s">
        <v>1077</v>
      </c>
    </row>
    <row r="1486" spans="1:3" ht="15">
      <c r="A1486" s="81" t="s">
        <v>426</v>
      </c>
      <c r="B1486" s="80" t="s">
        <v>2692</v>
      </c>
      <c r="C1486" s="89" t="s">
        <v>1077</v>
      </c>
    </row>
    <row r="1487" spans="1:3" ht="15">
      <c r="A1487" s="81" t="s">
        <v>426</v>
      </c>
      <c r="B1487" s="80" t="s">
        <v>2477</v>
      </c>
      <c r="C1487" s="89" t="s">
        <v>1077</v>
      </c>
    </row>
    <row r="1488" spans="1:3" ht="15">
      <c r="A1488" s="81" t="s">
        <v>426</v>
      </c>
      <c r="B1488" s="80" t="s">
        <v>2705</v>
      </c>
      <c r="C1488" s="89" t="s">
        <v>1077</v>
      </c>
    </row>
    <row r="1489" spans="1:3" ht="15">
      <c r="A1489" s="81" t="s">
        <v>426</v>
      </c>
      <c r="B1489" s="80" t="s">
        <v>2706</v>
      </c>
      <c r="C1489" s="89" t="s">
        <v>1077</v>
      </c>
    </row>
    <row r="1490" spans="1:3" ht="15">
      <c r="A1490" s="81" t="s">
        <v>426</v>
      </c>
      <c r="B1490" s="80" t="s">
        <v>2707</v>
      </c>
      <c r="C1490" s="89" t="s">
        <v>1077</v>
      </c>
    </row>
    <row r="1491" spans="1:3" ht="15">
      <c r="A1491" s="81" t="s">
        <v>426</v>
      </c>
      <c r="B1491" s="80" t="s">
        <v>2708</v>
      </c>
      <c r="C1491" s="89" t="s">
        <v>1077</v>
      </c>
    </row>
    <row r="1492" spans="1:3" ht="15">
      <c r="A1492" s="81" t="s">
        <v>426</v>
      </c>
      <c r="B1492" s="80" t="s">
        <v>2488</v>
      </c>
      <c r="C1492" s="89" t="s">
        <v>1077</v>
      </c>
    </row>
    <row r="1493" spans="1:3" ht="15">
      <c r="A1493" s="81" t="s">
        <v>426</v>
      </c>
      <c r="B1493" s="80" t="s">
        <v>2709</v>
      </c>
      <c r="C1493" s="89" t="s">
        <v>1077</v>
      </c>
    </row>
    <row r="1494" spans="1:3" ht="15">
      <c r="A1494" s="81" t="s">
        <v>426</v>
      </c>
      <c r="B1494" s="80" t="s">
        <v>2710</v>
      </c>
      <c r="C1494" s="89" t="s">
        <v>1077</v>
      </c>
    </row>
    <row r="1495" spans="1:3" ht="15">
      <c r="A1495" s="81" t="s">
        <v>426</v>
      </c>
      <c r="B1495" s="80" t="s">
        <v>2478</v>
      </c>
      <c r="C1495" s="89" t="s">
        <v>1077</v>
      </c>
    </row>
    <row r="1496" spans="1:3" ht="15">
      <c r="A1496" s="81" t="s">
        <v>426</v>
      </c>
      <c r="B1496" s="80" t="s">
        <v>2476</v>
      </c>
      <c r="C1496" s="89" t="s">
        <v>1077</v>
      </c>
    </row>
    <row r="1497" spans="1:3" ht="15">
      <c r="A1497" s="81" t="s">
        <v>426</v>
      </c>
      <c r="B1497" s="80" t="s">
        <v>2711</v>
      </c>
      <c r="C1497" s="89" t="s">
        <v>1077</v>
      </c>
    </row>
    <row r="1498" spans="1:3" ht="15">
      <c r="A1498" s="81" t="s">
        <v>426</v>
      </c>
      <c r="B1498" s="80" t="s">
        <v>65</v>
      </c>
      <c r="C1498" s="89" t="s">
        <v>1077</v>
      </c>
    </row>
    <row r="1499" spans="1:3" ht="15">
      <c r="A1499" s="81" t="s">
        <v>426</v>
      </c>
      <c r="B1499" s="80" t="s">
        <v>2491</v>
      </c>
      <c r="C1499" s="89" t="s">
        <v>1077</v>
      </c>
    </row>
    <row r="1500" spans="1:3" ht="15">
      <c r="A1500" s="81" t="s">
        <v>425</v>
      </c>
      <c r="B1500" s="80" t="s">
        <v>2700</v>
      </c>
      <c r="C1500" s="89" t="s">
        <v>1076</v>
      </c>
    </row>
    <row r="1501" spans="1:3" ht="15">
      <c r="A1501" s="81" t="s">
        <v>425</v>
      </c>
      <c r="B1501" s="80" t="s">
        <v>2480</v>
      </c>
      <c r="C1501" s="89" t="s">
        <v>1076</v>
      </c>
    </row>
    <row r="1502" spans="1:3" ht="15">
      <c r="A1502" s="81" t="s">
        <v>425</v>
      </c>
      <c r="B1502" s="80" t="s">
        <v>2481</v>
      </c>
      <c r="C1502" s="89" t="s">
        <v>1076</v>
      </c>
    </row>
    <row r="1503" spans="1:3" ht="15">
      <c r="A1503" s="81" t="s">
        <v>425</v>
      </c>
      <c r="B1503" s="80" t="s">
        <v>2701</v>
      </c>
      <c r="C1503" s="89" t="s">
        <v>1076</v>
      </c>
    </row>
    <row r="1504" spans="1:3" ht="15">
      <c r="A1504" s="81" t="s">
        <v>425</v>
      </c>
      <c r="B1504" s="80" t="s">
        <v>2702</v>
      </c>
      <c r="C1504" s="89" t="s">
        <v>1076</v>
      </c>
    </row>
    <row r="1505" spans="1:3" ht="15">
      <c r="A1505" s="81" t="s">
        <v>425</v>
      </c>
      <c r="B1505" s="80" t="s">
        <v>2483</v>
      </c>
      <c r="C1505" s="89" t="s">
        <v>1076</v>
      </c>
    </row>
    <row r="1506" spans="1:3" ht="15">
      <c r="A1506" s="81" t="s">
        <v>425</v>
      </c>
      <c r="B1506" s="80" t="s">
        <v>2484</v>
      </c>
      <c r="C1506" s="89" t="s">
        <v>1076</v>
      </c>
    </row>
    <row r="1507" spans="1:3" ht="15">
      <c r="A1507" s="81" t="s">
        <v>425</v>
      </c>
      <c r="B1507" s="80" t="s">
        <v>2703</v>
      </c>
      <c r="C1507" s="89" t="s">
        <v>1076</v>
      </c>
    </row>
    <row r="1508" spans="1:3" ht="15">
      <c r="A1508" s="81" t="s">
        <v>425</v>
      </c>
      <c r="B1508" s="80" t="s">
        <v>2485</v>
      </c>
      <c r="C1508" s="89" t="s">
        <v>1076</v>
      </c>
    </row>
    <row r="1509" spans="1:3" ht="15">
      <c r="A1509" s="81" t="s">
        <v>425</v>
      </c>
      <c r="B1509" s="80" t="s">
        <v>2693</v>
      </c>
      <c r="C1509" s="89" t="s">
        <v>1076</v>
      </c>
    </row>
    <row r="1510" spans="1:3" ht="15">
      <c r="A1510" s="81" t="s">
        <v>425</v>
      </c>
      <c r="B1510" s="80" t="s">
        <v>2486</v>
      </c>
      <c r="C1510" s="89" t="s">
        <v>1076</v>
      </c>
    </row>
    <row r="1511" spans="1:3" ht="15">
      <c r="A1511" s="81" t="s">
        <v>425</v>
      </c>
      <c r="B1511" s="80" t="s">
        <v>2704</v>
      </c>
      <c r="C1511" s="89" t="s">
        <v>1076</v>
      </c>
    </row>
    <row r="1512" spans="1:3" ht="15">
      <c r="A1512" s="81" t="s">
        <v>425</v>
      </c>
      <c r="B1512" s="80" t="s">
        <v>2691</v>
      </c>
      <c r="C1512" s="89" t="s">
        <v>1076</v>
      </c>
    </row>
    <row r="1513" spans="1:3" ht="15">
      <c r="A1513" s="81" t="s">
        <v>425</v>
      </c>
      <c r="B1513" s="80" t="s">
        <v>2692</v>
      </c>
      <c r="C1513" s="89" t="s">
        <v>1076</v>
      </c>
    </row>
    <row r="1514" spans="1:3" ht="15">
      <c r="A1514" s="81" t="s">
        <v>425</v>
      </c>
      <c r="B1514" s="80" t="s">
        <v>2477</v>
      </c>
      <c r="C1514" s="89" t="s">
        <v>1076</v>
      </c>
    </row>
    <row r="1515" spans="1:3" ht="15">
      <c r="A1515" s="81" t="s">
        <v>425</v>
      </c>
      <c r="B1515" s="80" t="s">
        <v>2705</v>
      </c>
      <c r="C1515" s="89" t="s">
        <v>1076</v>
      </c>
    </row>
    <row r="1516" spans="1:3" ht="15">
      <c r="A1516" s="81" t="s">
        <v>425</v>
      </c>
      <c r="B1516" s="80" t="s">
        <v>2706</v>
      </c>
      <c r="C1516" s="89" t="s">
        <v>1076</v>
      </c>
    </row>
    <row r="1517" spans="1:3" ht="15">
      <c r="A1517" s="81" t="s">
        <v>425</v>
      </c>
      <c r="B1517" s="80" t="s">
        <v>2707</v>
      </c>
      <c r="C1517" s="89" t="s">
        <v>1076</v>
      </c>
    </row>
    <row r="1518" spans="1:3" ht="15">
      <c r="A1518" s="81" t="s">
        <v>425</v>
      </c>
      <c r="B1518" s="80" t="s">
        <v>2708</v>
      </c>
      <c r="C1518" s="89" t="s">
        <v>1076</v>
      </c>
    </row>
    <row r="1519" spans="1:3" ht="15">
      <c r="A1519" s="81" t="s">
        <v>425</v>
      </c>
      <c r="B1519" s="80" t="s">
        <v>2488</v>
      </c>
      <c r="C1519" s="89" t="s">
        <v>1076</v>
      </c>
    </row>
    <row r="1520" spans="1:3" ht="15">
      <c r="A1520" s="81" t="s">
        <v>425</v>
      </c>
      <c r="B1520" s="80" t="s">
        <v>2709</v>
      </c>
      <c r="C1520" s="89" t="s">
        <v>1076</v>
      </c>
    </row>
    <row r="1521" spans="1:3" ht="15">
      <c r="A1521" s="81" t="s">
        <v>425</v>
      </c>
      <c r="B1521" s="80" t="s">
        <v>2710</v>
      </c>
      <c r="C1521" s="89" t="s">
        <v>1076</v>
      </c>
    </row>
    <row r="1522" spans="1:3" ht="15">
      <c r="A1522" s="81" t="s">
        <v>425</v>
      </c>
      <c r="B1522" s="80" t="s">
        <v>2478</v>
      </c>
      <c r="C1522" s="89" t="s">
        <v>1076</v>
      </c>
    </row>
    <row r="1523" spans="1:3" ht="15">
      <c r="A1523" s="81" t="s">
        <v>425</v>
      </c>
      <c r="B1523" s="80" t="s">
        <v>2476</v>
      </c>
      <c r="C1523" s="89" t="s">
        <v>1076</v>
      </c>
    </row>
    <row r="1524" spans="1:3" ht="15">
      <c r="A1524" s="81" t="s">
        <v>425</v>
      </c>
      <c r="B1524" s="80" t="s">
        <v>2711</v>
      </c>
      <c r="C1524" s="89" t="s">
        <v>1076</v>
      </c>
    </row>
    <row r="1525" spans="1:3" ht="15">
      <c r="A1525" s="81" t="s">
        <v>425</v>
      </c>
      <c r="B1525" s="80" t="s">
        <v>65</v>
      </c>
      <c r="C1525" s="89" t="s">
        <v>1076</v>
      </c>
    </row>
    <row r="1526" spans="1:3" ht="15">
      <c r="A1526" s="81" t="s">
        <v>425</v>
      </c>
      <c r="B1526" s="80" t="s">
        <v>2491</v>
      </c>
      <c r="C1526" s="89" t="s">
        <v>1076</v>
      </c>
    </row>
    <row r="1527" spans="1:3" ht="15">
      <c r="A1527" s="81" t="s">
        <v>424</v>
      </c>
      <c r="B1527" s="80" t="s">
        <v>2700</v>
      </c>
      <c r="C1527" s="89" t="s">
        <v>1075</v>
      </c>
    </row>
    <row r="1528" spans="1:3" ht="15">
      <c r="A1528" s="81" t="s">
        <v>424</v>
      </c>
      <c r="B1528" s="80" t="s">
        <v>2480</v>
      </c>
      <c r="C1528" s="89" t="s">
        <v>1075</v>
      </c>
    </row>
    <row r="1529" spans="1:3" ht="15">
      <c r="A1529" s="81" t="s">
        <v>424</v>
      </c>
      <c r="B1529" s="80" t="s">
        <v>2481</v>
      </c>
      <c r="C1529" s="89" t="s">
        <v>1075</v>
      </c>
    </row>
    <row r="1530" spans="1:3" ht="15">
      <c r="A1530" s="81" t="s">
        <v>424</v>
      </c>
      <c r="B1530" s="80" t="s">
        <v>2701</v>
      </c>
      <c r="C1530" s="89" t="s">
        <v>1075</v>
      </c>
    </row>
    <row r="1531" spans="1:3" ht="15">
      <c r="A1531" s="81" t="s">
        <v>424</v>
      </c>
      <c r="B1531" s="80" t="s">
        <v>2702</v>
      </c>
      <c r="C1531" s="89" t="s">
        <v>1075</v>
      </c>
    </row>
    <row r="1532" spans="1:3" ht="15">
      <c r="A1532" s="81" t="s">
        <v>424</v>
      </c>
      <c r="B1532" s="80" t="s">
        <v>2483</v>
      </c>
      <c r="C1532" s="89" t="s">
        <v>1075</v>
      </c>
    </row>
    <row r="1533" spans="1:3" ht="15">
      <c r="A1533" s="81" t="s">
        <v>424</v>
      </c>
      <c r="B1533" s="80" t="s">
        <v>2484</v>
      </c>
      <c r="C1533" s="89" t="s">
        <v>1075</v>
      </c>
    </row>
    <row r="1534" spans="1:3" ht="15">
      <c r="A1534" s="81" t="s">
        <v>424</v>
      </c>
      <c r="B1534" s="80" t="s">
        <v>2703</v>
      </c>
      <c r="C1534" s="89" t="s">
        <v>1075</v>
      </c>
    </row>
    <row r="1535" spans="1:3" ht="15">
      <c r="A1535" s="81" t="s">
        <v>424</v>
      </c>
      <c r="B1535" s="80" t="s">
        <v>2485</v>
      </c>
      <c r="C1535" s="89" t="s">
        <v>1075</v>
      </c>
    </row>
    <row r="1536" spans="1:3" ht="15">
      <c r="A1536" s="81" t="s">
        <v>424</v>
      </c>
      <c r="B1536" s="80" t="s">
        <v>2693</v>
      </c>
      <c r="C1536" s="89" t="s">
        <v>1075</v>
      </c>
    </row>
    <row r="1537" spans="1:3" ht="15">
      <c r="A1537" s="81" t="s">
        <v>424</v>
      </c>
      <c r="B1537" s="80" t="s">
        <v>2486</v>
      </c>
      <c r="C1537" s="89" t="s">
        <v>1075</v>
      </c>
    </row>
    <row r="1538" spans="1:3" ht="15">
      <c r="A1538" s="81" t="s">
        <v>424</v>
      </c>
      <c r="B1538" s="80" t="s">
        <v>2704</v>
      </c>
      <c r="C1538" s="89" t="s">
        <v>1075</v>
      </c>
    </row>
    <row r="1539" spans="1:3" ht="15">
      <c r="A1539" s="81" t="s">
        <v>424</v>
      </c>
      <c r="B1539" s="80" t="s">
        <v>2691</v>
      </c>
      <c r="C1539" s="89" t="s">
        <v>1075</v>
      </c>
    </row>
    <row r="1540" spans="1:3" ht="15">
      <c r="A1540" s="81" t="s">
        <v>424</v>
      </c>
      <c r="B1540" s="80" t="s">
        <v>2692</v>
      </c>
      <c r="C1540" s="89" t="s">
        <v>1075</v>
      </c>
    </row>
    <row r="1541" spans="1:3" ht="15">
      <c r="A1541" s="81" t="s">
        <v>424</v>
      </c>
      <c r="B1541" s="80" t="s">
        <v>2477</v>
      </c>
      <c r="C1541" s="89" t="s">
        <v>1075</v>
      </c>
    </row>
    <row r="1542" spans="1:3" ht="15">
      <c r="A1542" s="81" t="s">
        <v>424</v>
      </c>
      <c r="B1542" s="80" t="s">
        <v>2705</v>
      </c>
      <c r="C1542" s="89" t="s">
        <v>1075</v>
      </c>
    </row>
    <row r="1543" spans="1:3" ht="15">
      <c r="A1543" s="81" t="s">
        <v>424</v>
      </c>
      <c r="B1543" s="80" t="s">
        <v>2706</v>
      </c>
      <c r="C1543" s="89" t="s">
        <v>1075</v>
      </c>
    </row>
    <row r="1544" spans="1:3" ht="15">
      <c r="A1544" s="81" t="s">
        <v>424</v>
      </c>
      <c r="B1544" s="80" t="s">
        <v>2707</v>
      </c>
      <c r="C1544" s="89" t="s">
        <v>1075</v>
      </c>
    </row>
    <row r="1545" spans="1:3" ht="15">
      <c r="A1545" s="81" t="s">
        <v>424</v>
      </c>
      <c r="B1545" s="80" t="s">
        <v>2708</v>
      </c>
      <c r="C1545" s="89" t="s">
        <v>1075</v>
      </c>
    </row>
    <row r="1546" spans="1:3" ht="15">
      <c r="A1546" s="81" t="s">
        <v>424</v>
      </c>
      <c r="B1546" s="80" t="s">
        <v>2488</v>
      </c>
      <c r="C1546" s="89" t="s">
        <v>1075</v>
      </c>
    </row>
    <row r="1547" spans="1:3" ht="15">
      <c r="A1547" s="81" t="s">
        <v>424</v>
      </c>
      <c r="B1547" s="80" t="s">
        <v>2709</v>
      </c>
      <c r="C1547" s="89" t="s">
        <v>1075</v>
      </c>
    </row>
    <row r="1548" spans="1:3" ht="15">
      <c r="A1548" s="81" t="s">
        <v>424</v>
      </c>
      <c r="B1548" s="80" t="s">
        <v>2710</v>
      </c>
      <c r="C1548" s="89" t="s">
        <v>1075</v>
      </c>
    </row>
    <row r="1549" spans="1:3" ht="15">
      <c r="A1549" s="81" t="s">
        <v>424</v>
      </c>
      <c r="B1549" s="80" t="s">
        <v>2478</v>
      </c>
      <c r="C1549" s="89" t="s">
        <v>1075</v>
      </c>
    </row>
    <row r="1550" spans="1:3" ht="15">
      <c r="A1550" s="81" t="s">
        <v>424</v>
      </c>
      <c r="B1550" s="80" t="s">
        <v>2476</v>
      </c>
      <c r="C1550" s="89" t="s">
        <v>1075</v>
      </c>
    </row>
    <row r="1551" spans="1:3" ht="15">
      <c r="A1551" s="81" t="s">
        <v>424</v>
      </c>
      <c r="B1551" s="80" t="s">
        <v>2711</v>
      </c>
      <c r="C1551" s="89" t="s">
        <v>1075</v>
      </c>
    </row>
    <row r="1552" spans="1:3" ht="15">
      <c r="A1552" s="81" t="s">
        <v>424</v>
      </c>
      <c r="B1552" s="80" t="s">
        <v>65</v>
      </c>
      <c r="C1552" s="89" t="s">
        <v>1075</v>
      </c>
    </row>
    <row r="1553" spans="1:3" ht="15">
      <c r="A1553" s="81" t="s">
        <v>424</v>
      </c>
      <c r="B1553" s="80" t="s">
        <v>2491</v>
      </c>
      <c r="C1553" s="89" t="s">
        <v>1075</v>
      </c>
    </row>
    <row r="1554" spans="1:3" ht="15">
      <c r="A1554" s="81" t="s">
        <v>423</v>
      </c>
      <c r="B1554" s="80" t="s">
        <v>2700</v>
      </c>
      <c r="C1554" s="89" t="s">
        <v>1074</v>
      </c>
    </row>
    <row r="1555" spans="1:3" ht="15">
      <c r="A1555" s="81" t="s">
        <v>423</v>
      </c>
      <c r="B1555" s="80" t="s">
        <v>2480</v>
      </c>
      <c r="C1555" s="89" t="s">
        <v>1074</v>
      </c>
    </row>
    <row r="1556" spans="1:3" ht="15">
      <c r="A1556" s="81" t="s">
        <v>423</v>
      </c>
      <c r="B1556" s="80" t="s">
        <v>2481</v>
      </c>
      <c r="C1556" s="89" t="s">
        <v>1074</v>
      </c>
    </row>
    <row r="1557" spans="1:3" ht="15">
      <c r="A1557" s="81" t="s">
        <v>423</v>
      </c>
      <c r="B1557" s="80" t="s">
        <v>2701</v>
      </c>
      <c r="C1557" s="89" t="s">
        <v>1074</v>
      </c>
    </row>
    <row r="1558" spans="1:3" ht="15">
      <c r="A1558" s="81" t="s">
        <v>423</v>
      </c>
      <c r="B1558" s="80" t="s">
        <v>2702</v>
      </c>
      <c r="C1558" s="89" t="s">
        <v>1074</v>
      </c>
    </row>
    <row r="1559" spans="1:3" ht="15">
      <c r="A1559" s="81" t="s">
        <v>423</v>
      </c>
      <c r="B1559" s="80" t="s">
        <v>2483</v>
      </c>
      <c r="C1559" s="89" t="s">
        <v>1074</v>
      </c>
    </row>
    <row r="1560" spans="1:3" ht="15">
      <c r="A1560" s="81" t="s">
        <v>423</v>
      </c>
      <c r="B1560" s="80" t="s">
        <v>2484</v>
      </c>
      <c r="C1560" s="89" t="s">
        <v>1074</v>
      </c>
    </row>
    <row r="1561" spans="1:3" ht="15">
      <c r="A1561" s="81" t="s">
        <v>423</v>
      </c>
      <c r="B1561" s="80" t="s">
        <v>2703</v>
      </c>
      <c r="C1561" s="89" t="s">
        <v>1074</v>
      </c>
    </row>
    <row r="1562" spans="1:3" ht="15">
      <c r="A1562" s="81" t="s">
        <v>423</v>
      </c>
      <c r="B1562" s="80" t="s">
        <v>2485</v>
      </c>
      <c r="C1562" s="89" t="s">
        <v>1074</v>
      </c>
    </row>
    <row r="1563" spans="1:3" ht="15">
      <c r="A1563" s="81" t="s">
        <v>423</v>
      </c>
      <c r="B1563" s="80" t="s">
        <v>2693</v>
      </c>
      <c r="C1563" s="89" t="s">
        <v>1074</v>
      </c>
    </row>
    <row r="1564" spans="1:3" ht="15">
      <c r="A1564" s="81" t="s">
        <v>423</v>
      </c>
      <c r="B1564" s="80" t="s">
        <v>2486</v>
      </c>
      <c r="C1564" s="89" t="s">
        <v>1074</v>
      </c>
    </row>
    <row r="1565" spans="1:3" ht="15">
      <c r="A1565" s="81" t="s">
        <v>423</v>
      </c>
      <c r="B1565" s="80" t="s">
        <v>2704</v>
      </c>
      <c r="C1565" s="89" t="s">
        <v>1074</v>
      </c>
    </row>
    <row r="1566" spans="1:3" ht="15">
      <c r="A1566" s="81" t="s">
        <v>423</v>
      </c>
      <c r="B1566" s="80" t="s">
        <v>2691</v>
      </c>
      <c r="C1566" s="89" t="s">
        <v>1074</v>
      </c>
    </row>
    <row r="1567" spans="1:3" ht="15">
      <c r="A1567" s="81" t="s">
        <v>423</v>
      </c>
      <c r="B1567" s="80" t="s">
        <v>2692</v>
      </c>
      <c r="C1567" s="89" t="s">
        <v>1074</v>
      </c>
    </row>
    <row r="1568" spans="1:3" ht="15">
      <c r="A1568" s="81" t="s">
        <v>423</v>
      </c>
      <c r="B1568" s="80" t="s">
        <v>2477</v>
      </c>
      <c r="C1568" s="89" t="s">
        <v>1074</v>
      </c>
    </row>
    <row r="1569" spans="1:3" ht="15">
      <c r="A1569" s="81" t="s">
        <v>423</v>
      </c>
      <c r="B1569" s="80" t="s">
        <v>2705</v>
      </c>
      <c r="C1569" s="89" t="s">
        <v>1074</v>
      </c>
    </row>
    <row r="1570" spans="1:3" ht="15">
      <c r="A1570" s="81" t="s">
        <v>423</v>
      </c>
      <c r="B1570" s="80" t="s">
        <v>2706</v>
      </c>
      <c r="C1570" s="89" t="s">
        <v>1074</v>
      </c>
    </row>
    <row r="1571" spans="1:3" ht="15">
      <c r="A1571" s="81" t="s">
        <v>423</v>
      </c>
      <c r="B1571" s="80" t="s">
        <v>2707</v>
      </c>
      <c r="C1571" s="89" t="s">
        <v>1074</v>
      </c>
    </row>
    <row r="1572" spans="1:3" ht="15">
      <c r="A1572" s="81" t="s">
        <v>423</v>
      </c>
      <c r="B1572" s="80" t="s">
        <v>2708</v>
      </c>
      <c r="C1572" s="89" t="s">
        <v>1074</v>
      </c>
    </row>
    <row r="1573" spans="1:3" ht="15">
      <c r="A1573" s="81" t="s">
        <v>423</v>
      </c>
      <c r="B1573" s="80" t="s">
        <v>2488</v>
      </c>
      <c r="C1573" s="89" t="s">
        <v>1074</v>
      </c>
    </row>
    <row r="1574" spans="1:3" ht="15">
      <c r="A1574" s="81" t="s">
        <v>423</v>
      </c>
      <c r="B1574" s="80" t="s">
        <v>2709</v>
      </c>
      <c r="C1574" s="89" t="s">
        <v>1074</v>
      </c>
    </row>
    <row r="1575" spans="1:3" ht="15">
      <c r="A1575" s="81" t="s">
        <v>423</v>
      </c>
      <c r="B1575" s="80" t="s">
        <v>2710</v>
      </c>
      <c r="C1575" s="89" t="s">
        <v>1074</v>
      </c>
    </row>
    <row r="1576" spans="1:3" ht="15">
      <c r="A1576" s="81" t="s">
        <v>423</v>
      </c>
      <c r="B1576" s="80" t="s">
        <v>2478</v>
      </c>
      <c r="C1576" s="89" t="s">
        <v>1074</v>
      </c>
    </row>
    <row r="1577" spans="1:3" ht="15">
      <c r="A1577" s="81" t="s">
        <v>423</v>
      </c>
      <c r="B1577" s="80" t="s">
        <v>2476</v>
      </c>
      <c r="C1577" s="89" t="s">
        <v>1074</v>
      </c>
    </row>
    <row r="1578" spans="1:3" ht="15">
      <c r="A1578" s="81" t="s">
        <v>423</v>
      </c>
      <c r="B1578" s="80" t="s">
        <v>2711</v>
      </c>
      <c r="C1578" s="89" t="s">
        <v>1074</v>
      </c>
    </row>
    <row r="1579" spans="1:3" ht="15">
      <c r="A1579" s="81" t="s">
        <v>423</v>
      </c>
      <c r="B1579" s="80" t="s">
        <v>65</v>
      </c>
      <c r="C1579" s="89" t="s">
        <v>1074</v>
      </c>
    </row>
    <row r="1580" spans="1:3" ht="15">
      <c r="A1580" s="81" t="s">
        <v>423</v>
      </c>
      <c r="B1580" s="80" t="s">
        <v>2491</v>
      </c>
      <c r="C1580" s="89" t="s">
        <v>1074</v>
      </c>
    </row>
    <row r="1581" spans="1:3" ht="15">
      <c r="A1581" s="81" t="s">
        <v>422</v>
      </c>
      <c r="B1581" s="80" t="s">
        <v>2700</v>
      </c>
      <c r="C1581" s="89" t="s">
        <v>1073</v>
      </c>
    </row>
    <row r="1582" spans="1:3" ht="15">
      <c r="A1582" s="81" t="s">
        <v>422</v>
      </c>
      <c r="B1582" s="80" t="s">
        <v>2480</v>
      </c>
      <c r="C1582" s="89" t="s">
        <v>1073</v>
      </c>
    </row>
    <row r="1583" spans="1:3" ht="15">
      <c r="A1583" s="81" t="s">
        <v>422</v>
      </c>
      <c r="B1583" s="80" t="s">
        <v>2481</v>
      </c>
      <c r="C1583" s="89" t="s">
        <v>1073</v>
      </c>
    </row>
    <row r="1584" spans="1:3" ht="15">
      <c r="A1584" s="81" t="s">
        <v>422</v>
      </c>
      <c r="B1584" s="80" t="s">
        <v>2701</v>
      </c>
      <c r="C1584" s="89" t="s">
        <v>1073</v>
      </c>
    </row>
    <row r="1585" spans="1:3" ht="15">
      <c r="A1585" s="81" t="s">
        <v>422</v>
      </c>
      <c r="B1585" s="80" t="s">
        <v>2702</v>
      </c>
      <c r="C1585" s="89" t="s">
        <v>1073</v>
      </c>
    </row>
    <row r="1586" spans="1:3" ht="15">
      <c r="A1586" s="81" t="s">
        <v>422</v>
      </c>
      <c r="B1586" s="80" t="s">
        <v>2483</v>
      </c>
      <c r="C1586" s="89" t="s">
        <v>1073</v>
      </c>
    </row>
    <row r="1587" spans="1:3" ht="15">
      <c r="A1587" s="81" t="s">
        <v>422</v>
      </c>
      <c r="B1587" s="80" t="s">
        <v>2484</v>
      </c>
      <c r="C1587" s="89" t="s">
        <v>1073</v>
      </c>
    </row>
    <row r="1588" spans="1:3" ht="15">
      <c r="A1588" s="81" t="s">
        <v>422</v>
      </c>
      <c r="B1588" s="80" t="s">
        <v>2703</v>
      </c>
      <c r="C1588" s="89" t="s">
        <v>1073</v>
      </c>
    </row>
    <row r="1589" spans="1:3" ht="15">
      <c r="A1589" s="81" t="s">
        <v>422</v>
      </c>
      <c r="B1589" s="80" t="s">
        <v>2485</v>
      </c>
      <c r="C1589" s="89" t="s">
        <v>1073</v>
      </c>
    </row>
    <row r="1590" spans="1:3" ht="15">
      <c r="A1590" s="81" t="s">
        <v>422</v>
      </c>
      <c r="B1590" s="80" t="s">
        <v>2693</v>
      </c>
      <c r="C1590" s="89" t="s">
        <v>1073</v>
      </c>
    </row>
    <row r="1591" spans="1:3" ht="15">
      <c r="A1591" s="81" t="s">
        <v>422</v>
      </c>
      <c r="B1591" s="80" t="s">
        <v>2486</v>
      </c>
      <c r="C1591" s="89" t="s">
        <v>1073</v>
      </c>
    </row>
    <row r="1592" spans="1:3" ht="15">
      <c r="A1592" s="81" t="s">
        <v>422</v>
      </c>
      <c r="B1592" s="80" t="s">
        <v>2704</v>
      </c>
      <c r="C1592" s="89" t="s">
        <v>1073</v>
      </c>
    </row>
    <row r="1593" spans="1:3" ht="15">
      <c r="A1593" s="81" t="s">
        <v>422</v>
      </c>
      <c r="B1593" s="80" t="s">
        <v>2691</v>
      </c>
      <c r="C1593" s="89" t="s">
        <v>1073</v>
      </c>
    </row>
    <row r="1594" spans="1:3" ht="15">
      <c r="A1594" s="81" t="s">
        <v>422</v>
      </c>
      <c r="B1594" s="80" t="s">
        <v>2692</v>
      </c>
      <c r="C1594" s="89" t="s">
        <v>1073</v>
      </c>
    </row>
    <row r="1595" spans="1:3" ht="15">
      <c r="A1595" s="81" t="s">
        <v>422</v>
      </c>
      <c r="B1595" s="80" t="s">
        <v>2477</v>
      </c>
      <c r="C1595" s="89" t="s">
        <v>1073</v>
      </c>
    </row>
    <row r="1596" spans="1:3" ht="15">
      <c r="A1596" s="81" t="s">
        <v>422</v>
      </c>
      <c r="B1596" s="80" t="s">
        <v>2705</v>
      </c>
      <c r="C1596" s="89" t="s">
        <v>1073</v>
      </c>
    </row>
    <row r="1597" spans="1:3" ht="15">
      <c r="A1597" s="81" t="s">
        <v>422</v>
      </c>
      <c r="B1597" s="80" t="s">
        <v>2706</v>
      </c>
      <c r="C1597" s="89" t="s">
        <v>1073</v>
      </c>
    </row>
    <row r="1598" spans="1:3" ht="15">
      <c r="A1598" s="81" t="s">
        <v>422</v>
      </c>
      <c r="B1598" s="80" t="s">
        <v>2707</v>
      </c>
      <c r="C1598" s="89" t="s">
        <v>1073</v>
      </c>
    </row>
    <row r="1599" spans="1:3" ht="15">
      <c r="A1599" s="81" t="s">
        <v>422</v>
      </c>
      <c r="B1599" s="80" t="s">
        <v>2708</v>
      </c>
      <c r="C1599" s="89" t="s">
        <v>1073</v>
      </c>
    </row>
    <row r="1600" spans="1:3" ht="15">
      <c r="A1600" s="81" t="s">
        <v>422</v>
      </c>
      <c r="B1600" s="80" t="s">
        <v>2488</v>
      </c>
      <c r="C1600" s="89" t="s">
        <v>1073</v>
      </c>
    </row>
    <row r="1601" spans="1:3" ht="15">
      <c r="A1601" s="81" t="s">
        <v>422</v>
      </c>
      <c r="B1601" s="80" t="s">
        <v>2709</v>
      </c>
      <c r="C1601" s="89" t="s">
        <v>1073</v>
      </c>
    </row>
    <row r="1602" spans="1:3" ht="15">
      <c r="A1602" s="81" t="s">
        <v>422</v>
      </c>
      <c r="B1602" s="80" t="s">
        <v>2710</v>
      </c>
      <c r="C1602" s="89" t="s">
        <v>1073</v>
      </c>
    </row>
    <row r="1603" spans="1:3" ht="15">
      <c r="A1603" s="81" t="s">
        <v>422</v>
      </c>
      <c r="B1603" s="80" t="s">
        <v>2478</v>
      </c>
      <c r="C1603" s="89" t="s">
        <v>1073</v>
      </c>
    </row>
    <row r="1604" spans="1:3" ht="15">
      <c r="A1604" s="81" t="s">
        <v>422</v>
      </c>
      <c r="B1604" s="80" t="s">
        <v>2476</v>
      </c>
      <c r="C1604" s="89" t="s">
        <v>1073</v>
      </c>
    </row>
    <row r="1605" spans="1:3" ht="15">
      <c r="A1605" s="81" t="s">
        <v>422</v>
      </c>
      <c r="B1605" s="80" t="s">
        <v>2711</v>
      </c>
      <c r="C1605" s="89" t="s">
        <v>1073</v>
      </c>
    </row>
    <row r="1606" spans="1:3" ht="15">
      <c r="A1606" s="81" t="s">
        <v>422</v>
      </c>
      <c r="B1606" s="80" t="s">
        <v>65</v>
      </c>
      <c r="C1606" s="89" t="s">
        <v>1073</v>
      </c>
    </row>
    <row r="1607" spans="1:3" ht="15">
      <c r="A1607" s="81" t="s">
        <v>422</v>
      </c>
      <c r="B1607" s="80" t="s">
        <v>2491</v>
      </c>
      <c r="C1607" s="89" t="s">
        <v>1073</v>
      </c>
    </row>
    <row r="1608" spans="1:3" ht="15">
      <c r="A1608" s="81" t="s">
        <v>421</v>
      </c>
      <c r="B1608" s="80" t="s">
        <v>2905</v>
      </c>
      <c r="C1608" s="89" t="s">
        <v>1072</v>
      </c>
    </row>
    <row r="1609" spans="1:3" ht="15">
      <c r="A1609" s="81" t="s">
        <v>421</v>
      </c>
      <c r="B1609" s="80" t="s">
        <v>2533</v>
      </c>
      <c r="C1609" s="89" t="s">
        <v>1072</v>
      </c>
    </row>
    <row r="1610" spans="1:3" ht="15">
      <c r="A1610" s="81" t="s">
        <v>421</v>
      </c>
      <c r="B1610" s="80" t="s">
        <v>2906</v>
      </c>
      <c r="C1610" s="89" t="s">
        <v>1072</v>
      </c>
    </row>
    <row r="1611" spans="1:3" ht="15">
      <c r="A1611" s="81" t="s">
        <v>421</v>
      </c>
      <c r="B1611" s="80" t="s">
        <v>2535</v>
      </c>
      <c r="C1611" s="89" t="s">
        <v>1072</v>
      </c>
    </row>
    <row r="1612" spans="1:3" ht="15">
      <c r="A1612" s="81" t="s">
        <v>421</v>
      </c>
      <c r="B1612" s="80" t="s">
        <v>2536</v>
      </c>
      <c r="C1612" s="89" t="s">
        <v>1072</v>
      </c>
    </row>
    <row r="1613" spans="1:3" ht="15">
      <c r="A1613" s="81" t="s">
        <v>421</v>
      </c>
      <c r="B1613" s="80" t="s">
        <v>2907</v>
      </c>
      <c r="C1613" s="89" t="s">
        <v>1072</v>
      </c>
    </row>
    <row r="1614" spans="1:3" ht="15">
      <c r="A1614" s="81" t="s">
        <v>421</v>
      </c>
      <c r="B1614" s="80" t="s">
        <v>2769</v>
      </c>
      <c r="C1614" s="89" t="s">
        <v>1072</v>
      </c>
    </row>
    <row r="1615" spans="1:3" ht="15">
      <c r="A1615" s="81" t="s">
        <v>421</v>
      </c>
      <c r="B1615" s="80" t="s">
        <v>2713</v>
      </c>
      <c r="C1615" s="89" t="s">
        <v>1072</v>
      </c>
    </row>
    <row r="1616" spans="1:3" ht="15">
      <c r="A1616" s="81" t="s">
        <v>421</v>
      </c>
      <c r="B1616" s="80" t="s">
        <v>2537</v>
      </c>
      <c r="C1616" s="89" t="s">
        <v>1072</v>
      </c>
    </row>
    <row r="1617" spans="1:3" ht="15">
      <c r="A1617" s="81" t="s">
        <v>421</v>
      </c>
      <c r="B1617" s="80" t="s">
        <v>2908</v>
      </c>
      <c r="C1617" s="89" t="s">
        <v>1072</v>
      </c>
    </row>
    <row r="1618" spans="1:3" ht="15">
      <c r="A1618" s="81" t="s">
        <v>421</v>
      </c>
      <c r="B1618" s="80" t="s">
        <v>2538</v>
      </c>
      <c r="C1618" s="89" t="s">
        <v>1072</v>
      </c>
    </row>
    <row r="1619" spans="1:3" ht="15">
      <c r="A1619" s="81" t="s">
        <v>421</v>
      </c>
      <c r="B1619" s="80" t="s">
        <v>2691</v>
      </c>
      <c r="C1619" s="89" t="s">
        <v>1072</v>
      </c>
    </row>
    <row r="1620" spans="1:3" ht="15">
      <c r="A1620" s="81" t="s">
        <v>421</v>
      </c>
      <c r="B1620" s="80" t="s">
        <v>2777</v>
      </c>
      <c r="C1620" s="89" t="s">
        <v>1072</v>
      </c>
    </row>
    <row r="1621" spans="1:3" ht="15">
      <c r="A1621" s="81" t="s">
        <v>421</v>
      </c>
      <c r="B1621" s="80" t="s">
        <v>2539</v>
      </c>
      <c r="C1621" s="89" t="s">
        <v>1072</v>
      </c>
    </row>
    <row r="1622" spans="1:3" ht="15">
      <c r="A1622" s="81" t="s">
        <v>421</v>
      </c>
      <c r="B1622" s="80" t="s">
        <v>2540</v>
      </c>
      <c r="C1622" s="89" t="s">
        <v>1072</v>
      </c>
    </row>
    <row r="1623" spans="1:3" ht="15">
      <c r="A1623" s="81" t="s">
        <v>421</v>
      </c>
      <c r="B1623" s="80" t="s">
        <v>2541</v>
      </c>
      <c r="C1623" s="89" t="s">
        <v>1072</v>
      </c>
    </row>
    <row r="1624" spans="1:3" ht="15">
      <c r="A1624" s="81" t="s">
        <v>421</v>
      </c>
      <c r="B1624" s="80" t="s">
        <v>2909</v>
      </c>
      <c r="C1624" s="89" t="s">
        <v>1072</v>
      </c>
    </row>
    <row r="1625" spans="1:3" ht="15">
      <c r="A1625" s="81" t="s">
        <v>421</v>
      </c>
      <c r="B1625" s="80" t="s">
        <v>2543</v>
      </c>
      <c r="C1625" s="89" t="s">
        <v>1072</v>
      </c>
    </row>
    <row r="1626" spans="1:3" ht="15">
      <c r="A1626" s="81" t="s">
        <v>421</v>
      </c>
      <c r="B1626" s="80" t="s">
        <v>2910</v>
      </c>
      <c r="C1626" s="89" t="s">
        <v>1072</v>
      </c>
    </row>
    <row r="1627" spans="1:3" ht="15">
      <c r="A1627" s="81" t="s">
        <v>421</v>
      </c>
      <c r="B1627" s="80" t="s">
        <v>2544</v>
      </c>
      <c r="C1627" s="89" t="s">
        <v>1072</v>
      </c>
    </row>
    <row r="1628" spans="1:3" ht="15">
      <c r="A1628" s="81" t="s">
        <v>420</v>
      </c>
      <c r="B1628" s="80" t="s">
        <v>2700</v>
      </c>
      <c r="C1628" s="89" t="s">
        <v>1071</v>
      </c>
    </row>
    <row r="1629" spans="1:3" ht="15">
      <c r="A1629" s="81" t="s">
        <v>420</v>
      </c>
      <c r="B1629" s="80" t="s">
        <v>2480</v>
      </c>
      <c r="C1629" s="89" t="s">
        <v>1071</v>
      </c>
    </row>
    <row r="1630" spans="1:3" ht="15">
      <c r="A1630" s="81" t="s">
        <v>420</v>
      </c>
      <c r="B1630" s="80" t="s">
        <v>2481</v>
      </c>
      <c r="C1630" s="89" t="s">
        <v>1071</v>
      </c>
    </row>
    <row r="1631" spans="1:3" ht="15">
      <c r="A1631" s="81" t="s">
        <v>420</v>
      </c>
      <c r="B1631" s="80" t="s">
        <v>2701</v>
      </c>
      <c r="C1631" s="89" t="s">
        <v>1071</v>
      </c>
    </row>
    <row r="1632" spans="1:3" ht="15">
      <c r="A1632" s="81" t="s">
        <v>420</v>
      </c>
      <c r="B1632" s="80" t="s">
        <v>2702</v>
      </c>
      <c r="C1632" s="89" t="s">
        <v>1071</v>
      </c>
    </row>
    <row r="1633" spans="1:3" ht="15">
      <c r="A1633" s="81" t="s">
        <v>420</v>
      </c>
      <c r="B1633" s="80" t="s">
        <v>2483</v>
      </c>
      <c r="C1633" s="89" t="s">
        <v>1071</v>
      </c>
    </row>
    <row r="1634" spans="1:3" ht="15">
      <c r="A1634" s="81" t="s">
        <v>420</v>
      </c>
      <c r="B1634" s="80" t="s">
        <v>2484</v>
      </c>
      <c r="C1634" s="89" t="s">
        <v>1071</v>
      </c>
    </row>
    <row r="1635" spans="1:3" ht="15">
      <c r="A1635" s="81" t="s">
        <v>420</v>
      </c>
      <c r="B1635" s="80" t="s">
        <v>2703</v>
      </c>
      <c r="C1635" s="89" t="s">
        <v>1071</v>
      </c>
    </row>
    <row r="1636" spans="1:3" ht="15">
      <c r="A1636" s="81" t="s">
        <v>420</v>
      </c>
      <c r="B1636" s="80" t="s">
        <v>2485</v>
      </c>
      <c r="C1636" s="89" t="s">
        <v>1071</v>
      </c>
    </row>
    <row r="1637" spans="1:3" ht="15">
      <c r="A1637" s="81" t="s">
        <v>420</v>
      </c>
      <c r="B1637" s="80" t="s">
        <v>2693</v>
      </c>
      <c r="C1637" s="89" t="s">
        <v>1071</v>
      </c>
    </row>
    <row r="1638" spans="1:3" ht="15">
      <c r="A1638" s="81" t="s">
        <v>420</v>
      </c>
      <c r="B1638" s="80" t="s">
        <v>2486</v>
      </c>
      <c r="C1638" s="89" t="s">
        <v>1071</v>
      </c>
    </row>
    <row r="1639" spans="1:3" ht="15">
      <c r="A1639" s="81" t="s">
        <v>420</v>
      </c>
      <c r="B1639" s="80" t="s">
        <v>2704</v>
      </c>
      <c r="C1639" s="89" t="s">
        <v>1071</v>
      </c>
    </row>
    <row r="1640" spans="1:3" ht="15">
      <c r="A1640" s="81" t="s">
        <v>420</v>
      </c>
      <c r="B1640" s="80" t="s">
        <v>2691</v>
      </c>
      <c r="C1640" s="89" t="s">
        <v>1071</v>
      </c>
    </row>
    <row r="1641" spans="1:3" ht="15">
      <c r="A1641" s="81" t="s">
        <v>420</v>
      </c>
      <c r="B1641" s="80" t="s">
        <v>2692</v>
      </c>
      <c r="C1641" s="89" t="s">
        <v>1071</v>
      </c>
    </row>
    <row r="1642" spans="1:3" ht="15">
      <c r="A1642" s="81" t="s">
        <v>420</v>
      </c>
      <c r="B1642" s="80" t="s">
        <v>2477</v>
      </c>
      <c r="C1642" s="89" t="s">
        <v>1071</v>
      </c>
    </row>
    <row r="1643" spans="1:3" ht="15">
      <c r="A1643" s="81" t="s">
        <v>420</v>
      </c>
      <c r="B1643" s="80" t="s">
        <v>2705</v>
      </c>
      <c r="C1643" s="89" t="s">
        <v>1071</v>
      </c>
    </row>
    <row r="1644" spans="1:3" ht="15">
      <c r="A1644" s="81" t="s">
        <v>420</v>
      </c>
      <c r="B1644" s="80" t="s">
        <v>2706</v>
      </c>
      <c r="C1644" s="89" t="s">
        <v>1071</v>
      </c>
    </row>
    <row r="1645" spans="1:3" ht="15">
      <c r="A1645" s="81" t="s">
        <v>420</v>
      </c>
      <c r="B1645" s="80" t="s">
        <v>2707</v>
      </c>
      <c r="C1645" s="89" t="s">
        <v>1071</v>
      </c>
    </row>
    <row r="1646" spans="1:3" ht="15">
      <c r="A1646" s="81" t="s">
        <v>420</v>
      </c>
      <c r="B1646" s="80" t="s">
        <v>2708</v>
      </c>
      <c r="C1646" s="89" t="s">
        <v>1071</v>
      </c>
    </row>
    <row r="1647" spans="1:3" ht="15">
      <c r="A1647" s="81" t="s">
        <v>420</v>
      </c>
      <c r="B1647" s="80" t="s">
        <v>2488</v>
      </c>
      <c r="C1647" s="89" t="s">
        <v>1071</v>
      </c>
    </row>
    <row r="1648" spans="1:3" ht="15">
      <c r="A1648" s="81" t="s">
        <v>420</v>
      </c>
      <c r="B1648" s="80" t="s">
        <v>2709</v>
      </c>
      <c r="C1648" s="89" t="s">
        <v>1071</v>
      </c>
    </row>
    <row r="1649" spans="1:3" ht="15">
      <c r="A1649" s="81" t="s">
        <v>420</v>
      </c>
      <c r="B1649" s="80" t="s">
        <v>2710</v>
      </c>
      <c r="C1649" s="89" t="s">
        <v>1071</v>
      </c>
    </row>
    <row r="1650" spans="1:3" ht="15">
      <c r="A1650" s="81" t="s">
        <v>420</v>
      </c>
      <c r="B1650" s="80" t="s">
        <v>2478</v>
      </c>
      <c r="C1650" s="89" t="s">
        <v>1071</v>
      </c>
    </row>
    <row r="1651" spans="1:3" ht="15">
      <c r="A1651" s="81" t="s">
        <v>420</v>
      </c>
      <c r="B1651" s="80" t="s">
        <v>2476</v>
      </c>
      <c r="C1651" s="89" t="s">
        <v>1071</v>
      </c>
    </row>
    <row r="1652" spans="1:3" ht="15">
      <c r="A1652" s="81" t="s">
        <v>420</v>
      </c>
      <c r="B1652" s="80" t="s">
        <v>2711</v>
      </c>
      <c r="C1652" s="89" t="s">
        <v>1071</v>
      </c>
    </row>
    <row r="1653" spans="1:3" ht="15">
      <c r="A1653" s="81" t="s">
        <v>420</v>
      </c>
      <c r="B1653" s="80" t="s">
        <v>65</v>
      </c>
      <c r="C1653" s="89" t="s">
        <v>1071</v>
      </c>
    </row>
    <row r="1654" spans="1:3" ht="15">
      <c r="A1654" s="81" t="s">
        <v>420</v>
      </c>
      <c r="B1654" s="80" t="s">
        <v>2491</v>
      </c>
      <c r="C1654" s="89" t="s">
        <v>1071</v>
      </c>
    </row>
    <row r="1655" spans="1:3" ht="15">
      <c r="A1655" s="81" t="s">
        <v>419</v>
      </c>
      <c r="B1655" s="80" t="s">
        <v>2700</v>
      </c>
      <c r="C1655" s="89" t="s">
        <v>1070</v>
      </c>
    </row>
    <row r="1656" spans="1:3" ht="15">
      <c r="A1656" s="81" t="s">
        <v>419</v>
      </c>
      <c r="B1656" s="80" t="s">
        <v>2480</v>
      </c>
      <c r="C1656" s="89" t="s">
        <v>1070</v>
      </c>
    </row>
    <row r="1657" spans="1:3" ht="15">
      <c r="A1657" s="81" t="s">
        <v>419</v>
      </c>
      <c r="B1657" s="80" t="s">
        <v>2481</v>
      </c>
      <c r="C1657" s="89" t="s">
        <v>1070</v>
      </c>
    </row>
    <row r="1658" spans="1:3" ht="15">
      <c r="A1658" s="81" t="s">
        <v>419</v>
      </c>
      <c r="B1658" s="80" t="s">
        <v>2701</v>
      </c>
      <c r="C1658" s="89" t="s">
        <v>1070</v>
      </c>
    </row>
    <row r="1659" spans="1:3" ht="15">
      <c r="A1659" s="81" t="s">
        <v>419</v>
      </c>
      <c r="B1659" s="80" t="s">
        <v>2702</v>
      </c>
      <c r="C1659" s="89" t="s">
        <v>1070</v>
      </c>
    </row>
    <row r="1660" spans="1:3" ht="15">
      <c r="A1660" s="81" t="s">
        <v>419</v>
      </c>
      <c r="B1660" s="80" t="s">
        <v>2483</v>
      </c>
      <c r="C1660" s="89" t="s">
        <v>1070</v>
      </c>
    </row>
    <row r="1661" spans="1:3" ht="15">
      <c r="A1661" s="81" t="s">
        <v>419</v>
      </c>
      <c r="B1661" s="80" t="s">
        <v>2484</v>
      </c>
      <c r="C1661" s="89" t="s">
        <v>1070</v>
      </c>
    </row>
    <row r="1662" spans="1:3" ht="15">
      <c r="A1662" s="81" t="s">
        <v>419</v>
      </c>
      <c r="B1662" s="80" t="s">
        <v>2703</v>
      </c>
      <c r="C1662" s="89" t="s">
        <v>1070</v>
      </c>
    </row>
    <row r="1663" spans="1:3" ht="15">
      <c r="A1663" s="81" t="s">
        <v>419</v>
      </c>
      <c r="B1663" s="80" t="s">
        <v>2485</v>
      </c>
      <c r="C1663" s="89" t="s">
        <v>1070</v>
      </c>
    </row>
    <row r="1664" spans="1:3" ht="15">
      <c r="A1664" s="81" t="s">
        <v>419</v>
      </c>
      <c r="B1664" s="80" t="s">
        <v>2693</v>
      </c>
      <c r="C1664" s="89" t="s">
        <v>1070</v>
      </c>
    </row>
    <row r="1665" spans="1:3" ht="15">
      <c r="A1665" s="81" t="s">
        <v>419</v>
      </c>
      <c r="B1665" s="80" t="s">
        <v>2486</v>
      </c>
      <c r="C1665" s="89" t="s">
        <v>1070</v>
      </c>
    </row>
    <row r="1666" spans="1:3" ht="15">
      <c r="A1666" s="81" t="s">
        <v>419</v>
      </c>
      <c r="B1666" s="80" t="s">
        <v>2704</v>
      </c>
      <c r="C1666" s="89" t="s">
        <v>1070</v>
      </c>
    </row>
    <row r="1667" spans="1:3" ht="15">
      <c r="A1667" s="81" t="s">
        <v>419</v>
      </c>
      <c r="B1667" s="80" t="s">
        <v>2691</v>
      </c>
      <c r="C1667" s="89" t="s">
        <v>1070</v>
      </c>
    </row>
    <row r="1668" spans="1:3" ht="15">
      <c r="A1668" s="81" t="s">
        <v>419</v>
      </c>
      <c r="B1668" s="80" t="s">
        <v>2692</v>
      </c>
      <c r="C1668" s="89" t="s">
        <v>1070</v>
      </c>
    </row>
    <row r="1669" spans="1:3" ht="15">
      <c r="A1669" s="81" t="s">
        <v>419</v>
      </c>
      <c r="B1669" s="80" t="s">
        <v>2477</v>
      </c>
      <c r="C1669" s="89" t="s">
        <v>1070</v>
      </c>
    </row>
    <row r="1670" spans="1:3" ht="15">
      <c r="A1670" s="81" t="s">
        <v>419</v>
      </c>
      <c r="B1670" s="80" t="s">
        <v>2705</v>
      </c>
      <c r="C1670" s="89" t="s">
        <v>1070</v>
      </c>
    </row>
    <row r="1671" spans="1:3" ht="15">
      <c r="A1671" s="81" t="s">
        <v>419</v>
      </c>
      <c r="B1671" s="80" t="s">
        <v>2706</v>
      </c>
      <c r="C1671" s="89" t="s">
        <v>1070</v>
      </c>
    </row>
    <row r="1672" spans="1:3" ht="15">
      <c r="A1672" s="81" t="s">
        <v>419</v>
      </c>
      <c r="B1672" s="80" t="s">
        <v>2707</v>
      </c>
      <c r="C1672" s="89" t="s">
        <v>1070</v>
      </c>
    </row>
    <row r="1673" spans="1:3" ht="15">
      <c r="A1673" s="81" t="s">
        <v>419</v>
      </c>
      <c r="B1673" s="80" t="s">
        <v>2708</v>
      </c>
      <c r="C1673" s="89" t="s">
        <v>1070</v>
      </c>
    </row>
    <row r="1674" spans="1:3" ht="15">
      <c r="A1674" s="81" t="s">
        <v>419</v>
      </c>
      <c r="B1674" s="80" t="s">
        <v>2488</v>
      </c>
      <c r="C1674" s="89" t="s">
        <v>1070</v>
      </c>
    </row>
    <row r="1675" spans="1:3" ht="15">
      <c r="A1675" s="81" t="s">
        <v>419</v>
      </c>
      <c r="B1675" s="80" t="s">
        <v>2709</v>
      </c>
      <c r="C1675" s="89" t="s">
        <v>1070</v>
      </c>
    </row>
    <row r="1676" spans="1:3" ht="15">
      <c r="A1676" s="81" t="s">
        <v>419</v>
      </c>
      <c r="B1676" s="80" t="s">
        <v>2710</v>
      </c>
      <c r="C1676" s="89" t="s">
        <v>1070</v>
      </c>
    </row>
    <row r="1677" spans="1:3" ht="15">
      <c r="A1677" s="81" t="s">
        <v>419</v>
      </c>
      <c r="B1677" s="80" t="s">
        <v>2478</v>
      </c>
      <c r="C1677" s="89" t="s">
        <v>1070</v>
      </c>
    </row>
    <row r="1678" spans="1:3" ht="15">
      <c r="A1678" s="81" t="s">
        <v>419</v>
      </c>
      <c r="B1678" s="80" t="s">
        <v>2476</v>
      </c>
      <c r="C1678" s="89" t="s">
        <v>1070</v>
      </c>
    </row>
    <row r="1679" spans="1:3" ht="15">
      <c r="A1679" s="81" t="s">
        <v>419</v>
      </c>
      <c r="B1679" s="80" t="s">
        <v>2711</v>
      </c>
      <c r="C1679" s="89" t="s">
        <v>1070</v>
      </c>
    </row>
    <row r="1680" spans="1:3" ht="15">
      <c r="A1680" s="81" t="s">
        <v>419</v>
      </c>
      <c r="B1680" s="80" t="s">
        <v>65</v>
      </c>
      <c r="C1680" s="89" t="s">
        <v>1070</v>
      </c>
    </row>
    <row r="1681" spans="1:3" ht="15">
      <c r="A1681" s="81" t="s">
        <v>419</v>
      </c>
      <c r="B1681" s="80" t="s">
        <v>2491</v>
      </c>
      <c r="C1681" s="89" t="s">
        <v>1070</v>
      </c>
    </row>
    <row r="1682" spans="1:3" ht="15">
      <c r="A1682" s="81" t="s">
        <v>418</v>
      </c>
      <c r="B1682" s="80" t="s">
        <v>2700</v>
      </c>
      <c r="C1682" s="89" t="s">
        <v>1069</v>
      </c>
    </row>
    <row r="1683" spans="1:3" ht="15">
      <c r="A1683" s="81" t="s">
        <v>418</v>
      </c>
      <c r="B1683" s="80" t="s">
        <v>2480</v>
      </c>
      <c r="C1683" s="89" t="s">
        <v>1069</v>
      </c>
    </row>
    <row r="1684" spans="1:3" ht="15">
      <c r="A1684" s="81" t="s">
        <v>418</v>
      </c>
      <c r="B1684" s="80" t="s">
        <v>2481</v>
      </c>
      <c r="C1684" s="89" t="s">
        <v>1069</v>
      </c>
    </row>
    <row r="1685" spans="1:3" ht="15">
      <c r="A1685" s="81" t="s">
        <v>418</v>
      </c>
      <c r="B1685" s="80" t="s">
        <v>2701</v>
      </c>
      <c r="C1685" s="89" t="s">
        <v>1069</v>
      </c>
    </row>
    <row r="1686" spans="1:3" ht="15">
      <c r="A1686" s="81" t="s">
        <v>418</v>
      </c>
      <c r="B1686" s="80" t="s">
        <v>2702</v>
      </c>
      <c r="C1686" s="89" t="s">
        <v>1069</v>
      </c>
    </row>
    <row r="1687" spans="1:3" ht="15">
      <c r="A1687" s="81" t="s">
        <v>418</v>
      </c>
      <c r="B1687" s="80" t="s">
        <v>2483</v>
      </c>
      <c r="C1687" s="89" t="s">
        <v>1069</v>
      </c>
    </row>
    <row r="1688" spans="1:3" ht="15">
      <c r="A1688" s="81" t="s">
        <v>418</v>
      </c>
      <c r="B1688" s="80" t="s">
        <v>2484</v>
      </c>
      <c r="C1688" s="89" t="s">
        <v>1069</v>
      </c>
    </row>
    <row r="1689" spans="1:3" ht="15">
      <c r="A1689" s="81" t="s">
        <v>418</v>
      </c>
      <c r="B1689" s="80" t="s">
        <v>2703</v>
      </c>
      <c r="C1689" s="89" t="s">
        <v>1069</v>
      </c>
    </row>
    <row r="1690" spans="1:3" ht="15">
      <c r="A1690" s="81" t="s">
        <v>418</v>
      </c>
      <c r="B1690" s="80" t="s">
        <v>2485</v>
      </c>
      <c r="C1690" s="89" t="s">
        <v>1069</v>
      </c>
    </row>
    <row r="1691" spans="1:3" ht="15">
      <c r="A1691" s="81" t="s">
        <v>418</v>
      </c>
      <c r="B1691" s="80" t="s">
        <v>2693</v>
      </c>
      <c r="C1691" s="89" t="s">
        <v>1069</v>
      </c>
    </row>
    <row r="1692" spans="1:3" ht="15">
      <c r="A1692" s="81" t="s">
        <v>418</v>
      </c>
      <c r="B1692" s="80" t="s">
        <v>2486</v>
      </c>
      <c r="C1692" s="89" t="s">
        <v>1069</v>
      </c>
    </row>
    <row r="1693" spans="1:3" ht="15">
      <c r="A1693" s="81" t="s">
        <v>418</v>
      </c>
      <c r="B1693" s="80" t="s">
        <v>2704</v>
      </c>
      <c r="C1693" s="89" t="s">
        <v>1069</v>
      </c>
    </row>
    <row r="1694" spans="1:3" ht="15">
      <c r="A1694" s="81" t="s">
        <v>418</v>
      </c>
      <c r="B1694" s="80" t="s">
        <v>2691</v>
      </c>
      <c r="C1694" s="89" t="s">
        <v>1069</v>
      </c>
    </row>
    <row r="1695" spans="1:3" ht="15">
      <c r="A1695" s="81" t="s">
        <v>418</v>
      </c>
      <c r="B1695" s="80" t="s">
        <v>2692</v>
      </c>
      <c r="C1695" s="89" t="s">
        <v>1069</v>
      </c>
    </row>
    <row r="1696" spans="1:3" ht="15">
      <c r="A1696" s="81" t="s">
        <v>418</v>
      </c>
      <c r="B1696" s="80" t="s">
        <v>2477</v>
      </c>
      <c r="C1696" s="89" t="s">
        <v>1069</v>
      </c>
    </row>
    <row r="1697" spans="1:3" ht="15">
      <c r="A1697" s="81" t="s">
        <v>418</v>
      </c>
      <c r="B1697" s="80" t="s">
        <v>2705</v>
      </c>
      <c r="C1697" s="89" t="s">
        <v>1069</v>
      </c>
    </row>
    <row r="1698" spans="1:3" ht="15">
      <c r="A1698" s="81" t="s">
        <v>418</v>
      </c>
      <c r="B1698" s="80" t="s">
        <v>2706</v>
      </c>
      <c r="C1698" s="89" t="s">
        <v>1069</v>
      </c>
    </row>
    <row r="1699" spans="1:3" ht="15">
      <c r="A1699" s="81" t="s">
        <v>418</v>
      </c>
      <c r="B1699" s="80" t="s">
        <v>2707</v>
      </c>
      <c r="C1699" s="89" t="s">
        <v>1069</v>
      </c>
    </row>
    <row r="1700" spans="1:3" ht="15">
      <c r="A1700" s="81" t="s">
        <v>418</v>
      </c>
      <c r="B1700" s="80" t="s">
        <v>2708</v>
      </c>
      <c r="C1700" s="89" t="s">
        <v>1069</v>
      </c>
    </row>
    <row r="1701" spans="1:3" ht="15">
      <c r="A1701" s="81" t="s">
        <v>418</v>
      </c>
      <c r="B1701" s="80" t="s">
        <v>2488</v>
      </c>
      <c r="C1701" s="89" t="s">
        <v>1069</v>
      </c>
    </row>
    <row r="1702" spans="1:3" ht="15">
      <c r="A1702" s="81" t="s">
        <v>418</v>
      </c>
      <c r="B1702" s="80" t="s">
        <v>2709</v>
      </c>
      <c r="C1702" s="89" t="s">
        <v>1069</v>
      </c>
    </row>
    <row r="1703" spans="1:3" ht="15">
      <c r="A1703" s="81" t="s">
        <v>418</v>
      </c>
      <c r="B1703" s="80" t="s">
        <v>2710</v>
      </c>
      <c r="C1703" s="89" t="s">
        <v>1069</v>
      </c>
    </row>
    <row r="1704" spans="1:3" ht="15">
      <c r="A1704" s="81" t="s">
        <v>418</v>
      </c>
      <c r="B1704" s="80" t="s">
        <v>2478</v>
      </c>
      <c r="C1704" s="89" t="s">
        <v>1069</v>
      </c>
    </row>
    <row r="1705" spans="1:3" ht="15">
      <c r="A1705" s="81" t="s">
        <v>418</v>
      </c>
      <c r="B1705" s="80" t="s">
        <v>2476</v>
      </c>
      <c r="C1705" s="89" t="s">
        <v>1069</v>
      </c>
    </row>
    <row r="1706" spans="1:3" ht="15">
      <c r="A1706" s="81" t="s">
        <v>418</v>
      </c>
      <c r="B1706" s="80" t="s">
        <v>2711</v>
      </c>
      <c r="C1706" s="89" t="s">
        <v>1069</v>
      </c>
    </row>
    <row r="1707" spans="1:3" ht="15">
      <c r="A1707" s="81" t="s">
        <v>418</v>
      </c>
      <c r="B1707" s="80" t="s">
        <v>65</v>
      </c>
      <c r="C1707" s="89" t="s">
        <v>1069</v>
      </c>
    </row>
    <row r="1708" spans="1:3" ht="15">
      <c r="A1708" s="81" t="s">
        <v>418</v>
      </c>
      <c r="B1708" s="80" t="s">
        <v>2491</v>
      </c>
      <c r="C1708" s="89" t="s">
        <v>1069</v>
      </c>
    </row>
    <row r="1709" spans="1:3" ht="15">
      <c r="A1709" s="81" t="s">
        <v>417</v>
      </c>
      <c r="B1709" s="80" t="s">
        <v>2700</v>
      </c>
      <c r="C1709" s="89" t="s">
        <v>1068</v>
      </c>
    </row>
    <row r="1710" spans="1:3" ht="15">
      <c r="A1710" s="81" t="s">
        <v>417</v>
      </c>
      <c r="B1710" s="80" t="s">
        <v>2480</v>
      </c>
      <c r="C1710" s="89" t="s">
        <v>1068</v>
      </c>
    </row>
    <row r="1711" spans="1:3" ht="15">
      <c r="A1711" s="81" t="s">
        <v>417</v>
      </c>
      <c r="B1711" s="80" t="s">
        <v>2481</v>
      </c>
      <c r="C1711" s="89" t="s">
        <v>1068</v>
      </c>
    </row>
    <row r="1712" spans="1:3" ht="15">
      <c r="A1712" s="81" t="s">
        <v>417</v>
      </c>
      <c r="B1712" s="80" t="s">
        <v>2701</v>
      </c>
      <c r="C1712" s="89" t="s">
        <v>1068</v>
      </c>
    </row>
    <row r="1713" spans="1:3" ht="15">
      <c r="A1713" s="81" t="s">
        <v>417</v>
      </c>
      <c r="B1713" s="80" t="s">
        <v>2702</v>
      </c>
      <c r="C1713" s="89" t="s">
        <v>1068</v>
      </c>
    </row>
    <row r="1714" spans="1:3" ht="15">
      <c r="A1714" s="81" t="s">
        <v>417</v>
      </c>
      <c r="B1714" s="80" t="s">
        <v>2483</v>
      </c>
      <c r="C1714" s="89" t="s">
        <v>1068</v>
      </c>
    </row>
    <row r="1715" spans="1:3" ht="15">
      <c r="A1715" s="81" t="s">
        <v>417</v>
      </c>
      <c r="B1715" s="80" t="s">
        <v>2484</v>
      </c>
      <c r="C1715" s="89" t="s">
        <v>1068</v>
      </c>
    </row>
    <row r="1716" spans="1:3" ht="15">
      <c r="A1716" s="81" t="s">
        <v>417</v>
      </c>
      <c r="B1716" s="80" t="s">
        <v>2703</v>
      </c>
      <c r="C1716" s="89" t="s">
        <v>1068</v>
      </c>
    </row>
    <row r="1717" spans="1:3" ht="15">
      <c r="A1717" s="81" t="s">
        <v>417</v>
      </c>
      <c r="B1717" s="80" t="s">
        <v>2485</v>
      </c>
      <c r="C1717" s="89" t="s">
        <v>1068</v>
      </c>
    </row>
    <row r="1718" spans="1:3" ht="15">
      <c r="A1718" s="81" t="s">
        <v>417</v>
      </c>
      <c r="B1718" s="80" t="s">
        <v>2693</v>
      </c>
      <c r="C1718" s="89" t="s">
        <v>1068</v>
      </c>
    </row>
    <row r="1719" spans="1:3" ht="15">
      <c r="A1719" s="81" t="s">
        <v>417</v>
      </c>
      <c r="B1719" s="80" t="s">
        <v>2486</v>
      </c>
      <c r="C1719" s="89" t="s">
        <v>1068</v>
      </c>
    </row>
    <row r="1720" spans="1:3" ht="15">
      <c r="A1720" s="81" t="s">
        <v>417</v>
      </c>
      <c r="B1720" s="80" t="s">
        <v>2704</v>
      </c>
      <c r="C1720" s="89" t="s">
        <v>1068</v>
      </c>
    </row>
    <row r="1721" spans="1:3" ht="15">
      <c r="A1721" s="81" t="s">
        <v>417</v>
      </c>
      <c r="B1721" s="80" t="s">
        <v>2691</v>
      </c>
      <c r="C1721" s="89" t="s">
        <v>1068</v>
      </c>
    </row>
    <row r="1722" spans="1:3" ht="15">
      <c r="A1722" s="81" t="s">
        <v>417</v>
      </c>
      <c r="B1722" s="80" t="s">
        <v>2692</v>
      </c>
      <c r="C1722" s="89" t="s">
        <v>1068</v>
      </c>
    </row>
    <row r="1723" spans="1:3" ht="15">
      <c r="A1723" s="81" t="s">
        <v>417</v>
      </c>
      <c r="B1723" s="80" t="s">
        <v>2477</v>
      </c>
      <c r="C1723" s="89" t="s">
        <v>1068</v>
      </c>
    </row>
    <row r="1724" spans="1:3" ht="15">
      <c r="A1724" s="81" t="s">
        <v>417</v>
      </c>
      <c r="B1724" s="80" t="s">
        <v>2705</v>
      </c>
      <c r="C1724" s="89" t="s">
        <v>1068</v>
      </c>
    </row>
    <row r="1725" spans="1:3" ht="15">
      <c r="A1725" s="81" t="s">
        <v>417</v>
      </c>
      <c r="B1725" s="80" t="s">
        <v>2706</v>
      </c>
      <c r="C1725" s="89" t="s">
        <v>1068</v>
      </c>
    </row>
    <row r="1726" spans="1:3" ht="15">
      <c r="A1726" s="81" t="s">
        <v>417</v>
      </c>
      <c r="B1726" s="80" t="s">
        <v>2707</v>
      </c>
      <c r="C1726" s="89" t="s">
        <v>1068</v>
      </c>
    </row>
    <row r="1727" spans="1:3" ht="15">
      <c r="A1727" s="81" t="s">
        <v>417</v>
      </c>
      <c r="B1727" s="80" t="s">
        <v>2708</v>
      </c>
      <c r="C1727" s="89" t="s">
        <v>1068</v>
      </c>
    </row>
    <row r="1728" spans="1:3" ht="15">
      <c r="A1728" s="81" t="s">
        <v>417</v>
      </c>
      <c r="B1728" s="80" t="s">
        <v>2488</v>
      </c>
      <c r="C1728" s="89" t="s">
        <v>1068</v>
      </c>
    </row>
    <row r="1729" spans="1:3" ht="15">
      <c r="A1729" s="81" t="s">
        <v>417</v>
      </c>
      <c r="B1729" s="80" t="s">
        <v>2709</v>
      </c>
      <c r="C1729" s="89" t="s">
        <v>1068</v>
      </c>
    </row>
    <row r="1730" spans="1:3" ht="15">
      <c r="A1730" s="81" t="s">
        <v>417</v>
      </c>
      <c r="B1730" s="80" t="s">
        <v>2710</v>
      </c>
      <c r="C1730" s="89" t="s">
        <v>1068</v>
      </c>
    </row>
    <row r="1731" spans="1:3" ht="15">
      <c r="A1731" s="81" t="s">
        <v>417</v>
      </c>
      <c r="B1731" s="80" t="s">
        <v>2478</v>
      </c>
      <c r="C1731" s="89" t="s">
        <v>1068</v>
      </c>
    </row>
    <row r="1732" spans="1:3" ht="15">
      <c r="A1732" s="81" t="s">
        <v>417</v>
      </c>
      <c r="B1732" s="80" t="s">
        <v>2476</v>
      </c>
      <c r="C1732" s="89" t="s">
        <v>1068</v>
      </c>
    </row>
    <row r="1733" spans="1:3" ht="15">
      <c r="A1733" s="81" t="s">
        <v>417</v>
      </c>
      <c r="B1733" s="80" t="s">
        <v>2711</v>
      </c>
      <c r="C1733" s="89" t="s">
        <v>1068</v>
      </c>
    </row>
    <row r="1734" spans="1:3" ht="15">
      <c r="A1734" s="81" t="s">
        <v>417</v>
      </c>
      <c r="B1734" s="80" t="s">
        <v>65</v>
      </c>
      <c r="C1734" s="89" t="s">
        <v>1068</v>
      </c>
    </row>
    <row r="1735" spans="1:3" ht="15">
      <c r="A1735" s="81" t="s">
        <v>417</v>
      </c>
      <c r="B1735" s="80" t="s">
        <v>2491</v>
      </c>
      <c r="C1735" s="89" t="s">
        <v>1068</v>
      </c>
    </row>
    <row r="1736" spans="1:3" ht="15">
      <c r="A1736" s="81" t="s">
        <v>416</v>
      </c>
      <c r="B1736" s="80" t="s">
        <v>2700</v>
      </c>
      <c r="C1736" s="89" t="s">
        <v>1067</v>
      </c>
    </row>
    <row r="1737" spans="1:3" ht="15">
      <c r="A1737" s="81" t="s">
        <v>416</v>
      </c>
      <c r="B1737" s="80" t="s">
        <v>2480</v>
      </c>
      <c r="C1737" s="89" t="s">
        <v>1067</v>
      </c>
    </row>
    <row r="1738" spans="1:3" ht="15">
      <c r="A1738" s="81" t="s">
        <v>416</v>
      </c>
      <c r="B1738" s="80" t="s">
        <v>2481</v>
      </c>
      <c r="C1738" s="89" t="s">
        <v>1067</v>
      </c>
    </row>
    <row r="1739" spans="1:3" ht="15">
      <c r="A1739" s="81" t="s">
        <v>416</v>
      </c>
      <c r="B1739" s="80" t="s">
        <v>2701</v>
      </c>
      <c r="C1739" s="89" t="s">
        <v>1067</v>
      </c>
    </row>
    <row r="1740" spans="1:3" ht="15">
      <c r="A1740" s="81" t="s">
        <v>416</v>
      </c>
      <c r="B1740" s="80" t="s">
        <v>2702</v>
      </c>
      <c r="C1740" s="89" t="s">
        <v>1067</v>
      </c>
    </row>
    <row r="1741" spans="1:3" ht="15">
      <c r="A1741" s="81" t="s">
        <v>416</v>
      </c>
      <c r="B1741" s="80" t="s">
        <v>2483</v>
      </c>
      <c r="C1741" s="89" t="s">
        <v>1067</v>
      </c>
    </row>
    <row r="1742" spans="1:3" ht="15">
      <c r="A1742" s="81" t="s">
        <v>416</v>
      </c>
      <c r="B1742" s="80" t="s">
        <v>2484</v>
      </c>
      <c r="C1742" s="89" t="s">
        <v>1067</v>
      </c>
    </row>
    <row r="1743" spans="1:3" ht="15">
      <c r="A1743" s="81" t="s">
        <v>416</v>
      </c>
      <c r="B1743" s="80" t="s">
        <v>2703</v>
      </c>
      <c r="C1743" s="89" t="s">
        <v>1067</v>
      </c>
    </row>
    <row r="1744" spans="1:3" ht="15">
      <c r="A1744" s="81" t="s">
        <v>416</v>
      </c>
      <c r="B1744" s="80" t="s">
        <v>2485</v>
      </c>
      <c r="C1744" s="89" t="s">
        <v>1067</v>
      </c>
    </row>
    <row r="1745" spans="1:3" ht="15">
      <c r="A1745" s="81" t="s">
        <v>416</v>
      </c>
      <c r="B1745" s="80" t="s">
        <v>2693</v>
      </c>
      <c r="C1745" s="89" t="s">
        <v>1067</v>
      </c>
    </row>
    <row r="1746" spans="1:3" ht="15">
      <c r="A1746" s="81" t="s">
        <v>416</v>
      </c>
      <c r="B1746" s="80" t="s">
        <v>2486</v>
      </c>
      <c r="C1746" s="89" t="s">
        <v>1067</v>
      </c>
    </row>
    <row r="1747" spans="1:3" ht="15">
      <c r="A1747" s="81" t="s">
        <v>416</v>
      </c>
      <c r="B1747" s="80" t="s">
        <v>2704</v>
      </c>
      <c r="C1747" s="89" t="s">
        <v>1067</v>
      </c>
    </row>
    <row r="1748" spans="1:3" ht="15">
      <c r="A1748" s="81" t="s">
        <v>416</v>
      </c>
      <c r="B1748" s="80" t="s">
        <v>2691</v>
      </c>
      <c r="C1748" s="89" t="s">
        <v>1067</v>
      </c>
    </row>
    <row r="1749" spans="1:3" ht="15">
      <c r="A1749" s="81" t="s">
        <v>416</v>
      </c>
      <c r="B1749" s="80" t="s">
        <v>2692</v>
      </c>
      <c r="C1749" s="89" t="s">
        <v>1067</v>
      </c>
    </row>
    <row r="1750" spans="1:3" ht="15">
      <c r="A1750" s="81" t="s">
        <v>416</v>
      </c>
      <c r="B1750" s="80" t="s">
        <v>2477</v>
      </c>
      <c r="C1750" s="89" t="s">
        <v>1067</v>
      </c>
    </row>
    <row r="1751" spans="1:3" ht="15">
      <c r="A1751" s="81" t="s">
        <v>416</v>
      </c>
      <c r="B1751" s="80" t="s">
        <v>2705</v>
      </c>
      <c r="C1751" s="89" t="s">
        <v>1067</v>
      </c>
    </row>
    <row r="1752" spans="1:3" ht="15">
      <c r="A1752" s="81" t="s">
        <v>416</v>
      </c>
      <c r="B1752" s="80" t="s">
        <v>2706</v>
      </c>
      <c r="C1752" s="89" t="s">
        <v>1067</v>
      </c>
    </row>
    <row r="1753" spans="1:3" ht="15">
      <c r="A1753" s="81" t="s">
        <v>416</v>
      </c>
      <c r="B1753" s="80" t="s">
        <v>2707</v>
      </c>
      <c r="C1753" s="89" t="s">
        <v>1067</v>
      </c>
    </row>
    <row r="1754" spans="1:3" ht="15">
      <c r="A1754" s="81" t="s">
        <v>416</v>
      </c>
      <c r="B1754" s="80" t="s">
        <v>2708</v>
      </c>
      <c r="C1754" s="89" t="s">
        <v>1067</v>
      </c>
    </row>
    <row r="1755" spans="1:3" ht="15">
      <c r="A1755" s="81" t="s">
        <v>416</v>
      </c>
      <c r="B1755" s="80" t="s">
        <v>2488</v>
      </c>
      <c r="C1755" s="89" t="s">
        <v>1067</v>
      </c>
    </row>
    <row r="1756" spans="1:3" ht="15">
      <c r="A1756" s="81" t="s">
        <v>416</v>
      </c>
      <c r="B1756" s="80" t="s">
        <v>2709</v>
      </c>
      <c r="C1756" s="89" t="s">
        <v>1067</v>
      </c>
    </row>
    <row r="1757" spans="1:3" ht="15">
      <c r="A1757" s="81" t="s">
        <v>416</v>
      </c>
      <c r="B1757" s="80" t="s">
        <v>2710</v>
      </c>
      <c r="C1757" s="89" t="s">
        <v>1067</v>
      </c>
    </row>
    <row r="1758" spans="1:3" ht="15">
      <c r="A1758" s="81" t="s">
        <v>416</v>
      </c>
      <c r="B1758" s="80" t="s">
        <v>2478</v>
      </c>
      <c r="C1758" s="89" t="s">
        <v>1067</v>
      </c>
    </row>
    <row r="1759" spans="1:3" ht="15">
      <c r="A1759" s="81" t="s">
        <v>416</v>
      </c>
      <c r="B1759" s="80" t="s">
        <v>2476</v>
      </c>
      <c r="C1759" s="89" t="s">
        <v>1067</v>
      </c>
    </row>
    <row r="1760" spans="1:3" ht="15">
      <c r="A1760" s="81" t="s">
        <v>416</v>
      </c>
      <c r="B1760" s="80" t="s">
        <v>2711</v>
      </c>
      <c r="C1760" s="89" t="s">
        <v>1067</v>
      </c>
    </row>
    <row r="1761" spans="1:3" ht="15">
      <c r="A1761" s="81" t="s">
        <v>416</v>
      </c>
      <c r="B1761" s="80" t="s">
        <v>65</v>
      </c>
      <c r="C1761" s="89" t="s">
        <v>1067</v>
      </c>
    </row>
    <row r="1762" spans="1:3" ht="15">
      <c r="A1762" s="81" t="s">
        <v>416</v>
      </c>
      <c r="B1762" s="80" t="s">
        <v>2491</v>
      </c>
      <c r="C1762" s="89" t="s">
        <v>1067</v>
      </c>
    </row>
    <row r="1763" spans="1:3" ht="15">
      <c r="A1763" s="81" t="s">
        <v>415</v>
      </c>
      <c r="B1763" s="80" t="s">
        <v>2700</v>
      </c>
      <c r="C1763" s="89" t="s">
        <v>1066</v>
      </c>
    </row>
    <row r="1764" spans="1:3" ht="15">
      <c r="A1764" s="81" t="s">
        <v>415</v>
      </c>
      <c r="B1764" s="80" t="s">
        <v>2480</v>
      </c>
      <c r="C1764" s="89" t="s">
        <v>1066</v>
      </c>
    </row>
    <row r="1765" spans="1:3" ht="15">
      <c r="A1765" s="81" t="s">
        <v>415</v>
      </c>
      <c r="B1765" s="80" t="s">
        <v>2481</v>
      </c>
      <c r="C1765" s="89" t="s">
        <v>1066</v>
      </c>
    </row>
    <row r="1766" spans="1:3" ht="15">
      <c r="A1766" s="81" t="s">
        <v>415</v>
      </c>
      <c r="B1766" s="80" t="s">
        <v>2701</v>
      </c>
      <c r="C1766" s="89" t="s">
        <v>1066</v>
      </c>
    </row>
    <row r="1767" spans="1:3" ht="15">
      <c r="A1767" s="81" t="s">
        <v>415</v>
      </c>
      <c r="B1767" s="80" t="s">
        <v>2702</v>
      </c>
      <c r="C1767" s="89" t="s">
        <v>1066</v>
      </c>
    </row>
    <row r="1768" spans="1:3" ht="15">
      <c r="A1768" s="81" t="s">
        <v>415</v>
      </c>
      <c r="B1768" s="80" t="s">
        <v>2483</v>
      </c>
      <c r="C1768" s="89" t="s">
        <v>1066</v>
      </c>
    </row>
    <row r="1769" spans="1:3" ht="15">
      <c r="A1769" s="81" t="s">
        <v>415</v>
      </c>
      <c r="B1769" s="80" t="s">
        <v>2484</v>
      </c>
      <c r="C1769" s="89" t="s">
        <v>1066</v>
      </c>
    </row>
    <row r="1770" spans="1:3" ht="15">
      <c r="A1770" s="81" t="s">
        <v>415</v>
      </c>
      <c r="B1770" s="80" t="s">
        <v>2703</v>
      </c>
      <c r="C1770" s="89" t="s">
        <v>1066</v>
      </c>
    </row>
    <row r="1771" spans="1:3" ht="15">
      <c r="A1771" s="81" t="s">
        <v>415</v>
      </c>
      <c r="B1771" s="80" t="s">
        <v>2485</v>
      </c>
      <c r="C1771" s="89" t="s">
        <v>1066</v>
      </c>
    </row>
    <row r="1772" spans="1:3" ht="15">
      <c r="A1772" s="81" t="s">
        <v>415</v>
      </c>
      <c r="B1772" s="80" t="s">
        <v>2693</v>
      </c>
      <c r="C1772" s="89" t="s">
        <v>1066</v>
      </c>
    </row>
    <row r="1773" spans="1:3" ht="15">
      <c r="A1773" s="81" t="s">
        <v>415</v>
      </c>
      <c r="B1773" s="80" t="s">
        <v>2486</v>
      </c>
      <c r="C1773" s="89" t="s">
        <v>1066</v>
      </c>
    </row>
    <row r="1774" spans="1:3" ht="15">
      <c r="A1774" s="81" t="s">
        <v>415</v>
      </c>
      <c r="B1774" s="80" t="s">
        <v>2704</v>
      </c>
      <c r="C1774" s="89" t="s">
        <v>1066</v>
      </c>
    </row>
    <row r="1775" spans="1:3" ht="15">
      <c r="A1775" s="81" t="s">
        <v>415</v>
      </c>
      <c r="B1775" s="80" t="s">
        <v>2691</v>
      </c>
      <c r="C1775" s="89" t="s">
        <v>1066</v>
      </c>
    </row>
    <row r="1776" spans="1:3" ht="15">
      <c r="A1776" s="81" t="s">
        <v>415</v>
      </c>
      <c r="B1776" s="80" t="s">
        <v>2692</v>
      </c>
      <c r="C1776" s="89" t="s">
        <v>1066</v>
      </c>
    </row>
    <row r="1777" spans="1:3" ht="15">
      <c r="A1777" s="81" t="s">
        <v>415</v>
      </c>
      <c r="B1777" s="80" t="s">
        <v>2477</v>
      </c>
      <c r="C1777" s="89" t="s">
        <v>1066</v>
      </c>
    </row>
    <row r="1778" spans="1:3" ht="15">
      <c r="A1778" s="81" t="s">
        <v>415</v>
      </c>
      <c r="B1778" s="80" t="s">
        <v>2705</v>
      </c>
      <c r="C1778" s="89" t="s">
        <v>1066</v>
      </c>
    </row>
    <row r="1779" spans="1:3" ht="15">
      <c r="A1779" s="81" t="s">
        <v>415</v>
      </c>
      <c r="B1779" s="80" t="s">
        <v>2706</v>
      </c>
      <c r="C1779" s="89" t="s">
        <v>1066</v>
      </c>
    </row>
    <row r="1780" spans="1:3" ht="15">
      <c r="A1780" s="81" t="s">
        <v>415</v>
      </c>
      <c r="B1780" s="80" t="s">
        <v>2707</v>
      </c>
      <c r="C1780" s="89" t="s">
        <v>1066</v>
      </c>
    </row>
    <row r="1781" spans="1:3" ht="15">
      <c r="A1781" s="81" t="s">
        <v>415</v>
      </c>
      <c r="B1781" s="80" t="s">
        <v>2708</v>
      </c>
      <c r="C1781" s="89" t="s">
        <v>1066</v>
      </c>
    </row>
    <row r="1782" spans="1:3" ht="15">
      <c r="A1782" s="81" t="s">
        <v>415</v>
      </c>
      <c r="B1782" s="80" t="s">
        <v>2488</v>
      </c>
      <c r="C1782" s="89" t="s">
        <v>1066</v>
      </c>
    </row>
    <row r="1783" spans="1:3" ht="15">
      <c r="A1783" s="81" t="s">
        <v>415</v>
      </c>
      <c r="B1783" s="80" t="s">
        <v>2709</v>
      </c>
      <c r="C1783" s="89" t="s">
        <v>1066</v>
      </c>
    </row>
    <row r="1784" spans="1:3" ht="15">
      <c r="A1784" s="81" t="s">
        <v>415</v>
      </c>
      <c r="B1784" s="80" t="s">
        <v>2710</v>
      </c>
      <c r="C1784" s="89" t="s">
        <v>1066</v>
      </c>
    </row>
    <row r="1785" spans="1:3" ht="15">
      <c r="A1785" s="81" t="s">
        <v>415</v>
      </c>
      <c r="B1785" s="80" t="s">
        <v>2478</v>
      </c>
      <c r="C1785" s="89" t="s">
        <v>1066</v>
      </c>
    </row>
    <row r="1786" spans="1:3" ht="15">
      <c r="A1786" s="81" t="s">
        <v>415</v>
      </c>
      <c r="B1786" s="80" t="s">
        <v>2476</v>
      </c>
      <c r="C1786" s="89" t="s">
        <v>1066</v>
      </c>
    </row>
    <row r="1787" spans="1:3" ht="15">
      <c r="A1787" s="81" t="s">
        <v>415</v>
      </c>
      <c r="B1787" s="80" t="s">
        <v>2711</v>
      </c>
      <c r="C1787" s="89" t="s">
        <v>1066</v>
      </c>
    </row>
    <row r="1788" spans="1:3" ht="15">
      <c r="A1788" s="81" t="s">
        <v>415</v>
      </c>
      <c r="B1788" s="80" t="s">
        <v>65</v>
      </c>
      <c r="C1788" s="89" t="s">
        <v>1066</v>
      </c>
    </row>
    <row r="1789" spans="1:3" ht="15">
      <c r="A1789" s="81" t="s">
        <v>415</v>
      </c>
      <c r="B1789" s="80" t="s">
        <v>2491</v>
      </c>
      <c r="C1789" s="89" t="s">
        <v>1066</v>
      </c>
    </row>
    <row r="1790" spans="1:3" ht="15">
      <c r="A1790" s="81" t="s">
        <v>414</v>
      </c>
      <c r="B1790" s="80" t="s">
        <v>2700</v>
      </c>
      <c r="C1790" s="89" t="s">
        <v>1065</v>
      </c>
    </row>
    <row r="1791" spans="1:3" ht="15">
      <c r="A1791" s="81" t="s">
        <v>414</v>
      </c>
      <c r="B1791" s="80" t="s">
        <v>2480</v>
      </c>
      <c r="C1791" s="89" t="s">
        <v>1065</v>
      </c>
    </row>
    <row r="1792" spans="1:3" ht="15">
      <c r="A1792" s="81" t="s">
        <v>414</v>
      </c>
      <c r="B1792" s="80" t="s">
        <v>2481</v>
      </c>
      <c r="C1792" s="89" t="s">
        <v>1065</v>
      </c>
    </row>
    <row r="1793" spans="1:3" ht="15">
      <c r="A1793" s="81" t="s">
        <v>414</v>
      </c>
      <c r="B1793" s="80" t="s">
        <v>2701</v>
      </c>
      <c r="C1793" s="89" t="s">
        <v>1065</v>
      </c>
    </row>
    <row r="1794" spans="1:3" ht="15">
      <c r="A1794" s="81" t="s">
        <v>414</v>
      </c>
      <c r="B1794" s="80" t="s">
        <v>2702</v>
      </c>
      <c r="C1794" s="89" t="s">
        <v>1065</v>
      </c>
    </row>
    <row r="1795" spans="1:3" ht="15">
      <c r="A1795" s="81" t="s">
        <v>414</v>
      </c>
      <c r="B1795" s="80" t="s">
        <v>2483</v>
      </c>
      <c r="C1795" s="89" t="s">
        <v>1065</v>
      </c>
    </row>
    <row r="1796" spans="1:3" ht="15">
      <c r="A1796" s="81" t="s">
        <v>414</v>
      </c>
      <c r="B1796" s="80" t="s">
        <v>2484</v>
      </c>
      <c r="C1796" s="89" t="s">
        <v>1065</v>
      </c>
    </row>
    <row r="1797" spans="1:3" ht="15">
      <c r="A1797" s="81" t="s">
        <v>414</v>
      </c>
      <c r="B1797" s="80" t="s">
        <v>2703</v>
      </c>
      <c r="C1797" s="89" t="s">
        <v>1065</v>
      </c>
    </row>
    <row r="1798" spans="1:3" ht="15">
      <c r="A1798" s="81" t="s">
        <v>414</v>
      </c>
      <c r="B1798" s="80" t="s">
        <v>2485</v>
      </c>
      <c r="C1798" s="89" t="s">
        <v>1065</v>
      </c>
    </row>
    <row r="1799" spans="1:3" ht="15">
      <c r="A1799" s="81" t="s">
        <v>414</v>
      </c>
      <c r="B1799" s="80" t="s">
        <v>2693</v>
      </c>
      <c r="C1799" s="89" t="s">
        <v>1065</v>
      </c>
    </row>
    <row r="1800" spans="1:3" ht="15">
      <c r="A1800" s="81" t="s">
        <v>414</v>
      </c>
      <c r="B1800" s="80" t="s">
        <v>2486</v>
      </c>
      <c r="C1800" s="89" t="s">
        <v>1065</v>
      </c>
    </row>
    <row r="1801" spans="1:3" ht="15">
      <c r="A1801" s="81" t="s">
        <v>414</v>
      </c>
      <c r="B1801" s="80" t="s">
        <v>2704</v>
      </c>
      <c r="C1801" s="89" t="s">
        <v>1065</v>
      </c>
    </row>
    <row r="1802" spans="1:3" ht="15">
      <c r="A1802" s="81" t="s">
        <v>414</v>
      </c>
      <c r="B1802" s="80" t="s">
        <v>2691</v>
      </c>
      <c r="C1802" s="89" t="s">
        <v>1065</v>
      </c>
    </row>
    <row r="1803" spans="1:3" ht="15">
      <c r="A1803" s="81" t="s">
        <v>414</v>
      </c>
      <c r="B1803" s="80" t="s">
        <v>2692</v>
      </c>
      <c r="C1803" s="89" t="s">
        <v>1065</v>
      </c>
    </row>
    <row r="1804" spans="1:3" ht="15">
      <c r="A1804" s="81" t="s">
        <v>414</v>
      </c>
      <c r="B1804" s="80" t="s">
        <v>2477</v>
      </c>
      <c r="C1804" s="89" t="s">
        <v>1065</v>
      </c>
    </row>
    <row r="1805" spans="1:3" ht="15">
      <c r="A1805" s="81" t="s">
        <v>414</v>
      </c>
      <c r="B1805" s="80" t="s">
        <v>2705</v>
      </c>
      <c r="C1805" s="89" t="s">
        <v>1065</v>
      </c>
    </row>
    <row r="1806" spans="1:3" ht="15">
      <c r="A1806" s="81" t="s">
        <v>414</v>
      </c>
      <c r="B1806" s="80" t="s">
        <v>2706</v>
      </c>
      <c r="C1806" s="89" t="s">
        <v>1065</v>
      </c>
    </row>
    <row r="1807" spans="1:3" ht="15">
      <c r="A1807" s="81" t="s">
        <v>414</v>
      </c>
      <c r="B1807" s="80" t="s">
        <v>2707</v>
      </c>
      <c r="C1807" s="89" t="s">
        <v>1065</v>
      </c>
    </row>
    <row r="1808" spans="1:3" ht="15">
      <c r="A1808" s="81" t="s">
        <v>414</v>
      </c>
      <c r="B1808" s="80" t="s">
        <v>2708</v>
      </c>
      <c r="C1808" s="89" t="s">
        <v>1065</v>
      </c>
    </row>
    <row r="1809" spans="1:3" ht="15">
      <c r="A1809" s="81" t="s">
        <v>414</v>
      </c>
      <c r="B1809" s="80" t="s">
        <v>2488</v>
      </c>
      <c r="C1809" s="89" t="s">
        <v>1065</v>
      </c>
    </row>
    <row r="1810" spans="1:3" ht="15">
      <c r="A1810" s="81" t="s">
        <v>414</v>
      </c>
      <c r="B1810" s="80" t="s">
        <v>2709</v>
      </c>
      <c r="C1810" s="89" t="s">
        <v>1065</v>
      </c>
    </row>
    <row r="1811" spans="1:3" ht="15">
      <c r="A1811" s="81" t="s">
        <v>414</v>
      </c>
      <c r="B1811" s="80" t="s">
        <v>2710</v>
      </c>
      <c r="C1811" s="89" t="s">
        <v>1065</v>
      </c>
    </row>
    <row r="1812" spans="1:3" ht="15">
      <c r="A1812" s="81" t="s">
        <v>414</v>
      </c>
      <c r="B1812" s="80" t="s">
        <v>2478</v>
      </c>
      <c r="C1812" s="89" t="s">
        <v>1065</v>
      </c>
    </row>
    <row r="1813" spans="1:3" ht="15">
      <c r="A1813" s="81" t="s">
        <v>414</v>
      </c>
      <c r="B1813" s="80" t="s">
        <v>2476</v>
      </c>
      <c r="C1813" s="89" t="s">
        <v>1065</v>
      </c>
    </row>
    <row r="1814" spans="1:3" ht="15">
      <c r="A1814" s="81" t="s">
        <v>414</v>
      </c>
      <c r="B1814" s="80" t="s">
        <v>2711</v>
      </c>
      <c r="C1814" s="89" t="s">
        <v>1065</v>
      </c>
    </row>
    <row r="1815" spans="1:3" ht="15">
      <c r="A1815" s="81" t="s">
        <v>414</v>
      </c>
      <c r="B1815" s="80" t="s">
        <v>65</v>
      </c>
      <c r="C1815" s="89" t="s">
        <v>1065</v>
      </c>
    </row>
    <row r="1816" spans="1:3" ht="15">
      <c r="A1816" s="81" t="s">
        <v>414</v>
      </c>
      <c r="B1816" s="80" t="s">
        <v>2491</v>
      </c>
      <c r="C1816" s="89" t="s">
        <v>1065</v>
      </c>
    </row>
    <row r="1817" spans="1:3" ht="15">
      <c r="A1817" s="81" t="s">
        <v>413</v>
      </c>
      <c r="B1817" s="80" t="s">
        <v>2700</v>
      </c>
      <c r="C1817" s="89" t="s">
        <v>1064</v>
      </c>
    </row>
    <row r="1818" spans="1:3" ht="15">
      <c r="A1818" s="81" t="s">
        <v>413</v>
      </c>
      <c r="B1818" s="80" t="s">
        <v>2480</v>
      </c>
      <c r="C1818" s="89" t="s">
        <v>1064</v>
      </c>
    </row>
    <row r="1819" spans="1:3" ht="15">
      <c r="A1819" s="81" t="s">
        <v>413</v>
      </c>
      <c r="B1819" s="80" t="s">
        <v>2481</v>
      </c>
      <c r="C1819" s="89" t="s">
        <v>1064</v>
      </c>
    </row>
    <row r="1820" spans="1:3" ht="15">
      <c r="A1820" s="81" t="s">
        <v>413</v>
      </c>
      <c r="B1820" s="80" t="s">
        <v>2701</v>
      </c>
      <c r="C1820" s="89" t="s">
        <v>1064</v>
      </c>
    </row>
    <row r="1821" spans="1:3" ht="15">
      <c r="A1821" s="81" t="s">
        <v>413</v>
      </c>
      <c r="B1821" s="80" t="s">
        <v>2702</v>
      </c>
      <c r="C1821" s="89" t="s">
        <v>1064</v>
      </c>
    </row>
    <row r="1822" spans="1:3" ht="15">
      <c r="A1822" s="81" t="s">
        <v>413</v>
      </c>
      <c r="B1822" s="80" t="s">
        <v>2483</v>
      </c>
      <c r="C1822" s="89" t="s">
        <v>1064</v>
      </c>
    </row>
    <row r="1823" spans="1:3" ht="15">
      <c r="A1823" s="81" t="s">
        <v>413</v>
      </c>
      <c r="B1823" s="80" t="s">
        <v>2484</v>
      </c>
      <c r="C1823" s="89" t="s">
        <v>1064</v>
      </c>
    </row>
    <row r="1824" spans="1:3" ht="15">
      <c r="A1824" s="81" t="s">
        <v>413</v>
      </c>
      <c r="B1824" s="80" t="s">
        <v>2703</v>
      </c>
      <c r="C1824" s="89" t="s">
        <v>1064</v>
      </c>
    </row>
    <row r="1825" spans="1:3" ht="15">
      <c r="A1825" s="81" t="s">
        <v>413</v>
      </c>
      <c r="B1825" s="80" t="s">
        <v>2485</v>
      </c>
      <c r="C1825" s="89" t="s">
        <v>1064</v>
      </c>
    </row>
    <row r="1826" spans="1:3" ht="15">
      <c r="A1826" s="81" t="s">
        <v>413</v>
      </c>
      <c r="B1826" s="80" t="s">
        <v>2693</v>
      </c>
      <c r="C1826" s="89" t="s">
        <v>1064</v>
      </c>
    </row>
    <row r="1827" spans="1:3" ht="15">
      <c r="A1827" s="81" t="s">
        <v>413</v>
      </c>
      <c r="B1827" s="80" t="s">
        <v>2486</v>
      </c>
      <c r="C1827" s="89" t="s">
        <v>1064</v>
      </c>
    </row>
    <row r="1828" spans="1:3" ht="15">
      <c r="A1828" s="81" t="s">
        <v>413</v>
      </c>
      <c r="B1828" s="80" t="s">
        <v>2704</v>
      </c>
      <c r="C1828" s="89" t="s">
        <v>1064</v>
      </c>
    </row>
    <row r="1829" spans="1:3" ht="15">
      <c r="A1829" s="81" t="s">
        <v>413</v>
      </c>
      <c r="B1829" s="80" t="s">
        <v>2691</v>
      </c>
      <c r="C1829" s="89" t="s">
        <v>1064</v>
      </c>
    </row>
    <row r="1830" spans="1:3" ht="15">
      <c r="A1830" s="81" t="s">
        <v>413</v>
      </c>
      <c r="B1830" s="80" t="s">
        <v>2692</v>
      </c>
      <c r="C1830" s="89" t="s">
        <v>1064</v>
      </c>
    </row>
    <row r="1831" spans="1:3" ht="15">
      <c r="A1831" s="81" t="s">
        <v>413</v>
      </c>
      <c r="B1831" s="80" t="s">
        <v>2477</v>
      </c>
      <c r="C1831" s="89" t="s">
        <v>1064</v>
      </c>
    </row>
    <row r="1832" spans="1:3" ht="15">
      <c r="A1832" s="81" t="s">
        <v>413</v>
      </c>
      <c r="B1832" s="80" t="s">
        <v>2705</v>
      </c>
      <c r="C1832" s="89" t="s">
        <v>1064</v>
      </c>
    </row>
    <row r="1833" spans="1:3" ht="15">
      <c r="A1833" s="81" t="s">
        <v>413</v>
      </c>
      <c r="B1833" s="80" t="s">
        <v>2706</v>
      </c>
      <c r="C1833" s="89" t="s">
        <v>1064</v>
      </c>
    </row>
    <row r="1834" spans="1:3" ht="15">
      <c r="A1834" s="81" t="s">
        <v>413</v>
      </c>
      <c r="B1834" s="80" t="s">
        <v>2707</v>
      </c>
      <c r="C1834" s="89" t="s">
        <v>1064</v>
      </c>
    </row>
    <row r="1835" spans="1:3" ht="15">
      <c r="A1835" s="81" t="s">
        <v>413</v>
      </c>
      <c r="B1835" s="80" t="s">
        <v>2708</v>
      </c>
      <c r="C1835" s="89" t="s">
        <v>1064</v>
      </c>
    </row>
    <row r="1836" spans="1:3" ht="15">
      <c r="A1836" s="81" t="s">
        <v>413</v>
      </c>
      <c r="B1836" s="80" t="s">
        <v>2488</v>
      </c>
      <c r="C1836" s="89" t="s">
        <v>1064</v>
      </c>
    </row>
    <row r="1837" spans="1:3" ht="15">
      <c r="A1837" s="81" t="s">
        <v>413</v>
      </c>
      <c r="B1837" s="80" t="s">
        <v>2709</v>
      </c>
      <c r="C1837" s="89" t="s">
        <v>1064</v>
      </c>
    </row>
    <row r="1838" spans="1:3" ht="15">
      <c r="A1838" s="81" t="s">
        <v>413</v>
      </c>
      <c r="B1838" s="80" t="s">
        <v>2710</v>
      </c>
      <c r="C1838" s="89" t="s">
        <v>1064</v>
      </c>
    </row>
    <row r="1839" spans="1:3" ht="15">
      <c r="A1839" s="81" t="s">
        <v>413</v>
      </c>
      <c r="B1839" s="80" t="s">
        <v>2478</v>
      </c>
      <c r="C1839" s="89" t="s">
        <v>1064</v>
      </c>
    </row>
    <row r="1840" spans="1:3" ht="15">
      <c r="A1840" s="81" t="s">
        <v>413</v>
      </c>
      <c r="B1840" s="80" t="s">
        <v>2476</v>
      </c>
      <c r="C1840" s="89" t="s">
        <v>1064</v>
      </c>
    </row>
    <row r="1841" spans="1:3" ht="15">
      <c r="A1841" s="81" t="s">
        <v>413</v>
      </c>
      <c r="B1841" s="80" t="s">
        <v>2711</v>
      </c>
      <c r="C1841" s="89" t="s">
        <v>1064</v>
      </c>
    </row>
    <row r="1842" spans="1:3" ht="15">
      <c r="A1842" s="81" t="s">
        <v>413</v>
      </c>
      <c r="B1842" s="80" t="s">
        <v>65</v>
      </c>
      <c r="C1842" s="89" t="s">
        <v>1064</v>
      </c>
    </row>
    <row r="1843" spans="1:3" ht="15">
      <c r="A1843" s="81" t="s">
        <v>413</v>
      </c>
      <c r="B1843" s="80" t="s">
        <v>2491</v>
      </c>
      <c r="C1843" s="89" t="s">
        <v>1064</v>
      </c>
    </row>
    <row r="1844" spans="1:3" ht="15">
      <c r="A1844" s="81" t="s">
        <v>412</v>
      </c>
      <c r="B1844" s="80" t="s">
        <v>2700</v>
      </c>
      <c r="C1844" s="89" t="s">
        <v>1063</v>
      </c>
    </row>
    <row r="1845" spans="1:3" ht="15">
      <c r="A1845" s="81" t="s">
        <v>412</v>
      </c>
      <c r="B1845" s="80" t="s">
        <v>2480</v>
      </c>
      <c r="C1845" s="89" t="s">
        <v>1063</v>
      </c>
    </row>
    <row r="1846" spans="1:3" ht="15">
      <c r="A1846" s="81" t="s">
        <v>412</v>
      </c>
      <c r="B1846" s="80" t="s">
        <v>2481</v>
      </c>
      <c r="C1846" s="89" t="s">
        <v>1063</v>
      </c>
    </row>
    <row r="1847" spans="1:3" ht="15">
      <c r="A1847" s="81" t="s">
        <v>412</v>
      </c>
      <c r="B1847" s="80" t="s">
        <v>2701</v>
      </c>
      <c r="C1847" s="89" t="s">
        <v>1063</v>
      </c>
    </row>
    <row r="1848" spans="1:3" ht="15">
      <c r="A1848" s="81" t="s">
        <v>412</v>
      </c>
      <c r="B1848" s="80" t="s">
        <v>2702</v>
      </c>
      <c r="C1848" s="89" t="s">
        <v>1063</v>
      </c>
    </row>
    <row r="1849" spans="1:3" ht="15">
      <c r="A1849" s="81" t="s">
        <v>412</v>
      </c>
      <c r="B1849" s="80" t="s">
        <v>2483</v>
      </c>
      <c r="C1849" s="89" t="s">
        <v>1063</v>
      </c>
    </row>
    <row r="1850" spans="1:3" ht="15">
      <c r="A1850" s="81" t="s">
        <v>412</v>
      </c>
      <c r="B1850" s="80" t="s">
        <v>2484</v>
      </c>
      <c r="C1850" s="89" t="s">
        <v>1063</v>
      </c>
    </row>
    <row r="1851" spans="1:3" ht="15">
      <c r="A1851" s="81" t="s">
        <v>412</v>
      </c>
      <c r="B1851" s="80" t="s">
        <v>2703</v>
      </c>
      <c r="C1851" s="89" t="s">
        <v>1063</v>
      </c>
    </row>
    <row r="1852" spans="1:3" ht="15">
      <c r="A1852" s="81" t="s">
        <v>412</v>
      </c>
      <c r="B1852" s="80" t="s">
        <v>2485</v>
      </c>
      <c r="C1852" s="89" t="s">
        <v>1063</v>
      </c>
    </row>
    <row r="1853" spans="1:3" ht="15">
      <c r="A1853" s="81" t="s">
        <v>412</v>
      </c>
      <c r="B1853" s="80" t="s">
        <v>2693</v>
      </c>
      <c r="C1853" s="89" t="s">
        <v>1063</v>
      </c>
    </row>
    <row r="1854" spans="1:3" ht="15">
      <c r="A1854" s="81" t="s">
        <v>412</v>
      </c>
      <c r="B1854" s="80" t="s">
        <v>2486</v>
      </c>
      <c r="C1854" s="89" t="s">
        <v>1063</v>
      </c>
    </row>
    <row r="1855" spans="1:3" ht="15">
      <c r="A1855" s="81" t="s">
        <v>412</v>
      </c>
      <c r="B1855" s="80" t="s">
        <v>2704</v>
      </c>
      <c r="C1855" s="89" t="s">
        <v>1063</v>
      </c>
    </row>
    <row r="1856" spans="1:3" ht="15">
      <c r="A1856" s="81" t="s">
        <v>412</v>
      </c>
      <c r="B1856" s="80" t="s">
        <v>2691</v>
      </c>
      <c r="C1856" s="89" t="s">
        <v>1063</v>
      </c>
    </row>
    <row r="1857" spans="1:3" ht="15">
      <c r="A1857" s="81" t="s">
        <v>412</v>
      </c>
      <c r="B1857" s="80" t="s">
        <v>2692</v>
      </c>
      <c r="C1857" s="89" t="s">
        <v>1063</v>
      </c>
    </row>
    <row r="1858" spans="1:3" ht="15">
      <c r="A1858" s="81" t="s">
        <v>412</v>
      </c>
      <c r="B1858" s="80" t="s">
        <v>2477</v>
      </c>
      <c r="C1858" s="89" t="s">
        <v>1063</v>
      </c>
    </row>
    <row r="1859" spans="1:3" ht="15">
      <c r="A1859" s="81" t="s">
        <v>412</v>
      </c>
      <c r="B1859" s="80" t="s">
        <v>2705</v>
      </c>
      <c r="C1859" s="89" t="s">
        <v>1063</v>
      </c>
    </row>
    <row r="1860" spans="1:3" ht="15">
      <c r="A1860" s="81" t="s">
        <v>412</v>
      </c>
      <c r="B1860" s="80" t="s">
        <v>2706</v>
      </c>
      <c r="C1860" s="89" t="s">
        <v>1063</v>
      </c>
    </row>
    <row r="1861" spans="1:3" ht="15">
      <c r="A1861" s="81" t="s">
        <v>412</v>
      </c>
      <c r="B1861" s="80" t="s">
        <v>2707</v>
      </c>
      <c r="C1861" s="89" t="s">
        <v>1063</v>
      </c>
    </row>
    <row r="1862" spans="1:3" ht="15">
      <c r="A1862" s="81" t="s">
        <v>412</v>
      </c>
      <c r="B1862" s="80" t="s">
        <v>2708</v>
      </c>
      <c r="C1862" s="89" t="s">
        <v>1063</v>
      </c>
    </row>
    <row r="1863" spans="1:3" ht="15">
      <c r="A1863" s="81" t="s">
        <v>412</v>
      </c>
      <c r="B1863" s="80" t="s">
        <v>2488</v>
      </c>
      <c r="C1863" s="89" t="s">
        <v>1063</v>
      </c>
    </row>
    <row r="1864" spans="1:3" ht="15">
      <c r="A1864" s="81" t="s">
        <v>412</v>
      </c>
      <c r="B1864" s="80" t="s">
        <v>2709</v>
      </c>
      <c r="C1864" s="89" t="s">
        <v>1063</v>
      </c>
    </row>
    <row r="1865" spans="1:3" ht="15">
      <c r="A1865" s="81" t="s">
        <v>412</v>
      </c>
      <c r="B1865" s="80" t="s">
        <v>2710</v>
      </c>
      <c r="C1865" s="89" t="s">
        <v>1063</v>
      </c>
    </row>
    <row r="1866" spans="1:3" ht="15">
      <c r="A1866" s="81" t="s">
        <v>412</v>
      </c>
      <c r="B1866" s="80" t="s">
        <v>2478</v>
      </c>
      <c r="C1866" s="89" t="s">
        <v>1063</v>
      </c>
    </row>
    <row r="1867" spans="1:3" ht="15">
      <c r="A1867" s="81" t="s">
        <v>412</v>
      </c>
      <c r="B1867" s="80" t="s">
        <v>2476</v>
      </c>
      <c r="C1867" s="89" t="s">
        <v>1063</v>
      </c>
    </row>
    <row r="1868" spans="1:3" ht="15">
      <c r="A1868" s="81" t="s">
        <v>412</v>
      </c>
      <c r="B1868" s="80" t="s">
        <v>2711</v>
      </c>
      <c r="C1868" s="89" t="s">
        <v>1063</v>
      </c>
    </row>
    <row r="1869" spans="1:3" ht="15">
      <c r="A1869" s="81" t="s">
        <v>412</v>
      </c>
      <c r="B1869" s="80" t="s">
        <v>65</v>
      </c>
      <c r="C1869" s="89" t="s">
        <v>1063</v>
      </c>
    </row>
    <row r="1870" spans="1:3" ht="15">
      <c r="A1870" s="81" t="s">
        <v>412</v>
      </c>
      <c r="B1870" s="80" t="s">
        <v>2491</v>
      </c>
      <c r="C1870" s="89" t="s">
        <v>1063</v>
      </c>
    </row>
    <row r="1871" spans="1:3" ht="15">
      <c r="A1871" s="81" t="s">
        <v>411</v>
      </c>
      <c r="B1871" s="80" t="s">
        <v>2700</v>
      </c>
      <c r="C1871" s="89" t="s">
        <v>1062</v>
      </c>
    </row>
    <row r="1872" spans="1:3" ht="15">
      <c r="A1872" s="81" t="s">
        <v>411</v>
      </c>
      <c r="B1872" s="80" t="s">
        <v>2480</v>
      </c>
      <c r="C1872" s="89" t="s">
        <v>1062</v>
      </c>
    </row>
    <row r="1873" spans="1:3" ht="15">
      <c r="A1873" s="81" t="s">
        <v>411</v>
      </c>
      <c r="B1873" s="80" t="s">
        <v>2481</v>
      </c>
      <c r="C1873" s="89" t="s">
        <v>1062</v>
      </c>
    </row>
    <row r="1874" spans="1:3" ht="15">
      <c r="A1874" s="81" t="s">
        <v>411</v>
      </c>
      <c r="B1874" s="80" t="s">
        <v>2701</v>
      </c>
      <c r="C1874" s="89" t="s">
        <v>1062</v>
      </c>
    </row>
    <row r="1875" spans="1:3" ht="15">
      <c r="A1875" s="81" t="s">
        <v>411</v>
      </c>
      <c r="B1875" s="80" t="s">
        <v>2702</v>
      </c>
      <c r="C1875" s="89" t="s">
        <v>1062</v>
      </c>
    </row>
    <row r="1876" spans="1:3" ht="15">
      <c r="A1876" s="81" t="s">
        <v>411</v>
      </c>
      <c r="B1876" s="80" t="s">
        <v>2483</v>
      </c>
      <c r="C1876" s="89" t="s">
        <v>1062</v>
      </c>
    </row>
    <row r="1877" spans="1:3" ht="15">
      <c r="A1877" s="81" t="s">
        <v>411</v>
      </c>
      <c r="B1877" s="80" t="s">
        <v>2484</v>
      </c>
      <c r="C1877" s="89" t="s">
        <v>1062</v>
      </c>
    </row>
    <row r="1878" spans="1:3" ht="15">
      <c r="A1878" s="81" t="s">
        <v>411</v>
      </c>
      <c r="B1878" s="80" t="s">
        <v>2703</v>
      </c>
      <c r="C1878" s="89" t="s">
        <v>1062</v>
      </c>
    </row>
    <row r="1879" spans="1:3" ht="15">
      <c r="A1879" s="81" t="s">
        <v>411</v>
      </c>
      <c r="B1879" s="80" t="s">
        <v>2485</v>
      </c>
      <c r="C1879" s="89" t="s">
        <v>1062</v>
      </c>
    </row>
    <row r="1880" spans="1:3" ht="15">
      <c r="A1880" s="81" t="s">
        <v>411</v>
      </c>
      <c r="B1880" s="80" t="s">
        <v>2693</v>
      </c>
      <c r="C1880" s="89" t="s">
        <v>1062</v>
      </c>
    </row>
    <row r="1881" spans="1:3" ht="15">
      <c r="A1881" s="81" t="s">
        <v>411</v>
      </c>
      <c r="B1881" s="80" t="s">
        <v>2486</v>
      </c>
      <c r="C1881" s="89" t="s">
        <v>1062</v>
      </c>
    </row>
    <row r="1882" spans="1:3" ht="15">
      <c r="A1882" s="81" t="s">
        <v>411</v>
      </c>
      <c r="B1882" s="80" t="s">
        <v>2704</v>
      </c>
      <c r="C1882" s="89" t="s">
        <v>1062</v>
      </c>
    </row>
    <row r="1883" spans="1:3" ht="15">
      <c r="A1883" s="81" t="s">
        <v>411</v>
      </c>
      <c r="B1883" s="80" t="s">
        <v>2691</v>
      </c>
      <c r="C1883" s="89" t="s">
        <v>1062</v>
      </c>
    </row>
    <row r="1884" spans="1:3" ht="15">
      <c r="A1884" s="81" t="s">
        <v>411</v>
      </c>
      <c r="B1884" s="80" t="s">
        <v>2692</v>
      </c>
      <c r="C1884" s="89" t="s">
        <v>1062</v>
      </c>
    </row>
    <row r="1885" spans="1:3" ht="15">
      <c r="A1885" s="81" t="s">
        <v>411</v>
      </c>
      <c r="B1885" s="80" t="s">
        <v>2477</v>
      </c>
      <c r="C1885" s="89" t="s">
        <v>1062</v>
      </c>
    </row>
    <row r="1886" spans="1:3" ht="15">
      <c r="A1886" s="81" t="s">
        <v>411</v>
      </c>
      <c r="B1886" s="80" t="s">
        <v>2705</v>
      </c>
      <c r="C1886" s="89" t="s">
        <v>1062</v>
      </c>
    </row>
    <row r="1887" spans="1:3" ht="15">
      <c r="A1887" s="81" t="s">
        <v>411</v>
      </c>
      <c r="B1887" s="80" t="s">
        <v>2706</v>
      </c>
      <c r="C1887" s="89" t="s">
        <v>1062</v>
      </c>
    </row>
    <row r="1888" spans="1:3" ht="15">
      <c r="A1888" s="81" t="s">
        <v>411</v>
      </c>
      <c r="B1888" s="80" t="s">
        <v>2707</v>
      </c>
      <c r="C1888" s="89" t="s">
        <v>1062</v>
      </c>
    </row>
    <row r="1889" spans="1:3" ht="15">
      <c r="A1889" s="81" t="s">
        <v>411</v>
      </c>
      <c r="B1889" s="80" t="s">
        <v>2708</v>
      </c>
      <c r="C1889" s="89" t="s">
        <v>1062</v>
      </c>
    </row>
    <row r="1890" spans="1:3" ht="15">
      <c r="A1890" s="81" t="s">
        <v>411</v>
      </c>
      <c r="B1890" s="80" t="s">
        <v>2488</v>
      </c>
      <c r="C1890" s="89" t="s">
        <v>1062</v>
      </c>
    </row>
    <row r="1891" spans="1:3" ht="15">
      <c r="A1891" s="81" t="s">
        <v>411</v>
      </c>
      <c r="B1891" s="80" t="s">
        <v>2709</v>
      </c>
      <c r="C1891" s="89" t="s">
        <v>1062</v>
      </c>
    </row>
    <row r="1892" spans="1:3" ht="15">
      <c r="A1892" s="81" t="s">
        <v>411</v>
      </c>
      <c r="B1892" s="80" t="s">
        <v>2710</v>
      </c>
      <c r="C1892" s="89" t="s">
        <v>1062</v>
      </c>
    </row>
    <row r="1893" spans="1:3" ht="15">
      <c r="A1893" s="81" t="s">
        <v>411</v>
      </c>
      <c r="B1893" s="80" t="s">
        <v>2478</v>
      </c>
      <c r="C1893" s="89" t="s">
        <v>1062</v>
      </c>
    </row>
    <row r="1894" spans="1:3" ht="15">
      <c r="A1894" s="81" t="s">
        <v>411</v>
      </c>
      <c r="B1894" s="80" t="s">
        <v>2476</v>
      </c>
      <c r="C1894" s="89" t="s">
        <v>1062</v>
      </c>
    </row>
    <row r="1895" spans="1:3" ht="15">
      <c r="A1895" s="81" t="s">
        <v>411</v>
      </c>
      <c r="B1895" s="80" t="s">
        <v>2711</v>
      </c>
      <c r="C1895" s="89" t="s">
        <v>1062</v>
      </c>
    </row>
    <row r="1896" spans="1:3" ht="15">
      <c r="A1896" s="81" t="s">
        <v>411</v>
      </c>
      <c r="B1896" s="80" t="s">
        <v>65</v>
      </c>
      <c r="C1896" s="89" t="s">
        <v>1062</v>
      </c>
    </row>
    <row r="1897" spans="1:3" ht="15">
      <c r="A1897" s="81" t="s">
        <v>411</v>
      </c>
      <c r="B1897" s="80" t="s">
        <v>2491</v>
      </c>
      <c r="C1897" s="89" t="s">
        <v>1062</v>
      </c>
    </row>
    <row r="1898" spans="1:3" ht="15">
      <c r="A1898" s="81" t="s">
        <v>410</v>
      </c>
      <c r="B1898" s="80" t="s">
        <v>2700</v>
      </c>
      <c r="C1898" s="89" t="s">
        <v>1061</v>
      </c>
    </row>
    <row r="1899" spans="1:3" ht="15">
      <c r="A1899" s="81" t="s">
        <v>410</v>
      </c>
      <c r="B1899" s="80" t="s">
        <v>2480</v>
      </c>
      <c r="C1899" s="89" t="s">
        <v>1061</v>
      </c>
    </row>
    <row r="1900" spans="1:3" ht="15">
      <c r="A1900" s="81" t="s">
        <v>410</v>
      </c>
      <c r="B1900" s="80" t="s">
        <v>2481</v>
      </c>
      <c r="C1900" s="89" t="s">
        <v>1061</v>
      </c>
    </row>
    <row r="1901" spans="1:3" ht="15">
      <c r="A1901" s="81" t="s">
        <v>410</v>
      </c>
      <c r="B1901" s="80" t="s">
        <v>2701</v>
      </c>
      <c r="C1901" s="89" t="s">
        <v>1061</v>
      </c>
    </row>
    <row r="1902" spans="1:3" ht="15">
      <c r="A1902" s="81" t="s">
        <v>410</v>
      </c>
      <c r="B1902" s="80" t="s">
        <v>2702</v>
      </c>
      <c r="C1902" s="89" t="s">
        <v>1061</v>
      </c>
    </row>
    <row r="1903" spans="1:3" ht="15">
      <c r="A1903" s="81" t="s">
        <v>410</v>
      </c>
      <c r="B1903" s="80" t="s">
        <v>2483</v>
      </c>
      <c r="C1903" s="89" t="s">
        <v>1061</v>
      </c>
    </row>
    <row r="1904" spans="1:3" ht="15">
      <c r="A1904" s="81" t="s">
        <v>410</v>
      </c>
      <c r="B1904" s="80" t="s">
        <v>2484</v>
      </c>
      <c r="C1904" s="89" t="s">
        <v>1061</v>
      </c>
    </row>
    <row r="1905" spans="1:3" ht="15">
      <c r="A1905" s="81" t="s">
        <v>410</v>
      </c>
      <c r="B1905" s="80" t="s">
        <v>2703</v>
      </c>
      <c r="C1905" s="89" t="s">
        <v>1061</v>
      </c>
    </row>
    <row r="1906" spans="1:3" ht="15">
      <c r="A1906" s="81" t="s">
        <v>410</v>
      </c>
      <c r="B1906" s="80" t="s">
        <v>2485</v>
      </c>
      <c r="C1906" s="89" t="s">
        <v>1061</v>
      </c>
    </row>
    <row r="1907" spans="1:3" ht="15">
      <c r="A1907" s="81" t="s">
        <v>410</v>
      </c>
      <c r="B1907" s="80" t="s">
        <v>2693</v>
      </c>
      <c r="C1907" s="89" t="s">
        <v>1061</v>
      </c>
    </row>
    <row r="1908" spans="1:3" ht="15">
      <c r="A1908" s="81" t="s">
        <v>410</v>
      </c>
      <c r="B1908" s="80" t="s">
        <v>2486</v>
      </c>
      <c r="C1908" s="89" t="s">
        <v>1061</v>
      </c>
    </row>
    <row r="1909" spans="1:3" ht="15">
      <c r="A1909" s="81" t="s">
        <v>410</v>
      </c>
      <c r="B1909" s="80" t="s">
        <v>2704</v>
      </c>
      <c r="C1909" s="89" t="s">
        <v>1061</v>
      </c>
    </row>
    <row r="1910" spans="1:3" ht="15">
      <c r="A1910" s="81" t="s">
        <v>410</v>
      </c>
      <c r="B1910" s="80" t="s">
        <v>2691</v>
      </c>
      <c r="C1910" s="89" t="s">
        <v>1061</v>
      </c>
    </row>
    <row r="1911" spans="1:3" ht="15">
      <c r="A1911" s="81" t="s">
        <v>410</v>
      </c>
      <c r="B1911" s="80" t="s">
        <v>2692</v>
      </c>
      <c r="C1911" s="89" t="s">
        <v>1061</v>
      </c>
    </row>
    <row r="1912" spans="1:3" ht="15">
      <c r="A1912" s="81" t="s">
        <v>410</v>
      </c>
      <c r="B1912" s="80" t="s">
        <v>2477</v>
      </c>
      <c r="C1912" s="89" t="s">
        <v>1061</v>
      </c>
    </row>
    <row r="1913" spans="1:3" ht="15">
      <c r="A1913" s="81" t="s">
        <v>410</v>
      </c>
      <c r="B1913" s="80" t="s">
        <v>2705</v>
      </c>
      <c r="C1913" s="89" t="s">
        <v>1061</v>
      </c>
    </row>
    <row r="1914" spans="1:3" ht="15">
      <c r="A1914" s="81" t="s">
        <v>410</v>
      </c>
      <c r="B1914" s="80" t="s">
        <v>2706</v>
      </c>
      <c r="C1914" s="89" t="s">
        <v>1061</v>
      </c>
    </row>
    <row r="1915" spans="1:3" ht="15">
      <c r="A1915" s="81" t="s">
        <v>410</v>
      </c>
      <c r="B1915" s="80" t="s">
        <v>2707</v>
      </c>
      <c r="C1915" s="89" t="s">
        <v>1061</v>
      </c>
    </row>
    <row r="1916" spans="1:3" ht="15">
      <c r="A1916" s="81" t="s">
        <v>410</v>
      </c>
      <c r="B1916" s="80" t="s">
        <v>2708</v>
      </c>
      <c r="C1916" s="89" t="s">
        <v>1061</v>
      </c>
    </row>
    <row r="1917" spans="1:3" ht="15">
      <c r="A1917" s="81" t="s">
        <v>410</v>
      </c>
      <c r="B1917" s="80" t="s">
        <v>2488</v>
      </c>
      <c r="C1917" s="89" t="s">
        <v>1061</v>
      </c>
    </row>
    <row r="1918" spans="1:3" ht="15">
      <c r="A1918" s="81" t="s">
        <v>410</v>
      </c>
      <c r="B1918" s="80" t="s">
        <v>2709</v>
      </c>
      <c r="C1918" s="89" t="s">
        <v>1061</v>
      </c>
    </row>
    <row r="1919" spans="1:3" ht="15">
      <c r="A1919" s="81" t="s">
        <v>410</v>
      </c>
      <c r="B1919" s="80" t="s">
        <v>2710</v>
      </c>
      <c r="C1919" s="89" t="s">
        <v>1061</v>
      </c>
    </row>
    <row r="1920" spans="1:3" ht="15">
      <c r="A1920" s="81" t="s">
        <v>410</v>
      </c>
      <c r="B1920" s="80" t="s">
        <v>2478</v>
      </c>
      <c r="C1920" s="89" t="s">
        <v>1061</v>
      </c>
    </row>
    <row r="1921" spans="1:3" ht="15">
      <c r="A1921" s="81" t="s">
        <v>410</v>
      </c>
      <c r="B1921" s="80" t="s">
        <v>2476</v>
      </c>
      <c r="C1921" s="89" t="s">
        <v>1061</v>
      </c>
    </row>
    <row r="1922" spans="1:3" ht="15">
      <c r="A1922" s="81" t="s">
        <v>410</v>
      </c>
      <c r="B1922" s="80" t="s">
        <v>2711</v>
      </c>
      <c r="C1922" s="89" t="s">
        <v>1061</v>
      </c>
    </row>
    <row r="1923" spans="1:3" ht="15">
      <c r="A1923" s="81" t="s">
        <v>410</v>
      </c>
      <c r="B1923" s="80" t="s">
        <v>65</v>
      </c>
      <c r="C1923" s="89" t="s">
        <v>1061</v>
      </c>
    </row>
    <row r="1924" spans="1:3" ht="15">
      <c r="A1924" s="81" t="s">
        <v>410</v>
      </c>
      <c r="B1924" s="80" t="s">
        <v>2491</v>
      </c>
      <c r="C1924" s="89" t="s">
        <v>1061</v>
      </c>
    </row>
    <row r="1925" spans="1:3" ht="15">
      <c r="A1925" s="81" t="s">
        <v>409</v>
      </c>
      <c r="B1925" s="80" t="s">
        <v>2700</v>
      </c>
      <c r="C1925" s="89" t="s">
        <v>1060</v>
      </c>
    </row>
    <row r="1926" spans="1:3" ht="15">
      <c r="A1926" s="81" t="s">
        <v>409</v>
      </c>
      <c r="B1926" s="80" t="s">
        <v>2480</v>
      </c>
      <c r="C1926" s="89" t="s">
        <v>1060</v>
      </c>
    </row>
    <row r="1927" spans="1:3" ht="15">
      <c r="A1927" s="81" t="s">
        <v>409</v>
      </c>
      <c r="B1927" s="80" t="s">
        <v>2481</v>
      </c>
      <c r="C1927" s="89" t="s">
        <v>1060</v>
      </c>
    </row>
    <row r="1928" spans="1:3" ht="15">
      <c r="A1928" s="81" t="s">
        <v>409</v>
      </c>
      <c r="B1928" s="80" t="s">
        <v>2701</v>
      </c>
      <c r="C1928" s="89" t="s">
        <v>1060</v>
      </c>
    </row>
    <row r="1929" spans="1:3" ht="15">
      <c r="A1929" s="81" t="s">
        <v>409</v>
      </c>
      <c r="B1929" s="80" t="s">
        <v>2702</v>
      </c>
      <c r="C1929" s="89" t="s">
        <v>1060</v>
      </c>
    </row>
    <row r="1930" spans="1:3" ht="15">
      <c r="A1930" s="81" t="s">
        <v>409</v>
      </c>
      <c r="B1930" s="80" t="s">
        <v>2483</v>
      </c>
      <c r="C1930" s="89" t="s">
        <v>1060</v>
      </c>
    </row>
    <row r="1931" spans="1:3" ht="15">
      <c r="A1931" s="81" t="s">
        <v>409</v>
      </c>
      <c r="B1931" s="80" t="s">
        <v>2484</v>
      </c>
      <c r="C1931" s="89" t="s">
        <v>1060</v>
      </c>
    </row>
    <row r="1932" spans="1:3" ht="15">
      <c r="A1932" s="81" t="s">
        <v>409</v>
      </c>
      <c r="B1932" s="80" t="s">
        <v>2703</v>
      </c>
      <c r="C1932" s="89" t="s">
        <v>1060</v>
      </c>
    </row>
    <row r="1933" spans="1:3" ht="15">
      <c r="A1933" s="81" t="s">
        <v>409</v>
      </c>
      <c r="B1933" s="80" t="s">
        <v>2485</v>
      </c>
      <c r="C1933" s="89" t="s">
        <v>1060</v>
      </c>
    </row>
    <row r="1934" spans="1:3" ht="15">
      <c r="A1934" s="81" t="s">
        <v>409</v>
      </c>
      <c r="B1934" s="80" t="s">
        <v>2693</v>
      </c>
      <c r="C1934" s="89" t="s">
        <v>1060</v>
      </c>
    </row>
    <row r="1935" spans="1:3" ht="15">
      <c r="A1935" s="81" t="s">
        <v>409</v>
      </c>
      <c r="B1935" s="80" t="s">
        <v>2486</v>
      </c>
      <c r="C1935" s="89" t="s">
        <v>1060</v>
      </c>
    </row>
    <row r="1936" spans="1:3" ht="15">
      <c r="A1936" s="81" t="s">
        <v>409</v>
      </c>
      <c r="B1936" s="80" t="s">
        <v>2704</v>
      </c>
      <c r="C1936" s="89" t="s">
        <v>1060</v>
      </c>
    </row>
    <row r="1937" spans="1:3" ht="15">
      <c r="A1937" s="81" t="s">
        <v>409</v>
      </c>
      <c r="B1937" s="80" t="s">
        <v>2691</v>
      </c>
      <c r="C1937" s="89" t="s">
        <v>1060</v>
      </c>
    </row>
    <row r="1938" spans="1:3" ht="15">
      <c r="A1938" s="81" t="s">
        <v>409</v>
      </c>
      <c r="B1938" s="80" t="s">
        <v>2692</v>
      </c>
      <c r="C1938" s="89" t="s">
        <v>1060</v>
      </c>
    </row>
    <row r="1939" spans="1:3" ht="15">
      <c r="A1939" s="81" t="s">
        <v>409</v>
      </c>
      <c r="B1939" s="80" t="s">
        <v>2477</v>
      </c>
      <c r="C1939" s="89" t="s">
        <v>1060</v>
      </c>
    </row>
    <row r="1940" spans="1:3" ht="15">
      <c r="A1940" s="81" t="s">
        <v>409</v>
      </c>
      <c r="B1940" s="80" t="s">
        <v>2705</v>
      </c>
      <c r="C1940" s="89" t="s">
        <v>1060</v>
      </c>
    </row>
    <row r="1941" spans="1:3" ht="15">
      <c r="A1941" s="81" t="s">
        <v>409</v>
      </c>
      <c r="B1941" s="80" t="s">
        <v>2706</v>
      </c>
      <c r="C1941" s="89" t="s">
        <v>1060</v>
      </c>
    </row>
    <row r="1942" spans="1:3" ht="15">
      <c r="A1942" s="81" t="s">
        <v>409</v>
      </c>
      <c r="B1942" s="80" t="s">
        <v>2707</v>
      </c>
      <c r="C1942" s="89" t="s">
        <v>1060</v>
      </c>
    </row>
    <row r="1943" spans="1:3" ht="15">
      <c r="A1943" s="81" t="s">
        <v>409</v>
      </c>
      <c r="B1943" s="80" t="s">
        <v>2708</v>
      </c>
      <c r="C1943" s="89" t="s">
        <v>1060</v>
      </c>
    </row>
    <row r="1944" spans="1:3" ht="15">
      <c r="A1944" s="81" t="s">
        <v>409</v>
      </c>
      <c r="B1944" s="80" t="s">
        <v>2488</v>
      </c>
      <c r="C1944" s="89" t="s">
        <v>1060</v>
      </c>
    </row>
    <row r="1945" spans="1:3" ht="15">
      <c r="A1945" s="81" t="s">
        <v>409</v>
      </c>
      <c r="B1945" s="80" t="s">
        <v>2709</v>
      </c>
      <c r="C1945" s="89" t="s">
        <v>1060</v>
      </c>
    </row>
    <row r="1946" spans="1:3" ht="15">
      <c r="A1946" s="81" t="s">
        <v>409</v>
      </c>
      <c r="B1946" s="80" t="s">
        <v>2710</v>
      </c>
      <c r="C1946" s="89" t="s">
        <v>1060</v>
      </c>
    </row>
    <row r="1947" spans="1:3" ht="15">
      <c r="A1947" s="81" t="s">
        <v>409</v>
      </c>
      <c r="B1947" s="80" t="s">
        <v>2478</v>
      </c>
      <c r="C1947" s="89" t="s">
        <v>1060</v>
      </c>
    </row>
    <row r="1948" spans="1:3" ht="15">
      <c r="A1948" s="81" t="s">
        <v>409</v>
      </c>
      <c r="B1948" s="80" t="s">
        <v>2476</v>
      </c>
      <c r="C1948" s="89" t="s">
        <v>1060</v>
      </c>
    </row>
    <row r="1949" spans="1:3" ht="15">
      <c r="A1949" s="81" t="s">
        <v>409</v>
      </c>
      <c r="B1949" s="80" t="s">
        <v>2711</v>
      </c>
      <c r="C1949" s="89" t="s">
        <v>1060</v>
      </c>
    </row>
    <row r="1950" spans="1:3" ht="15">
      <c r="A1950" s="81" t="s">
        <v>409</v>
      </c>
      <c r="B1950" s="80" t="s">
        <v>65</v>
      </c>
      <c r="C1950" s="89" t="s">
        <v>1060</v>
      </c>
    </row>
    <row r="1951" spans="1:3" ht="15">
      <c r="A1951" s="81" t="s">
        <v>409</v>
      </c>
      <c r="B1951" s="80" t="s">
        <v>2491</v>
      </c>
      <c r="C1951" s="89" t="s">
        <v>1060</v>
      </c>
    </row>
    <row r="1952" spans="1:3" ht="15">
      <c r="A1952" s="81" t="s">
        <v>428</v>
      </c>
      <c r="B1952" s="80" t="s">
        <v>2905</v>
      </c>
      <c r="C1952" s="89" t="s">
        <v>1079</v>
      </c>
    </row>
    <row r="1953" spans="1:3" ht="15">
      <c r="A1953" s="81" t="s">
        <v>428</v>
      </c>
      <c r="B1953" s="80" t="s">
        <v>2533</v>
      </c>
      <c r="C1953" s="89" t="s">
        <v>1079</v>
      </c>
    </row>
    <row r="1954" spans="1:3" ht="15">
      <c r="A1954" s="81" t="s">
        <v>428</v>
      </c>
      <c r="B1954" s="80" t="s">
        <v>2906</v>
      </c>
      <c r="C1954" s="89" t="s">
        <v>1079</v>
      </c>
    </row>
    <row r="1955" spans="1:3" ht="15">
      <c r="A1955" s="81" t="s">
        <v>428</v>
      </c>
      <c r="B1955" s="80" t="s">
        <v>2535</v>
      </c>
      <c r="C1955" s="89" t="s">
        <v>1079</v>
      </c>
    </row>
    <row r="1956" spans="1:3" ht="15">
      <c r="A1956" s="81" t="s">
        <v>428</v>
      </c>
      <c r="B1956" s="80" t="s">
        <v>2536</v>
      </c>
      <c r="C1956" s="89" t="s">
        <v>1079</v>
      </c>
    </row>
    <row r="1957" spans="1:3" ht="15">
      <c r="A1957" s="81" t="s">
        <v>428</v>
      </c>
      <c r="B1957" s="80" t="s">
        <v>2907</v>
      </c>
      <c r="C1957" s="89" t="s">
        <v>1079</v>
      </c>
    </row>
    <row r="1958" spans="1:3" ht="15">
      <c r="A1958" s="81" t="s">
        <v>428</v>
      </c>
      <c r="B1958" s="80" t="s">
        <v>2769</v>
      </c>
      <c r="C1958" s="89" t="s">
        <v>1079</v>
      </c>
    </row>
    <row r="1959" spans="1:3" ht="15">
      <c r="A1959" s="81" t="s">
        <v>428</v>
      </c>
      <c r="B1959" s="80" t="s">
        <v>2713</v>
      </c>
      <c r="C1959" s="89" t="s">
        <v>1079</v>
      </c>
    </row>
    <row r="1960" spans="1:3" ht="15">
      <c r="A1960" s="81" t="s">
        <v>428</v>
      </c>
      <c r="B1960" s="80" t="s">
        <v>2537</v>
      </c>
      <c r="C1960" s="89" t="s">
        <v>1079</v>
      </c>
    </row>
    <row r="1961" spans="1:3" ht="15">
      <c r="A1961" s="81" t="s">
        <v>428</v>
      </c>
      <c r="B1961" s="80" t="s">
        <v>2908</v>
      </c>
      <c r="C1961" s="89" t="s">
        <v>1079</v>
      </c>
    </row>
    <row r="1962" spans="1:3" ht="15">
      <c r="A1962" s="81" t="s">
        <v>428</v>
      </c>
      <c r="B1962" s="80" t="s">
        <v>2538</v>
      </c>
      <c r="C1962" s="89" t="s">
        <v>1079</v>
      </c>
    </row>
    <row r="1963" spans="1:3" ht="15">
      <c r="A1963" s="81" t="s">
        <v>428</v>
      </c>
      <c r="B1963" s="80" t="s">
        <v>2691</v>
      </c>
      <c r="C1963" s="89" t="s">
        <v>1079</v>
      </c>
    </row>
    <row r="1964" spans="1:3" ht="15">
      <c r="A1964" s="81" t="s">
        <v>428</v>
      </c>
      <c r="B1964" s="80" t="s">
        <v>2777</v>
      </c>
      <c r="C1964" s="89" t="s">
        <v>1079</v>
      </c>
    </row>
    <row r="1965" spans="1:3" ht="15">
      <c r="A1965" s="81" t="s">
        <v>428</v>
      </c>
      <c r="B1965" s="80" t="s">
        <v>2539</v>
      </c>
      <c r="C1965" s="89" t="s">
        <v>1079</v>
      </c>
    </row>
    <row r="1966" spans="1:3" ht="15">
      <c r="A1966" s="81" t="s">
        <v>428</v>
      </c>
      <c r="B1966" s="80" t="s">
        <v>2540</v>
      </c>
      <c r="C1966" s="89" t="s">
        <v>1079</v>
      </c>
    </row>
    <row r="1967" spans="1:3" ht="15">
      <c r="A1967" s="81" t="s">
        <v>428</v>
      </c>
      <c r="B1967" s="80" t="s">
        <v>2541</v>
      </c>
      <c r="C1967" s="89" t="s">
        <v>1079</v>
      </c>
    </row>
    <row r="1968" spans="1:3" ht="15">
      <c r="A1968" s="81" t="s">
        <v>428</v>
      </c>
      <c r="B1968" s="80" t="s">
        <v>2909</v>
      </c>
      <c r="C1968" s="89" t="s">
        <v>1079</v>
      </c>
    </row>
    <row r="1969" spans="1:3" ht="15">
      <c r="A1969" s="81" t="s">
        <v>428</v>
      </c>
      <c r="B1969" s="80" t="s">
        <v>2543</v>
      </c>
      <c r="C1969" s="89" t="s">
        <v>1079</v>
      </c>
    </row>
    <row r="1970" spans="1:3" ht="15">
      <c r="A1970" s="81" t="s">
        <v>428</v>
      </c>
      <c r="B1970" s="80" t="s">
        <v>2910</v>
      </c>
      <c r="C1970" s="89" t="s">
        <v>1079</v>
      </c>
    </row>
    <row r="1971" spans="1:3" ht="15">
      <c r="A1971" s="81" t="s">
        <v>428</v>
      </c>
      <c r="B1971" s="80" t="s">
        <v>2544</v>
      </c>
      <c r="C1971" s="89" t="s">
        <v>1079</v>
      </c>
    </row>
    <row r="1972" spans="1:3" ht="15">
      <c r="A1972" s="81" t="s">
        <v>408</v>
      </c>
      <c r="B1972" s="80" t="s">
        <v>2905</v>
      </c>
      <c r="C1972" s="89" t="s">
        <v>1059</v>
      </c>
    </row>
    <row r="1973" spans="1:3" ht="15">
      <c r="A1973" s="81" t="s">
        <v>408</v>
      </c>
      <c r="B1973" s="80" t="s">
        <v>2533</v>
      </c>
      <c r="C1973" s="89" t="s">
        <v>1059</v>
      </c>
    </row>
    <row r="1974" spans="1:3" ht="15">
      <c r="A1974" s="81" t="s">
        <v>408</v>
      </c>
      <c r="B1974" s="80" t="s">
        <v>2906</v>
      </c>
      <c r="C1974" s="89" t="s">
        <v>1059</v>
      </c>
    </row>
    <row r="1975" spans="1:3" ht="15">
      <c r="A1975" s="81" t="s">
        <v>408</v>
      </c>
      <c r="B1975" s="80" t="s">
        <v>2535</v>
      </c>
      <c r="C1975" s="89" t="s">
        <v>1059</v>
      </c>
    </row>
    <row r="1976" spans="1:3" ht="15">
      <c r="A1976" s="81" t="s">
        <v>408</v>
      </c>
      <c r="B1976" s="80" t="s">
        <v>2536</v>
      </c>
      <c r="C1976" s="89" t="s">
        <v>1059</v>
      </c>
    </row>
    <row r="1977" spans="1:3" ht="15">
      <c r="A1977" s="81" t="s">
        <v>408</v>
      </c>
      <c r="B1977" s="80" t="s">
        <v>2907</v>
      </c>
      <c r="C1977" s="89" t="s">
        <v>1059</v>
      </c>
    </row>
    <row r="1978" spans="1:3" ht="15">
      <c r="A1978" s="81" t="s">
        <v>408</v>
      </c>
      <c r="B1978" s="80" t="s">
        <v>2769</v>
      </c>
      <c r="C1978" s="89" t="s">
        <v>1059</v>
      </c>
    </row>
    <row r="1979" spans="1:3" ht="15">
      <c r="A1979" s="81" t="s">
        <v>408</v>
      </c>
      <c r="B1979" s="80" t="s">
        <v>2713</v>
      </c>
      <c r="C1979" s="89" t="s">
        <v>1059</v>
      </c>
    </row>
    <row r="1980" spans="1:3" ht="15">
      <c r="A1980" s="81" t="s">
        <v>408</v>
      </c>
      <c r="B1980" s="80" t="s">
        <v>2537</v>
      </c>
      <c r="C1980" s="89" t="s">
        <v>1059</v>
      </c>
    </row>
    <row r="1981" spans="1:3" ht="15">
      <c r="A1981" s="81" t="s">
        <v>408</v>
      </c>
      <c r="B1981" s="80" t="s">
        <v>2908</v>
      </c>
      <c r="C1981" s="89" t="s">
        <v>1059</v>
      </c>
    </row>
    <row r="1982" spans="1:3" ht="15">
      <c r="A1982" s="81" t="s">
        <v>408</v>
      </c>
      <c r="B1982" s="80" t="s">
        <v>2538</v>
      </c>
      <c r="C1982" s="89" t="s">
        <v>1059</v>
      </c>
    </row>
    <row r="1983" spans="1:3" ht="15">
      <c r="A1983" s="81" t="s">
        <v>408</v>
      </c>
      <c r="B1983" s="80" t="s">
        <v>2691</v>
      </c>
      <c r="C1983" s="89" t="s">
        <v>1059</v>
      </c>
    </row>
    <row r="1984" spans="1:3" ht="15">
      <c r="A1984" s="81" t="s">
        <v>408</v>
      </c>
      <c r="B1984" s="80" t="s">
        <v>2777</v>
      </c>
      <c r="C1984" s="89" t="s">
        <v>1059</v>
      </c>
    </row>
    <row r="1985" spans="1:3" ht="15">
      <c r="A1985" s="81" t="s">
        <v>408</v>
      </c>
      <c r="B1985" s="80" t="s">
        <v>2539</v>
      </c>
      <c r="C1985" s="89" t="s">
        <v>1059</v>
      </c>
    </row>
    <row r="1986" spans="1:3" ht="15">
      <c r="A1986" s="81" t="s">
        <v>408</v>
      </c>
      <c r="B1986" s="80" t="s">
        <v>2540</v>
      </c>
      <c r="C1986" s="89" t="s">
        <v>1059</v>
      </c>
    </row>
    <row r="1987" spans="1:3" ht="15">
      <c r="A1987" s="81" t="s">
        <v>408</v>
      </c>
      <c r="B1987" s="80" t="s">
        <v>2541</v>
      </c>
      <c r="C1987" s="89" t="s">
        <v>1059</v>
      </c>
    </row>
    <row r="1988" spans="1:3" ht="15">
      <c r="A1988" s="81" t="s">
        <v>408</v>
      </c>
      <c r="B1988" s="80" t="s">
        <v>2909</v>
      </c>
      <c r="C1988" s="89" t="s">
        <v>1059</v>
      </c>
    </row>
    <row r="1989" spans="1:3" ht="15">
      <c r="A1989" s="81" t="s">
        <v>408</v>
      </c>
      <c r="B1989" s="80" t="s">
        <v>2543</v>
      </c>
      <c r="C1989" s="89" t="s">
        <v>1059</v>
      </c>
    </row>
    <row r="1990" spans="1:3" ht="15">
      <c r="A1990" s="81" t="s">
        <v>408</v>
      </c>
      <c r="B1990" s="80" t="s">
        <v>2910</v>
      </c>
      <c r="C1990" s="89" t="s">
        <v>1059</v>
      </c>
    </row>
    <row r="1991" spans="1:3" ht="15">
      <c r="A1991" s="81" t="s">
        <v>408</v>
      </c>
      <c r="B1991" s="80" t="s">
        <v>2544</v>
      </c>
      <c r="C1991" s="89" t="s">
        <v>1059</v>
      </c>
    </row>
    <row r="1992" spans="1:3" ht="15">
      <c r="A1992" s="81" t="s">
        <v>407</v>
      </c>
      <c r="B1992" s="80" t="s">
        <v>2742</v>
      </c>
      <c r="C1992" s="89" t="s">
        <v>1058</v>
      </c>
    </row>
    <row r="1993" spans="1:3" ht="15">
      <c r="A1993" s="81" t="s">
        <v>407</v>
      </c>
      <c r="B1993" s="80" t="s">
        <v>2604</v>
      </c>
      <c r="C1993" s="89" t="s">
        <v>1058</v>
      </c>
    </row>
    <row r="1994" spans="1:3" ht="15">
      <c r="A1994" s="81" t="s">
        <v>407</v>
      </c>
      <c r="B1994" s="80" t="s">
        <v>2605</v>
      </c>
      <c r="C1994" s="89" t="s">
        <v>1058</v>
      </c>
    </row>
    <row r="1995" spans="1:3" ht="15">
      <c r="A1995" s="81" t="s">
        <v>407</v>
      </c>
      <c r="B1995" s="80" t="s">
        <v>2606</v>
      </c>
      <c r="C1995" s="89" t="s">
        <v>1058</v>
      </c>
    </row>
    <row r="1996" spans="1:3" ht="15">
      <c r="A1996" s="81" t="s">
        <v>407</v>
      </c>
      <c r="B1996" s="80" t="s">
        <v>2607</v>
      </c>
      <c r="C1996" s="89" t="s">
        <v>1058</v>
      </c>
    </row>
    <row r="1997" spans="1:3" ht="15">
      <c r="A1997" s="81" t="s">
        <v>407</v>
      </c>
      <c r="B1997" s="80" t="s">
        <v>2547</v>
      </c>
      <c r="C1997" s="89" t="s">
        <v>1058</v>
      </c>
    </row>
    <row r="1998" spans="1:3" ht="15">
      <c r="A1998" s="81" t="s">
        <v>407</v>
      </c>
      <c r="B1998" s="80" t="s">
        <v>2911</v>
      </c>
      <c r="C1998" s="89" t="s">
        <v>1058</v>
      </c>
    </row>
    <row r="1999" spans="1:3" ht="15">
      <c r="A1999" s="81" t="s">
        <v>407</v>
      </c>
      <c r="B1999" s="80" t="s">
        <v>2691</v>
      </c>
      <c r="C1999" s="89" t="s">
        <v>1058</v>
      </c>
    </row>
    <row r="2000" spans="1:3" ht="15">
      <c r="A2000" s="81" t="s">
        <v>407</v>
      </c>
      <c r="B2000" s="80" t="s">
        <v>2692</v>
      </c>
      <c r="C2000" s="89" t="s">
        <v>1058</v>
      </c>
    </row>
    <row r="2001" spans="1:3" ht="15">
      <c r="A2001" s="81" t="s">
        <v>407</v>
      </c>
      <c r="B2001" s="80" t="s">
        <v>2608</v>
      </c>
      <c r="C2001" s="89" t="s">
        <v>1058</v>
      </c>
    </row>
    <row r="2002" spans="1:3" ht="15">
      <c r="A2002" s="81" t="s">
        <v>406</v>
      </c>
      <c r="B2002" s="80" t="s">
        <v>2742</v>
      </c>
      <c r="C2002" s="89" t="s">
        <v>1057</v>
      </c>
    </row>
    <row r="2003" spans="1:3" ht="15">
      <c r="A2003" s="81" t="s">
        <v>406</v>
      </c>
      <c r="B2003" s="80" t="s">
        <v>2604</v>
      </c>
      <c r="C2003" s="89" t="s">
        <v>1057</v>
      </c>
    </row>
    <row r="2004" spans="1:3" ht="15">
      <c r="A2004" s="81" t="s">
        <v>406</v>
      </c>
      <c r="B2004" s="80" t="s">
        <v>2605</v>
      </c>
      <c r="C2004" s="89" t="s">
        <v>1057</v>
      </c>
    </row>
    <row r="2005" spans="1:3" ht="15">
      <c r="A2005" s="81" t="s">
        <v>406</v>
      </c>
      <c r="B2005" s="80" t="s">
        <v>2606</v>
      </c>
      <c r="C2005" s="89" t="s">
        <v>1057</v>
      </c>
    </row>
    <row r="2006" spans="1:3" ht="15">
      <c r="A2006" s="81" t="s">
        <v>406</v>
      </c>
      <c r="B2006" s="80" t="s">
        <v>2607</v>
      </c>
      <c r="C2006" s="89" t="s">
        <v>1057</v>
      </c>
    </row>
    <row r="2007" spans="1:3" ht="15">
      <c r="A2007" s="81" t="s">
        <v>406</v>
      </c>
      <c r="B2007" s="80" t="s">
        <v>2547</v>
      </c>
      <c r="C2007" s="89" t="s">
        <v>1057</v>
      </c>
    </row>
    <row r="2008" spans="1:3" ht="15">
      <c r="A2008" s="81" t="s">
        <v>406</v>
      </c>
      <c r="B2008" s="80" t="s">
        <v>2911</v>
      </c>
      <c r="C2008" s="89" t="s">
        <v>1057</v>
      </c>
    </row>
    <row r="2009" spans="1:3" ht="15">
      <c r="A2009" s="81" t="s">
        <v>406</v>
      </c>
      <c r="B2009" s="80" t="s">
        <v>2691</v>
      </c>
      <c r="C2009" s="89" t="s">
        <v>1057</v>
      </c>
    </row>
    <row r="2010" spans="1:3" ht="15">
      <c r="A2010" s="81" t="s">
        <v>406</v>
      </c>
      <c r="B2010" s="80" t="s">
        <v>2692</v>
      </c>
      <c r="C2010" s="89" t="s">
        <v>1057</v>
      </c>
    </row>
    <row r="2011" spans="1:3" ht="15">
      <c r="A2011" s="81" t="s">
        <v>406</v>
      </c>
      <c r="B2011" s="80" t="s">
        <v>2608</v>
      </c>
      <c r="C2011" s="89" t="s">
        <v>1057</v>
      </c>
    </row>
    <row r="2012" spans="1:3" ht="15">
      <c r="A2012" s="81" t="s">
        <v>405</v>
      </c>
      <c r="B2012" s="80" t="s">
        <v>2691</v>
      </c>
      <c r="C2012" s="89" t="s">
        <v>1056</v>
      </c>
    </row>
    <row r="2013" spans="1:3" ht="15">
      <c r="A2013" s="81" t="s">
        <v>405</v>
      </c>
      <c r="B2013" s="80" t="s">
        <v>2692</v>
      </c>
      <c r="C2013" s="89" t="s">
        <v>1056</v>
      </c>
    </row>
    <row r="2014" spans="1:3" ht="15">
      <c r="A2014" s="81" t="s">
        <v>405</v>
      </c>
      <c r="B2014" s="80" t="s">
        <v>2494</v>
      </c>
      <c r="C2014" s="89" t="s">
        <v>1056</v>
      </c>
    </row>
    <row r="2015" spans="1:3" ht="15">
      <c r="A2015" s="81" t="s">
        <v>405</v>
      </c>
      <c r="B2015" s="80" t="s">
        <v>2492</v>
      </c>
      <c r="C2015" s="89" t="s">
        <v>1056</v>
      </c>
    </row>
    <row r="2016" spans="1:3" ht="15">
      <c r="A2016" s="81" t="s">
        <v>405</v>
      </c>
      <c r="B2016" s="80" t="s">
        <v>2495</v>
      </c>
      <c r="C2016" s="89" t="s">
        <v>1056</v>
      </c>
    </row>
    <row r="2017" spans="1:3" ht="15">
      <c r="A2017" s="81" t="s">
        <v>405</v>
      </c>
      <c r="B2017" s="80" t="s">
        <v>2493</v>
      </c>
      <c r="C2017" s="89" t="s">
        <v>1056</v>
      </c>
    </row>
    <row r="2018" spans="1:3" ht="15">
      <c r="A2018" s="81" t="s">
        <v>404</v>
      </c>
      <c r="B2018" s="80" t="s">
        <v>2700</v>
      </c>
      <c r="C2018" s="89" t="s">
        <v>1055</v>
      </c>
    </row>
    <row r="2019" spans="1:3" ht="15">
      <c r="A2019" s="81" t="s">
        <v>404</v>
      </c>
      <c r="B2019" s="80" t="s">
        <v>2480</v>
      </c>
      <c r="C2019" s="89" t="s">
        <v>1055</v>
      </c>
    </row>
    <row r="2020" spans="1:3" ht="15">
      <c r="A2020" s="81" t="s">
        <v>404</v>
      </c>
      <c r="B2020" s="80" t="s">
        <v>2481</v>
      </c>
      <c r="C2020" s="89" t="s">
        <v>1055</v>
      </c>
    </row>
    <row r="2021" spans="1:3" ht="15">
      <c r="A2021" s="81" t="s">
        <v>404</v>
      </c>
      <c r="B2021" s="80" t="s">
        <v>2701</v>
      </c>
      <c r="C2021" s="89" t="s">
        <v>1055</v>
      </c>
    </row>
    <row r="2022" spans="1:3" ht="15">
      <c r="A2022" s="81" t="s">
        <v>404</v>
      </c>
      <c r="B2022" s="80" t="s">
        <v>2702</v>
      </c>
      <c r="C2022" s="89" t="s">
        <v>1055</v>
      </c>
    </row>
    <row r="2023" spans="1:3" ht="15">
      <c r="A2023" s="81" t="s">
        <v>404</v>
      </c>
      <c r="B2023" s="80" t="s">
        <v>2483</v>
      </c>
      <c r="C2023" s="89" t="s">
        <v>1055</v>
      </c>
    </row>
    <row r="2024" spans="1:3" ht="15">
      <c r="A2024" s="81" t="s">
        <v>404</v>
      </c>
      <c r="B2024" s="80" t="s">
        <v>2484</v>
      </c>
      <c r="C2024" s="89" t="s">
        <v>1055</v>
      </c>
    </row>
    <row r="2025" spans="1:3" ht="15">
      <c r="A2025" s="81" t="s">
        <v>404</v>
      </c>
      <c r="B2025" s="80" t="s">
        <v>2703</v>
      </c>
      <c r="C2025" s="89" t="s">
        <v>1055</v>
      </c>
    </row>
    <row r="2026" spans="1:3" ht="15">
      <c r="A2026" s="81" t="s">
        <v>404</v>
      </c>
      <c r="B2026" s="80" t="s">
        <v>2485</v>
      </c>
      <c r="C2026" s="89" t="s">
        <v>1055</v>
      </c>
    </row>
    <row r="2027" spans="1:3" ht="15">
      <c r="A2027" s="81" t="s">
        <v>404</v>
      </c>
      <c r="B2027" s="80" t="s">
        <v>2693</v>
      </c>
      <c r="C2027" s="89" t="s">
        <v>1055</v>
      </c>
    </row>
    <row r="2028" spans="1:3" ht="15">
      <c r="A2028" s="81" t="s">
        <v>404</v>
      </c>
      <c r="B2028" s="80" t="s">
        <v>2486</v>
      </c>
      <c r="C2028" s="89" t="s">
        <v>1055</v>
      </c>
    </row>
    <row r="2029" spans="1:3" ht="15">
      <c r="A2029" s="81" t="s">
        <v>404</v>
      </c>
      <c r="B2029" s="80" t="s">
        <v>2704</v>
      </c>
      <c r="C2029" s="89" t="s">
        <v>1055</v>
      </c>
    </row>
    <row r="2030" spans="1:3" ht="15">
      <c r="A2030" s="81" t="s">
        <v>404</v>
      </c>
      <c r="B2030" s="80" t="s">
        <v>2691</v>
      </c>
      <c r="C2030" s="89" t="s">
        <v>1055</v>
      </c>
    </row>
    <row r="2031" spans="1:3" ht="15">
      <c r="A2031" s="81" t="s">
        <v>404</v>
      </c>
      <c r="B2031" s="80" t="s">
        <v>2692</v>
      </c>
      <c r="C2031" s="89" t="s">
        <v>1055</v>
      </c>
    </row>
    <row r="2032" spans="1:3" ht="15">
      <c r="A2032" s="81" t="s">
        <v>404</v>
      </c>
      <c r="B2032" s="80" t="s">
        <v>2477</v>
      </c>
      <c r="C2032" s="89" t="s">
        <v>1055</v>
      </c>
    </row>
    <row r="2033" spans="1:3" ht="15">
      <c r="A2033" s="81" t="s">
        <v>404</v>
      </c>
      <c r="B2033" s="80" t="s">
        <v>2705</v>
      </c>
      <c r="C2033" s="89" t="s">
        <v>1055</v>
      </c>
    </row>
    <row r="2034" spans="1:3" ht="15">
      <c r="A2034" s="81" t="s">
        <v>404</v>
      </c>
      <c r="B2034" s="80" t="s">
        <v>2706</v>
      </c>
      <c r="C2034" s="89" t="s">
        <v>1055</v>
      </c>
    </row>
    <row r="2035" spans="1:3" ht="15">
      <c r="A2035" s="81" t="s">
        <v>404</v>
      </c>
      <c r="B2035" s="80" t="s">
        <v>2707</v>
      </c>
      <c r="C2035" s="89" t="s">
        <v>1055</v>
      </c>
    </row>
    <row r="2036" spans="1:3" ht="15">
      <c r="A2036" s="81" t="s">
        <v>404</v>
      </c>
      <c r="B2036" s="80" t="s">
        <v>2708</v>
      </c>
      <c r="C2036" s="89" t="s">
        <v>1055</v>
      </c>
    </row>
    <row r="2037" spans="1:3" ht="15">
      <c r="A2037" s="81" t="s">
        <v>404</v>
      </c>
      <c r="B2037" s="80" t="s">
        <v>2488</v>
      </c>
      <c r="C2037" s="89" t="s">
        <v>1055</v>
      </c>
    </row>
    <row r="2038" spans="1:3" ht="15">
      <c r="A2038" s="81" t="s">
        <v>404</v>
      </c>
      <c r="B2038" s="80" t="s">
        <v>2709</v>
      </c>
      <c r="C2038" s="89" t="s">
        <v>1055</v>
      </c>
    </row>
    <row r="2039" spans="1:3" ht="15">
      <c r="A2039" s="81" t="s">
        <v>404</v>
      </c>
      <c r="B2039" s="80" t="s">
        <v>2710</v>
      </c>
      <c r="C2039" s="89" t="s">
        <v>1055</v>
      </c>
    </row>
    <row r="2040" spans="1:3" ht="15">
      <c r="A2040" s="81" t="s">
        <v>404</v>
      </c>
      <c r="B2040" s="80" t="s">
        <v>2478</v>
      </c>
      <c r="C2040" s="89" t="s">
        <v>1055</v>
      </c>
    </row>
    <row r="2041" spans="1:3" ht="15">
      <c r="A2041" s="81" t="s">
        <v>404</v>
      </c>
      <c r="B2041" s="80" t="s">
        <v>2476</v>
      </c>
      <c r="C2041" s="89" t="s">
        <v>1055</v>
      </c>
    </row>
    <row r="2042" spans="1:3" ht="15">
      <c r="A2042" s="81" t="s">
        <v>404</v>
      </c>
      <c r="B2042" s="80" t="s">
        <v>2711</v>
      </c>
      <c r="C2042" s="89" t="s">
        <v>1055</v>
      </c>
    </row>
    <row r="2043" spans="1:3" ht="15">
      <c r="A2043" s="81" t="s">
        <v>404</v>
      </c>
      <c r="B2043" s="80" t="s">
        <v>65</v>
      </c>
      <c r="C2043" s="89" t="s">
        <v>1055</v>
      </c>
    </row>
    <row r="2044" spans="1:3" ht="15">
      <c r="A2044" s="81" t="s">
        <v>404</v>
      </c>
      <c r="B2044" s="80" t="s">
        <v>2491</v>
      </c>
      <c r="C2044" s="89" t="s">
        <v>1055</v>
      </c>
    </row>
    <row r="2045" spans="1:3" ht="15">
      <c r="A2045" s="81" t="s">
        <v>403</v>
      </c>
      <c r="B2045" s="80" t="s">
        <v>2700</v>
      </c>
      <c r="C2045" s="89" t="s">
        <v>1054</v>
      </c>
    </row>
    <row r="2046" spans="1:3" ht="15">
      <c r="A2046" s="81" t="s">
        <v>403</v>
      </c>
      <c r="B2046" s="80" t="s">
        <v>2480</v>
      </c>
      <c r="C2046" s="89" t="s">
        <v>1054</v>
      </c>
    </row>
    <row r="2047" spans="1:3" ht="15">
      <c r="A2047" s="81" t="s">
        <v>403</v>
      </c>
      <c r="B2047" s="80" t="s">
        <v>2481</v>
      </c>
      <c r="C2047" s="89" t="s">
        <v>1054</v>
      </c>
    </row>
    <row r="2048" spans="1:3" ht="15">
      <c r="A2048" s="81" t="s">
        <v>403</v>
      </c>
      <c r="B2048" s="80" t="s">
        <v>2701</v>
      </c>
      <c r="C2048" s="89" t="s">
        <v>1054</v>
      </c>
    </row>
    <row r="2049" spans="1:3" ht="15">
      <c r="A2049" s="81" t="s">
        <v>403</v>
      </c>
      <c r="B2049" s="80" t="s">
        <v>2702</v>
      </c>
      <c r="C2049" s="89" t="s">
        <v>1054</v>
      </c>
    </row>
    <row r="2050" spans="1:3" ht="15">
      <c r="A2050" s="81" t="s">
        <v>403</v>
      </c>
      <c r="B2050" s="80" t="s">
        <v>2483</v>
      </c>
      <c r="C2050" s="89" t="s">
        <v>1054</v>
      </c>
    </row>
    <row r="2051" spans="1:3" ht="15">
      <c r="A2051" s="81" t="s">
        <v>403</v>
      </c>
      <c r="B2051" s="80" t="s">
        <v>2484</v>
      </c>
      <c r="C2051" s="89" t="s">
        <v>1054</v>
      </c>
    </row>
    <row r="2052" spans="1:3" ht="15">
      <c r="A2052" s="81" t="s">
        <v>403</v>
      </c>
      <c r="B2052" s="80" t="s">
        <v>2703</v>
      </c>
      <c r="C2052" s="89" t="s">
        <v>1054</v>
      </c>
    </row>
    <row r="2053" spans="1:3" ht="15">
      <c r="A2053" s="81" t="s">
        <v>403</v>
      </c>
      <c r="B2053" s="80" t="s">
        <v>2485</v>
      </c>
      <c r="C2053" s="89" t="s">
        <v>1054</v>
      </c>
    </row>
    <row r="2054" spans="1:3" ht="15">
      <c r="A2054" s="81" t="s">
        <v>403</v>
      </c>
      <c r="B2054" s="80" t="s">
        <v>2693</v>
      </c>
      <c r="C2054" s="89" t="s">
        <v>1054</v>
      </c>
    </row>
    <row r="2055" spans="1:3" ht="15">
      <c r="A2055" s="81" t="s">
        <v>403</v>
      </c>
      <c r="B2055" s="80" t="s">
        <v>2486</v>
      </c>
      <c r="C2055" s="89" t="s">
        <v>1054</v>
      </c>
    </row>
    <row r="2056" spans="1:3" ht="15">
      <c r="A2056" s="81" t="s">
        <v>403</v>
      </c>
      <c r="B2056" s="80" t="s">
        <v>2704</v>
      </c>
      <c r="C2056" s="89" t="s">
        <v>1054</v>
      </c>
    </row>
    <row r="2057" spans="1:3" ht="15">
      <c r="A2057" s="81" t="s">
        <v>403</v>
      </c>
      <c r="B2057" s="80" t="s">
        <v>2691</v>
      </c>
      <c r="C2057" s="89" t="s">
        <v>1054</v>
      </c>
    </row>
    <row r="2058" spans="1:3" ht="15">
      <c r="A2058" s="81" t="s">
        <v>403</v>
      </c>
      <c r="B2058" s="80" t="s">
        <v>2692</v>
      </c>
      <c r="C2058" s="89" t="s">
        <v>1054</v>
      </c>
    </row>
    <row r="2059" spans="1:3" ht="15">
      <c r="A2059" s="81" t="s">
        <v>403</v>
      </c>
      <c r="B2059" s="80" t="s">
        <v>2477</v>
      </c>
      <c r="C2059" s="89" t="s">
        <v>1054</v>
      </c>
    </row>
    <row r="2060" spans="1:3" ht="15">
      <c r="A2060" s="81" t="s">
        <v>403</v>
      </c>
      <c r="B2060" s="80" t="s">
        <v>2705</v>
      </c>
      <c r="C2060" s="89" t="s">
        <v>1054</v>
      </c>
    </row>
    <row r="2061" spans="1:3" ht="15">
      <c r="A2061" s="81" t="s">
        <v>403</v>
      </c>
      <c r="B2061" s="80" t="s">
        <v>2706</v>
      </c>
      <c r="C2061" s="89" t="s">
        <v>1054</v>
      </c>
    </row>
    <row r="2062" spans="1:3" ht="15">
      <c r="A2062" s="81" t="s">
        <v>403</v>
      </c>
      <c r="B2062" s="80" t="s">
        <v>2707</v>
      </c>
      <c r="C2062" s="89" t="s">
        <v>1054</v>
      </c>
    </row>
    <row r="2063" spans="1:3" ht="15">
      <c r="A2063" s="81" t="s">
        <v>403</v>
      </c>
      <c r="B2063" s="80" t="s">
        <v>2708</v>
      </c>
      <c r="C2063" s="89" t="s">
        <v>1054</v>
      </c>
    </row>
    <row r="2064" spans="1:3" ht="15">
      <c r="A2064" s="81" t="s">
        <v>403</v>
      </c>
      <c r="B2064" s="80" t="s">
        <v>2488</v>
      </c>
      <c r="C2064" s="89" t="s">
        <v>1054</v>
      </c>
    </row>
    <row r="2065" spans="1:3" ht="15">
      <c r="A2065" s="81" t="s">
        <v>403</v>
      </c>
      <c r="B2065" s="80" t="s">
        <v>2709</v>
      </c>
      <c r="C2065" s="89" t="s">
        <v>1054</v>
      </c>
    </row>
    <row r="2066" spans="1:3" ht="15">
      <c r="A2066" s="81" t="s">
        <v>403</v>
      </c>
      <c r="B2066" s="80" t="s">
        <v>2710</v>
      </c>
      <c r="C2066" s="89" t="s">
        <v>1054</v>
      </c>
    </row>
    <row r="2067" spans="1:3" ht="15">
      <c r="A2067" s="81" t="s">
        <v>403</v>
      </c>
      <c r="B2067" s="80" t="s">
        <v>2478</v>
      </c>
      <c r="C2067" s="89" t="s">
        <v>1054</v>
      </c>
    </row>
    <row r="2068" spans="1:3" ht="15">
      <c r="A2068" s="81" t="s">
        <v>403</v>
      </c>
      <c r="B2068" s="80" t="s">
        <v>2476</v>
      </c>
      <c r="C2068" s="89" t="s">
        <v>1054</v>
      </c>
    </row>
    <row r="2069" spans="1:3" ht="15">
      <c r="A2069" s="81" t="s">
        <v>403</v>
      </c>
      <c r="B2069" s="80" t="s">
        <v>2711</v>
      </c>
      <c r="C2069" s="89" t="s">
        <v>1054</v>
      </c>
    </row>
    <row r="2070" spans="1:3" ht="15">
      <c r="A2070" s="81" t="s">
        <v>403</v>
      </c>
      <c r="B2070" s="80" t="s">
        <v>65</v>
      </c>
      <c r="C2070" s="89" t="s">
        <v>1054</v>
      </c>
    </row>
    <row r="2071" spans="1:3" ht="15">
      <c r="A2071" s="81" t="s">
        <v>403</v>
      </c>
      <c r="B2071" s="80" t="s">
        <v>2491</v>
      </c>
      <c r="C2071" s="89" t="s">
        <v>1054</v>
      </c>
    </row>
    <row r="2072" spans="1:3" ht="15">
      <c r="A2072" s="81" t="s">
        <v>402</v>
      </c>
      <c r="B2072" s="80" t="s">
        <v>2905</v>
      </c>
      <c r="C2072" s="89" t="s">
        <v>1053</v>
      </c>
    </row>
    <row r="2073" spans="1:3" ht="15">
      <c r="A2073" s="81" t="s">
        <v>402</v>
      </c>
      <c r="B2073" s="80" t="s">
        <v>2912</v>
      </c>
      <c r="C2073" s="89" t="s">
        <v>1053</v>
      </c>
    </row>
    <row r="2074" spans="1:3" ht="15">
      <c r="A2074" s="81" t="s">
        <v>402</v>
      </c>
      <c r="B2074" s="80" t="s">
        <v>2913</v>
      </c>
      <c r="C2074" s="89" t="s">
        <v>1053</v>
      </c>
    </row>
    <row r="2075" spans="1:3" ht="15">
      <c r="A2075" s="81" t="s">
        <v>402</v>
      </c>
      <c r="B2075" s="80" t="s">
        <v>2769</v>
      </c>
      <c r="C2075" s="89" t="s">
        <v>1053</v>
      </c>
    </row>
    <row r="2076" spans="1:3" ht="15">
      <c r="A2076" s="81" t="s">
        <v>402</v>
      </c>
      <c r="B2076" s="80" t="s">
        <v>2764</v>
      </c>
      <c r="C2076" s="89" t="s">
        <v>1053</v>
      </c>
    </row>
    <row r="2077" spans="1:3" ht="15">
      <c r="A2077" s="81" t="s">
        <v>402</v>
      </c>
      <c r="B2077" s="80" t="s">
        <v>2914</v>
      </c>
      <c r="C2077" s="89" t="s">
        <v>1053</v>
      </c>
    </row>
    <row r="2078" spans="1:3" ht="15">
      <c r="A2078" s="81" t="s">
        <v>402</v>
      </c>
      <c r="B2078" s="80" t="s">
        <v>2915</v>
      </c>
      <c r="C2078" s="89" t="s">
        <v>1053</v>
      </c>
    </row>
    <row r="2079" spans="1:3" ht="15">
      <c r="A2079" s="81" t="s">
        <v>402</v>
      </c>
      <c r="B2079" s="80" t="s">
        <v>2691</v>
      </c>
      <c r="C2079" s="89" t="s">
        <v>1053</v>
      </c>
    </row>
    <row r="2080" spans="1:3" ht="15">
      <c r="A2080" s="81" t="s">
        <v>402</v>
      </c>
      <c r="B2080" s="80" t="s">
        <v>2692</v>
      </c>
      <c r="C2080" s="89" t="s">
        <v>1053</v>
      </c>
    </row>
    <row r="2081" spans="1:3" ht="15">
      <c r="A2081" s="81" t="s">
        <v>402</v>
      </c>
      <c r="B2081" s="80" t="s">
        <v>1181</v>
      </c>
      <c r="C2081" s="89" t="s">
        <v>1053</v>
      </c>
    </row>
    <row r="2082" spans="1:3" ht="15">
      <c r="A2082" s="81" t="s">
        <v>402</v>
      </c>
      <c r="B2082" s="80" t="s">
        <v>2916</v>
      </c>
      <c r="C2082" s="89" t="s">
        <v>1053</v>
      </c>
    </row>
    <row r="2083" spans="1:3" ht="15">
      <c r="A2083" s="81" t="s">
        <v>402</v>
      </c>
      <c r="B2083" s="80" t="s">
        <v>2917</v>
      </c>
      <c r="C2083" s="89" t="s">
        <v>1053</v>
      </c>
    </row>
    <row r="2084" spans="1:3" ht="15">
      <c r="A2084" s="81" t="s">
        <v>402</v>
      </c>
      <c r="B2084" s="80" t="s">
        <v>2743</v>
      </c>
      <c r="C2084" s="89" t="s">
        <v>1053</v>
      </c>
    </row>
    <row r="2085" spans="1:3" ht="15">
      <c r="A2085" s="81" t="s">
        <v>401</v>
      </c>
      <c r="B2085" s="80" t="s">
        <v>2700</v>
      </c>
      <c r="C2085" s="89" t="s">
        <v>1052</v>
      </c>
    </row>
    <row r="2086" spans="1:3" ht="15">
      <c r="A2086" s="81" t="s">
        <v>401</v>
      </c>
      <c r="B2086" s="80" t="s">
        <v>2480</v>
      </c>
      <c r="C2086" s="89" t="s">
        <v>1052</v>
      </c>
    </row>
    <row r="2087" spans="1:3" ht="15">
      <c r="A2087" s="81" t="s">
        <v>401</v>
      </c>
      <c r="B2087" s="80" t="s">
        <v>2481</v>
      </c>
      <c r="C2087" s="89" t="s">
        <v>1052</v>
      </c>
    </row>
    <row r="2088" spans="1:3" ht="15">
      <c r="A2088" s="81" t="s">
        <v>401</v>
      </c>
      <c r="B2088" s="80" t="s">
        <v>2701</v>
      </c>
      <c r="C2088" s="89" t="s">
        <v>1052</v>
      </c>
    </row>
    <row r="2089" spans="1:3" ht="15">
      <c r="A2089" s="81" t="s">
        <v>401</v>
      </c>
      <c r="B2089" s="80" t="s">
        <v>2702</v>
      </c>
      <c r="C2089" s="89" t="s">
        <v>1052</v>
      </c>
    </row>
    <row r="2090" spans="1:3" ht="15">
      <c r="A2090" s="81" t="s">
        <v>401</v>
      </c>
      <c r="B2090" s="80" t="s">
        <v>2483</v>
      </c>
      <c r="C2090" s="89" t="s">
        <v>1052</v>
      </c>
    </row>
    <row r="2091" spans="1:3" ht="15">
      <c r="A2091" s="81" t="s">
        <v>401</v>
      </c>
      <c r="B2091" s="80" t="s">
        <v>2484</v>
      </c>
      <c r="C2091" s="89" t="s">
        <v>1052</v>
      </c>
    </row>
    <row r="2092" spans="1:3" ht="15">
      <c r="A2092" s="81" t="s">
        <v>401</v>
      </c>
      <c r="B2092" s="80" t="s">
        <v>2703</v>
      </c>
      <c r="C2092" s="89" t="s">
        <v>1052</v>
      </c>
    </row>
    <row r="2093" spans="1:3" ht="15">
      <c r="A2093" s="81" t="s">
        <v>401</v>
      </c>
      <c r="B2093" s="80" t="s">
        <v>2485</v>
      </c>
      <c r="C2093" s="89" t="s">
        <v>1052</v>
      </c>
    </row>
    <row r="2094" spans="1:3" ht="15">
      <c r="A2094" s="81" t="s">
        <v>401</v>
      </c>
      <c r="B2094" s="80" t="s">
        <v>2693</v>
      </c>
      <c r="C2094" s="89" t="s">
        <v>1052</v>
      </c>
    </row>
    <row r="2095" spans="1:3" ht="15">
      <c r="A2095" s="81" t="s">
        <v>401</v>
      </c>
      <c r="B2095" s="80" t="s">
        <v>2486</v>
      </c>
      <c r="C2095" s="89" t="s">
        <v>1052</v>
      </c>
    </row>
    <row r="2096" spans="1:3" ht="15">
      <c r="A2096" s="81" t="s">
        <v>401</v>
      </c>
      <c r="B2096" s="80" t="s">
        <v>2704</v>
      </c>
      <c r="C2096" s="89" t="s">
        <v>1052</v>
      </c>
    </row>
    <row r="2097" spans="1:3" ht="15">
      <c r="A2097" s="81" t="s">
        <v>401</v>
      </c>
      <c r="B2097" s="80" t="s">
        <v>2691</v>
      </c>
      <c r="C2097" s="89" t="s">
        <v>1052</v>
      </c>
    </row>
    <row r="2098" spans="1:3" ht="15">
      <c r="A2098" s="81" t="s">
        <v>401</v>
      </c>
      <c r="B2098" s="80" t="s">
        <v>2692</v>
      </c>
      <c r="C2098" s="89" t="s">
        <v>1052</v>
      </c>
    </row>
    <row r="2099" spans="1:3" ht="15">
      <c r="A2099" s="81" t="s">
        <v>401</v>
      </c>
      <c r="B2099" s="80" t="s">
        <v>2477</v>
      </c>
      <c r="C2099" s="89" t="s">
        <v>1052</v>
      </c>
    </row>
    <row r="2100" spans="1:3" ht="15">
      <c r="A2100" s="81" t="s">
        <v>401</v>
      </c>
      <c r="B2100" s="80" t="s">
        <v>2705</v>
      </c>
      <c r="C2100" s="89" t="s">
        <v>1052</v>
      </c>
    </row>
    <row r="2101" spans="1:3" ht="15">
      <c r="A2101" s="81" t="s">
        <v>401</v>
      </c>
      <c r="B2101" s="80" t="s">
        <v>2706</v>
      </c>
      <c r="C2101" s="89" t="s">
        <v>1052</v>
      </c>
    </row>
    <row r="2102" spans="1:3" ht="15">
      <c r="A2102" s="81" t="s">
        <v>401</v>
      </c>
      <c r="B2102" s="80" t="s">
        <v>2707</v>
      </c>
      <c r="C2102" s="89" t="s">
        <v>1052</v>
      </c>
    </row>
    <row r="2103" spans="1:3" ht="15">
      <c r="A2103" s="81" t="s">
        <v>401</v>
      </c>
      <c r="B2103" s="80" t="s">
        <v>2708</v>
      </c>
      <c r="C2103" s="89" t="s">
        <v>1052</v>
      </c>
    </row>
    <row r="2104" spans="1:3" ht="15">
      <c r="A2104" s="81" t="s">
        <v>401</v>
      </c>
      <c r="B2104" s="80" t="s">
        <v>2488</v>
      </c>
      <c r="C2104" s="89" t="s">
        <v>1052</v>
      </c>
    </row>
    <row r="2105" spans="1:3" ht="15">
      <c r="A2105" s="81" t="s">
        <v>401</v>
      </c>
      <c r="B2105" s="80" t="s">
        <v>2709</v>
      </c>
      <c r="C2105" s="89" t="s">
        <v>1052</v>
      </c>
    </row>
    <row r="2106" spans="1:3" ht="15">
      <c r="A2106" s="81" t="s">
        <v>401</v>
      </c>
      <c r="B2106" s="80" t="s">
        <v>2710</v>
      </c>
      <c r="C2106" s="89" t="s">
        <v>1052</v>
      </c>
    </row>
    <row r="2107" spans="1:3" ht="15">
      <c r="A2107" s="81" t="s">
        <v>401</v>
      </c>
      <c r="B2107" s="80" t="s">
        <v>2478</v>
      </c>
      <c r="C2107" s="89" t="s">
        <v>1052</v>
      </c>
    </row>
    <row r="2108" spans="1:3" ht="15">
      <c r="A2108" s="81" t="s">
        <v>401</v>
      </c>
      <c r="B2108" s="80" t="s">
        <v>2476</v>
      </c>
      <c r="C2108" s="89" t="s">
        <v>1052</v>
      </c>
    </row>
    <row r="2109" spans="1:3" ht="15">
      <c r="A2109" s="81" t="s">
        <v>401</v>
      </c>
      <c r="B2109" s="80" t="s">
        <v>2711</v>
      </c>
      <c r="C2109" s="89" t="s">
        <v>1052</v>
      </c>
    </row>
    <row r="2110" spans="1:3" ht="15">
      <c r="A2110" s="81" t="s">
        <v>401</v>
      </c>
      <c r="B2110" s="80" t="s">
        <v>65</v>
      </c>
      <c r="C2110" s="89" t="s">
        <v>1052</v>
      </c>
    </row>
    <row r="2111" spans="1:3" ht="15">
      <c r="A2111" s="81" t="s">
        <v>401</v>
      </c>
      <c r="B2111" s="80" t="s">
        <v>2491</v>
      </c>
      <c r="C2111" s="89" t="s">
        <v>1052</v>
      </c>
    </row>
    <row r="2112" spans="1:3" ht="15">
      <c r="A2112" s="81" t="s">
        <v>400</v>
      </c>
      <c r="B2112" s="80" t="s">
        <v>2700</v>
      </c>
      <c r="C2112" s="89" t="s">
        <v>1051</v>
      </c>
    </row>
    <row r="2113" spans="1:3" ht="15">
      <c r="A2113" s="81" t="s">
        <v>400</v>
      </c>
      <c r="B2113" s="80" t="s">
        <v>2480</v>
      </c>
      <c r="C2113" s="89" t="s">
        <v>1051</v>
      </c>
    </row>
    <row r="2114" spans="1:3" ht="15">
      <c r="A2114" s="81" t="s">
        <v>400</v>
      </c>
      <c r="B2114" s="80" t="s">
        <v>2481</v>
      </c>
      <c r="C2114" s="89" t="s">
        <v>1051</v>
      </c>
    </row>
    <row r="2115" spans="1:3" ht="15">
      <c r="A2115" s="81" t="s">
        <v>400</v>
      </c>
      <c r="B2115" s="80" t="s">
        <v>2701</v>
      </c>
      <c r="C2115" s="89" t="s">
        <v>1051</v>
      </c>
    </row>
    <row r="2116" spans="1:3" ht="15">
      <c r="A2116" s="81" t="s">
        <v>400</v>
      </c>
      <c r="B2116" s="80" t="s">
        <v>2702</v>
      </c>
      <c r="C2116" s="89" t="s">
        <v>1051</v>
      </c>
    </row>
    <row r="2117" spans="1:3" ht="15">
      <c r="A2117" s="81" t="s">
        <v>400</v>
      </c>
      <c r="B2117" s="80" t="s">
        <v>2483</v>
      </c>
      <c r="C2117" s="89" t="s">
        <v>1051</v>
      </c>
    </row>
    <row r="2118" spans="1:3" ht="15">
      <c r="A2118" s="81" t="s">
        <v>400</v>
      </c>
      <c r="B2118" s="80" t="s">
        <v>2484</v>
      </c>
      <c r="C2118" s="89" t="s">
        <v>1051</v>
      </c>
    </row>
    <row r="2119" spans="1:3" ht="15">
      <c r="A2119" s="81" t="s">
        <v>400</v>
      </c>
      <c r="B2119" s="80" t="s">
        <v>2703</v>
      </c>
      <c r="C2119" s="89" t="s">
        <v>1051</v>
      </c>
    </row>
    <row r="2120" spans="1:3" ht="15">
      <c r="A2120" s="81" t="s">
        <v>400</v>
      </c>
      <c r="B2120" s="80" t="s">
        <v>2485</v>
      </c>
      <c r="C2120" s="89" t="s">
        <v>1051</v>
      </c>
    </row>
    <row r="2121" spans="1:3" ht="15">
      <c r="A2121" s="81" t="s">
        <v>400</v>
      </c>
      <c r="B2121" s="80" t="s">
        <v>2693</v>
      </c>
      <c r="C2121" s="89" t="s">
        <v>1051</v>
      </c>
    </row>
    <row r="2122" spans="1:3" ht="15">
      <c r="A2122" s="81" t="s">
        <v>400</v>
      </c>
      <c r="B2122" s="80" t="s">
        <v>2486</v>
      </c>
      <c r="C2122" s="89" t="s">
        <v>1051</v>
      </c>
    </row>
    <row r="2123" spans="1:3" ht="15">
      <c r="A2123" s="81" t="s">
        <v>400</v>
      </c>
      <c r="B2123" s="80" t="s">
        <v>2704</v>
      </c>
      <c r="C2123" s="89" t="s">
        <v>1051</v>
      </c>
    </row>
    <row r="2124" spans="1:3" ht="15">
      <c r="A2124" s="81" t="s">
        <v>400</v>
      </c>
      <c r="B2124" s="80" t="s">
        <v>2691</v>
      </c>
      <c r="C2124" s="89" t="s">
        <v>1051</v>
      </c>
    </row>
    <row r="2125" spans="1:3" ht="15">
      <c r="A2125" s="81" t="s">
        <v>400</v>
      </c>
      <c r="B2125" s="80" t="s">
        <v>2692</v>
      </c>
      <c r="C2125" s="89" t="s">
        <v>1051</v>
      </c>
    </row>
    <row r="2126" spans="1:3" ht="15">
      <c r="A2126" s="81" t="s">
        <v>400</v>
      </c>
      <c r="B2126" s="80" t="s">
        <v>2477</v>
      </c>
      <c r="C2126" s="89" t="s">
        <v>1051</v>
      </c>
    </row>
    <row r="2127" spans="1:3" ht="15">
      <c r="A2127" s="81" t="s">
        <v>400</v>
      </c>
      <c r="B2127" s="80" t="s">
        <v>2705</v>
      </c>
      <c r="C2127" s="89" t="s">
        <v>1051</v>
      </c>
    </row>
    <row r="2128" spans="1:3" ht="15">
      <c r="A2128" s="81" t="s">
        <v>400</v>
      </c>
      <c r="B2128" s="80" t="s">
        <v>2706</v>
      </c>
      <c r="C2128" s="89" t="s">
        <v>1051</v>
      </c>
    </row>
    <row r="2129" spans="1:3" ht="15">
      <c r="A2129" s="81" t="s">
        <v>400</v>
      </c>
      <c r="B2129" s="80" t="s">
        <v>2707</v>
      </c>
      <c r="C2129" s="89" t="s">
        <v>1051</v>
      </c>
    </row>
    <row r="2130" spans="1:3" ht="15">
      <c r="A2130" s="81" t="s">
        <v>400</v>
      </c>
      <c r="B2130" s="80" t="s">
        <v>2708</v>
      </c>
      <c r="C2130" s="89" t="s">
        <v>1051</v>
      </c>
    </row>
    <row r="2131" spans="1:3" ht="15">
      <c r="A2131" s="81" t="s">
        <v>400</v>
      </c>
      <c r="B2131" s="80" t="s">
        <v>2488</v>
      </c>
      <c r="C2131" s="89" t="s">
        <v>1051</v>
      </c>
    </row>
    <row r="2132" spans="1:3" ht="15">
      <c r="A2132" s="81" t="s">
        <v>400</v>
      </c>
      <c r="B2132" s="80" t="s">
        <v>2709</v>
      </c>
      <c r="C2132" s="89" t="s">
        <v>1051</v>
      </c>
    </row>
    <row r="2133" spans="1:3" ht="15">
      <c r="A2133" s="81" t="s">
        <v>400</v>
      </c>
      <c r="B2133" s="80" t="s">
        <v>2710</v>
      </c>
      <c r="C2133" s="89" t="s">
        <v>1051</v>
      </c>
    </row>
    <row r="2134" spans="1:3" ht="15">
      <c r="A2134" s="81" t="s">
        <v>400</v>
      </c>
      <c r="B2134" s="80" t="s">
        <v>2478</v>
      </c>
      <c r="C2134" s="89" t="s">
        <v>1051</v>
      </c>
    </row>
    <row r="2135" spans="1:3" ht="15">
      <c r="A2135" s="81" t="s">
        <v>400</v>
      </c>
      <c r="B2135" s="80" t="s">
        <v>2476</v>
      </c>
      <c r="C2135" s="89" t="s">
        <v>1051</v>
      </c>
    </row>
    <row r="2136" spans="1:3" ht="15">
      <c r="A2136" s="81" t="s">
        <v>400</v>
      </c>
      <c r="B2136" s="80" t="s">
        <v>2711</v>
      </c>
      <c r="C2136" s="89" t="s">
        <v>1051</v>
      </c>
    </row>
    <row r="2137" spans="1:3" ht="15">
      <c r="A2137" s="81" t="s">
        <v>400</v>
      </c>
      <c r="B2137" s="80" t="s">
        <v>65</v>
      </c>
      <c r="C2137" s="89" t="s">
        <v>1051</v>
      </c>
    </row>
    <row r="2138" spans="1:3" ht="15">
      <c r="A2138" s="81" t="s">
        <v>400</v>
      </c>
      <c r="B2138" s="80" t="s">
        <v>2491</v>
      </c>
      <c r="C2138" s="89" t="s">
        <v>1051</v>
      </c>
    </row>
    <row r="2139" spans="1:3" ht="15">
      <c r="A2139" s="81" t="s">
        <v>399</v>
      </c>
      <c r="B2139" s="80" t="s">
        <v>2700</v>
      </c>
      <c r="C2139" s="89" t="s">
        <v>1050</v>
      </c>
    </row>
    <row r="2140" spans="1:3" ht="15">
      <c r="A2140" s="81" t="s">
        <v>399</v>
      </c>
      <c r="B2140" s="80" t="s">
        <v>2480</v>
      </c>
      <c r="C2140" s="89" t="s">
        <v>1050</v>
      </c>
    </row>
    <row r="2141" spans="1:3" ht="15">
      <c r="A2141" s="81" t="s">
        <v>399</v>
      </c>
      <c r="B2141" s="80" t="s">
        <v>2481</v>
      </c>
      <c r="C2141" s="89" t="s">
        <v>1050</v>
      </c>
    </row>
    <row r="2142" spans="1:3" ht="15">
      <c r="A2142" s="81" t="s">
        <v>399</v>
      </c>
      <c r="B2142" s="80" t="s">
        <v>2701</v>
      </c>
      <c r="C2142" s="89" t="s">
        <v>1050</v>
      </c>
    </row>
    <row r="2143" spans="1:3" ht="15">
      <c r="A2143" s="81" t="s">
        <v>399</v>
      </c>
      <c r="B2143" s="80" t="s">
        <v>2702</v>
      </c>
      <c r="C2143" s="89" t="s">
        <v>1050</v>
      </c>
    </row>
    <row r="2144" spans="1:3" ht="15">
      <c r="A2144" s="81" t="s">
        <v>399</v>
      </c>
      <c r="B2144" s="80" t="s">
        <v>2483</v>
      </c>
      <c r="C2144" s="89" t="s">
        <v>1050</v>
      </c>
    </row>
    <row r="2145" spans="1:3" ht="15">
      <c r="A2145" s="81" t="s">
        <v>399</v>
      </c>
      <c r="B2145" s="80" t="s">
        <v>2484</v>
      </c>
      <c r="C2145" s="89" t="s">
        <v>1050</v>
      </c>
    </row>
    <row r="2146" spans="1:3" ht="15">
      <c r="A2146" s="81" t="s">
        <v>399</v>
      </c>
      <c r="B2146" s="80" t="s">
        <v>2703</v>
      </c>
      <c r="C2146" s="89" t="s">
        <v>1050</v>
      </c>
    </row>
    <row r="2147" spans="1:3" ht="15">
      <c r="A2147" s="81" t="s">
        <v>399</v>
      </c>
      <c r="B2147" s="80" t="s">
        <v>2485</v>
      </c>
      <c r="C2147" s="89" t="s">
        <v>1050</v>
      </c>
    </row>
    <row r="2148" spans="1:3" ht="15">
      <c r="A2148" s="81" t="s">
        <v>399</v>
      </c>
      <c r="B2148" s="80" t="s">
        <v>2693</v>
      </c>
      <c r="C2148" s="89" t="s">
        <v>1050</v>
      </c>
    </row>
    <row r="2149" spans="1:3" ht="15">
      <c r="A2149" s="81" t="s">
        <v>399</v>
      </c>
      <c r="B2149" s="80" t="s">
        <v>2486</v>
      </c>
      <c r="C2149" s="89" t="s">
        <v>1050</v>
      </c>
    </row>
    <row r="2150" spans="1:3" ht="15">
      <c r="A2150" s="81" t="s">
        <v>399</v>
      </c>
      <c r="B2150" s="80" t="s">
        <v>2704</v>
      </c>
      <c r="C2150" s="89" t="s">
        <v>1050</v>
      </c>
    </row>
    <row r="2151" spans="1:3" ht="15">
      <c r="A2151" s="81" t="s">
        <v>399</v>
      </c>
      <c r="B2151" s="80" t="s">
        <v>2691</v>
      </c>
      <c r="C2151" s="89" t="s">
        <v>1050</v>
      </c>
    </row>
    <row r="2152" spans="1:3" ht="15">
      <c r="A2152" s="81" t="s">
        <v>399</v>
      </c>
      <c r="B2152" s="80" t="s">
        <v>2692</v>
      </c>
      <c r="C2152" s="89" t="s">
        <v>1050</v>
      </c>
    </row>
    <row r="2153" spans="1:3" ht="15">
      <c r="A2153" s="81" t="s">
        <v>399</v>
      </c>
      <c r="B2153" s="80" t="s">
        <v>2477</v>
      </c>
      <c r="C2153" s="89" t="s">
        <v>1050</v>
      </c>
    </row>
    <row r="2154" spans="1:3" ht="15">
      <c r="A2154" s="81" t="s">
        <v>399</v>
      </c>
      <c r="B2154" s="80" t="s">
        <v>2705</v>
      </c>
      <c r="C2154" s="89" t="s">
        <v>1050</v>
      </c>
    </row>
    <row r="2155" spans="1:3" ht="15">
      <c r="A2155" s="81" t="s">
        <v>399</v>
      </c>
      <c r="B2155" s="80" t="s">
        <v>2706</v>
      </c>
      <c r="C2155" s="89" t="s">
        <v>1050</v>
      </c>
    </row>
    <row r="2156" spans="1:3" ht="15">
      <c r="A2156" s="81" t="s">
        <v>399</v>
      </c>
      <c r="B2156" s="80" t="s">
        <v>2707</v>
      </c>
      <c r="C2156" s="89" t="s">
        <v>1050</v>
      </c>
    </row>
    <row r="2157" spans="1:3" ht="15">
      <c r="A2157" s="81" t="s">
        <v>399</v>
      </c>
      <c r="B2157" s="80" t="s">
        <v>2708</v>
      </c>
      <c r="C2157" s="89" t="s">
        <v>1050</v>
      </c>
    </row>
    <row r="2158" spans="1:3" ht="15">
      <c r="A2158" s="81" t="s">
        <v>399</v>
      </c>
      <c r="B2158" s="80" t="s">
        <v>2488</v>
      </c>
      <c r="C2158" s="89" t="s">
        <v>1050</v>
      </c>
    </row>
    <row r="2159" spans="1:3" ht="15">
      <c r="A2159" s="81" t="s">
        <v>399</v>
      </c>
      <c r="B2159" s="80" t="s">
        <v>2709</v>
      </c>
      <c r="C2159" s="89" t="s">
        <v>1050</v>
      </c>
    </row>
    <row r="2160" spans="1:3" ht="15">
      <c r="A2160" s="81" t="s">
        <v>399</v>
      </c>
      <c r="B2160" s="80" t="s">
        <v>2710</v>
      </c>
      <c r="C2160" s="89" t="s">
        <v>1050</v>
      </c>
    </row>
    <row r="2161" spans="1:3" ht="15">
      <c r="A2161" s="81" t="s">
        <v>399</v>
      </c>
      <c r="B2161" s="80" t="s">
        <v>2478</v>
      </c>
      <c r="C2161" s="89" t="s">
        <v>1050</v>
      </c>
    </row>
    <row r="2162" spans="1:3" ht="15">
      <c r="A2162" s="81" t="s">
        <v>399</v>
      </c>
      <c r="B2162" s="80" t="s">
        <v>2476</v>
      </c>
      <c r="C2162" s="89" t="s">
        <v>1050</v>
      </c>
    </row>
    <row r="2163" spans="1:3" ht="15">
      <c r="A2163" s="81" t="s">
        <v>399</v>
      </c>
      <c r="B2163" s="80" t="s">
        <v>2711</v>
      </c>
      <c r="C2163" s="89" t="s">
        <v>1050</v>
      </c>
    </row>
    <row r="2164" spans="1:3" ht="15">
      <c r="A2164" s="81" t="s">
        <v>399</v>
      </c>
      <c r="B2164" s="80" t="s">
        <v>65</v>
      </c>
      <c r="C2164" s="89" t="s">
        <v>1050</v>
      </c>
    </row>
    <row r="2165" spans="1:3" ht="15">
      <c r="A2165" s="81" t="s">
        <v>399</v>
      </c>
      <c r="B2165" s="80" t="s">
        <v>2491</v>
      </c>
      <c r="C2165" s="89" t="s">
        <v>1050</v>
      </c>
    </row>
    <row r="2166" spans="1:3" ht="15">
      <c r="A2166" s="81" t="s">
        <v>398</v>
      </c>
      <c r="B2166" s="80" t="s">
        <v>2700</v>
      </c>
      <c r="C2166" s="89" t="s">
        <v>1049</v>
      </c>
    </row>
    <row r="2167" spans="1:3" ht="15">
      <c r="A2167" s="81" t="s">
        <v>398</v>
      </c>
      <c r="B2167" s="80" t="s">
        <v>2480</v>
      </c>
      <c r="C2167" s="89" t="s">
        <v>1049</v>
      </c>
    </row>
    <row r="2168" spans="1:3" ht="15">
      <c r="A2168" s="81" t="s">
        <v>398</v>
      </c>
      <c r="B2168" s="80" t="s">
        <v>2481</v>
      </c>
      <c r="C2168" s="89" t="s">
        <v>1049</v>
      </c>
    </row>
    <row r="2169" spans="1:3" ht="15">
      <c r="A2169" s="81" t="s">
        <v>398</v>
      </c>
      <c r="B2169" s="80" t="s">
        <v>2701</v>
      </c>
      <c r="C2169" s="89" t="s">
        <v>1049</v>
      </c>
    </row>
    <row r="2170" spans="1:3" ht="15">
      <c r="A2170" s="81" t="s">
        <v>398</v>
      </c>
      <c r="B2170" s="80" t="s">
        <v>2702</v>
      </c>
      <c r="C2170" s="89" t="s">
        <v>1049</v>
      </c>
    </row>
    <row r="2171" spans="1:3" ht="15">
      <c r="A2171" s="81" t="s">
        <v>398</v>
      </c>
      <c r="B2171" s="80" t="s">
        <v>2483</v>
      </c>
      <c r="C2171" s="89" t="s">
        <v>1049</v>
      </c>
    </row>
    <row r="2172" spans="1:3" ht="15">
      <c r="A2172" s="81" t="s">
        <v>398</v>
      </c>
      <c r="B2172" s="80" t="s">
        <v>2484</v>
      </c>
      <c r="C2172" s="89" t="s">
        <v>1049</v>
      </c>
    </row>
    <row r="2173" spans="1:3" ht="15">
      <c r="A2173" s="81" t="s">
        <v>398</v>
      </c>
      <c r="B2173" s="80" t="s">
        <v>2703</v>
      </c>
      <c r="C2173" s="89" t="s">
        <v>1049</v>
      </c>
    </row>
    <row r="2174" spans="1:3" ht="15">
      <c r="A2174" s="81" t="s">
        <v>398</v>
      </c>
      <c r="B2174" s="80" t="s">
        <v>2485</v>
      </c>
      <c r="C2174" s="89" t="s">
        <v>1049</v>
      </c>
    </row>
    <row r="2175" spans="1:3" ht="15">
      <c r="A2175" s="81" t="s">
        <v>398</v>
      </c>
      <c r="B2175" s="80" t="s">
        <v>2693</v>
      </c>
      <c r="C2175" s="89" t="s">
        <v>1049</v>
      </c>
    </row>
    <row r="2176" spans="1:3" ht="15">
      <c r="A2176" s="81" t="s">
        <v>398</v>
      </c>
      <c r="B2176" s="80" t="s">
        <v>2486</v>
      </c>
      <c r="C2176" s="89" t="s">
        <v>1049</v>
      </c>
    </row>
    <row r="2177" spans="1:3" ht="15">
      <c r="A2177" s="81" t="s">
        <v>398</v>
      </c>
      <c r="B2177" s="80" t="s">
        <v>2704</v>
      </c>
      <c r="C2177" s="89" t="s">
        <v>1049</v>
      </c>
    </row>
    <row r="2178" spans="1:3" ht="15">
      <c r="A2178" s="81" t="s">
        <v>398</v>
      </c>
      <c r="B2178" s="80" t="s">
        <v>2691</v>
      </c>
      <c r="C2178" s="89" t="s">
        <v>1049</v>
      </c>
    </row>
    <row r="2179" spans="1:3" ht="15">
      <c r="A2179" s="81" t="s">
        <v>398</v>
      </c>
      <c r="B2179" s="80" t="s">
        <v>2692</v>
      </c>
      <c r="C2179" s="89" t="s">
        <v>1049</v>
      </c>
    </row>
    <row r="2180" spans="1:3" ht="15">
      <c r="A2180" s="81" t="s">
        <v>398</v>
      </c>
      <c r="B2180" s="80" t="s">
        <v>2477</v>
      </c>
      <c r="C2180" s="89" t="s">
        <v>1049</v>
      </c>
    </row>
    <row r="2181" spans="1:3" ht="15">
      <c r="A2181" s="81" t="s">
        <v>398</v>
      </c>
      <c r="B2181" s="80" t="s">
        <v>2705</v>
      </c>
      <c r="C2181" s="89" t="s">
        <v>1049</v>
      </c>
    </row>
    <row r="2182" spans="1:3" ht="15">
      <c r="A2182" s="81" t="s">
        <v>398</v>
      </c>
      <c r="B2182" s="80" t="s">
        <v>2706</v>
      </c>
      <c r="C2182" s="89" t="s">
        <v>1049</v>
      </c>
    </row>
    <row r="2183" spans="1:3" ht="15">
      <c r="A2183" s="81" t="s">
        <v>398</v>
      </c>
      <c r="B2183" s="80" t="s">
        <v>2707</v>
      </c>
      <c r="C2183" s="89" t="s">
        <v>1049</v>
      </c>
    </row>
    <row r="2184" spans="1:3" ht="15">
      <c r="A2184" s="81" t="s">
        <v>398</v>
      </c>
      <c r="B2184" s="80" t="s">
        <v>2708</v>
      </c>
      <c r="C2184" s="89" t="s">
        <v>1049</v>
      </c>
    </row>
    <row r="2185" spans="1:3" ht="15">
      <c r="A2185" s="81" t="s">
        <v>398</v>
      </c>
      <c r="B2185" s="80" t="s">
        <v>2488</v>
      </c>
      <c r="C2185" s="89" t="s">
        <v>1049</v>
      </c>
    </row>
    <row r="2186" spans="1:3" ht="15">
      <c r="A2186" s="81" t="s">
        <v>398</v>
      </c>
      <c r="B2186" s="80" t="s">
        <v>2709</v>
      </c>
      <c r="C2186" s="89" t="s">
        <v>1049</v>
      </c>
    </row>
    <row r="2187" spans="1:3" ht="15">
      <c r="A2187" s="81" t="s">
        <v>398</v>
      </c>
      <c r="B2187" s="80" t="s">
        <v>2710</v>
      </c>
      <c r="C2187" s="89" t="s">
        <v>1049</v>
      </c>
    </row>
    <row r="2188" spans="1:3" ht="15">
      <c r="A2188" s="81" t="s">
        <v>398</v>
      </c>
      <c r="B2188" s="80" t="s">
        <v>2478</v>
      </c>
      <c r="C2188" s="89" t="s">
        <v>1049</v>
      </c>
    </row>
    <row r="2189" spans="1:3" ht="15">
      <c r="A2189" s="81" t="s">
        <v>398</v>
      </c>
      <c r="B2189" s="80" t="s">
        <v>2476</v>
      </c>
      <c r="C2189" s="89" t="s">
        <v>1049</v>
      </c>
    </row>
    <row r="2190" spans="1:3" ht="15">
      <c r="A2190" s="81" t="s">
        <v>398</v>
      </c>
      <c r="B2190" s="80" t="s">
        <v>2711</v>
      </c>
      <c r="C2190" s="89" t="s">
        <v>1049</v>
      </c>
    </row>
    <row r="2191" spans="1:3" ht="15">
      <c r="A2191" s="81" t="s">
        <v>398</v>
      </c>
      <c r="B2191" s="80" t="s">
        <v>65</v>
      </c>
      <c r="C2191" s="89" t="s">
        <v>1049</v>
      </c>
    </row>
    <row r="2192" spans="1:3" ht="15">
      <c r="A2192" s="81" t="s">
        <v>398</v>
      </c>
      <c r="B2192" s="80" t="s">
        <v>2491</v>
      </c>
      <c r="C2192" s="89" t="s">
        <v>1049</v>
      </c>
    </row>
    <row r="2193" spans="1:3" ht="15">
      <c r="A2193" s="81" t="s">
        <v>397</v>
      </c>
      <c r="B2193" s="80" t="s">
        <v>2700</v>
      </c>
      <c r="C2193" s="89" t="s">
        <v>1048</v>
      </c>
    </row>
    <row r="2194" spans="1:3" ht="15">
      <c r="A2194" s="81" t="s">
        <v>397</v>
      </c>
      <c r="B2194" s="80" t="s">
        <v>2480</v>
      </c>
      <c r="C2194" s="89" t="s">
        <v>1048</v>
      </c>
    </row>
    <row r="2195" spans="1:3" ht="15">
      <c r="A2195" s="81" t="s">
        <v>397</v>
      </c>
      <c r="B2195" s="80" t="s">
        <v>2481</v>
      </c>
      <c r="C2195" s="89" t="s">
        <v>1048</v>
      </c>
    </row>
    <row r="2196" spans="1:3" ht="15">
      <c r="A2196" s="81" t="s">
        <v>397</v>
      </c>
      <c r="B2196" s="80" t="s">
        <v>2701</v>
      </c>
      <c r="C2196" s="89" t="s">
        <v>1048</v>
      </c>
    </row>
    <row r="2197" spans="1:3" ht="15">
      <c r="A2197" s="81" t="s">
        <v>397</v>
      </c>
      <c r="B2197" s="80" t="s">
        <v>2702</v>
      </c>
      <c r="C2197" s="89" t="s">
        <v>1048</v>
      </c>
    </row>
    <row r="2198" spans="1:3" ht="15">
      <c r="A2198" s="81" t="s">
        <v>397</v>
      </c>
      <c r="B2198" s="80" t="s">
        <v>2483</v>
      </c>
      <c r="C2198" s="89" t="s">
        <v>1048</v>
      </c>
    </row>
    <row r="2199" spans="1:3" ht="15">
      <c r="A2199" s="81" t="s">
        <v>397</v>
      </c>
      <c r="B2199" s="80" t="s">
        <v>2484</v>
      </c>
      <c r="C2199" s="89" t="s">
        <v>1048</v>
      </c>
    </row>
    <row r="2200" spans="1:3" ht="15">
      <c r="A2200" s="81" t="s">
        <v>397</v>
      </c>
      <c r="B2200" s="80" t="s">
        <v>2703</v>
      </c>
      <c r="C2200" s="89" t="s">
        <v>1048</v>
      </c>
    </row>
    <row r="2201" spans="1:3" ht="15">
      <c r="A2201" s="81" t="s">
        <v>397</v>
      </c>
      <c r="B2201" s="80" t="s">
        <v>2485</v>
      </c>
      <c r="C2201" s="89" t="s">
        <v>1048</v>
      </c>
    </row>
    <row r="2202" spans="1:3" ht="15">
      <c r="A2202" s="81" t="s">
        <v>397</v>
      </c>
      <c r="B2202" s="80" t="s">
        <v>2693</v>
      </c>
      <c r="C2202" s="89" t="s">
        <v>1048</v>
      </c>
    </row>
    <row r="2203" spans="1:3" ht="15">
      <c r="A2203" s="81" t="s">
        <v>397</v>
      </c>
      <c r="B2203" s="80" t="s">
        <v>2486</v>
      </c>
      <c r="C2203" s="89" t="s">
        <v>1048</v>
      </c>
    </row>
    <row r="2204" spans="1:3" ht="15">
      <c r="A2204" s="81" t="s">
        <v>397</v>
      </c>
      <c r="B2204" s="80" t="s">
        <v>2704</v>
      </c>
      <c r="C2204" s="89" t="s">
        <v>1048</v>
      </c>
    </row>
    <row r="2205" spans="1:3" ht="15">
      <c r="A2205" s="81" t="s">
        <v>397</v>
      </c>
      <c r="B2205" s="80" t="s">
        <v>2691</v>
      </c>
      <c r="C2205" s="89" t="s">
        <v>1048</v>
      </c>
    </row>
    <row r="2206" spans="1:3" ht="15">
      <c r="A2206" s="81" t="s">
        <v>397</v>
      </c>
      <c r="B2206" s="80" t="s">
        <v>2692</v>
      </c>
      <c r="C2206" s="89" t="s">
        <v>1048</v>
      </c>
    </row>
    <row r="2207" spans="1:3" ht="15">
      <c r="A2207" s="81" t="s">
        <v>397</v>
      </c>
      <c r="B2207" s="80" t="s">
        <v>2477</v>
      </c>
      <c r="C2207" s="89" t="s">
        <v>1048</v>
      </c>
    </row>
    <row r="2208" spans="1:3" ht="15">
      <c r="A2208" s="81" t="s">
        <v>397</v>
      </c>
      <c r="B2208" s="80" t="s">
        <v>2705</v>
      </c>
      <c r="C2208" s="89" t="s">
        <v>1048</v>
      </c>
    </row>
    <row r="2209" spans="1:3" ht="15">
      <c r="A2209" s="81" t="s">
        <v>397</v>
      </c>
      <c r="B2209" s="80" t="s">
        <v>2706</v>
      </c>
      <c r="C2209" s="89" t="s">
        <v>1048</v>
      </c>
    </row>
    <row r="2210" spans="1:3" ht="15">
      <c r="A2210" s="81" t="s">
        <v>397</v>
      </c>
      <c r="B2210" s="80" t="s">
        <v>2707</v>
      </c>
      <c r="C2210" s="89" t="s">
        <v>1048</v>
      </c>
    </row>
    <row r="2211" spans="1:3" ht="15">
      <c r="A2211" s="81" t="s">
        <v>397</v>
      </c>
      <c r="B2211" s="80" t="s">
        <v>2708</v>
      </c>
      <c r="C2211" s="89" t="s">
        <v>1048</v>
      </c>
    </row>
    <row r="2212" spans="1:3" ht="15">
      <c r="A2212" s="81" t="s">
        <v>397</v>
      </c>
      <c r="B2212" s="80" t="s">
        <v>2488</v>
      </c>
      <c r="C2212" s="89" t="s">
        <v>1048</v>
      </c>
    </row>
    <row r="2213" spans="1:3" ht="15">
      <c r="A2213" s="81" t="s">
        <v>397</v>
      </c>
      <c r="B2213" s="80" t="s">
        <v>2709</v>
      </c>
      <c r="C2213" s="89" t="s">
        <v>1048</v>
      </c>
    </row>
    <row r="2214" spans="1:3" ht="15">
      <c r="A2214" s="81" t="s">
        <v>397</v>
      </c>
      <c r="B2214" s="80" t="s">
        <v>2710</v>
      </c>
      <c r="C2214" s="89" t="s">
        <v>1048</v>
      </c>
    </row>
    <row r="2215" spans="1:3" ht="15">
      <c r="A2215" s="81" t="s">
        <v>397</v>
      </c>
      <c r="B2215" s="80" t="s">
        <v>2478</v>
      </c>
      <c r="C2215" s="89" t="s">
        <v>1048</v>
      </c>
    </row>
    <row r="2216" spans="1:3" ht="15">
      <c r="A2216" s="81" t="s">
        <v>397</v>
      </c>
      <c r="B2216" s="80" t="s">
        <v>2476</v>
      </c>
      <c r="C2216" s="89" t="s">
        <v>1048</v>
      </c>
    </row>
    <row r="2217" spans="1:3" ht="15">
      <c r="A2217" s="81" t="s">
        <v>397</v>
      </c>
      <c r="B2217" s="80" t="s">
        <v>2711</v>
      </c>
      <c r="C2217" s="89" t="s">
        <v>1048</v>
      </c>
    </row>
    <row r="2218" spans="1:3" ht="15">
      <c r="A2218" s="81" t="s">
        <v>397</v>
      </c>
      <c r="B2218" s="80" t="s">
        <v>65</v>
      </c>
      <c r="C2218" s="89" t="s">
        <v>1048</v>
      </c>
    </row>
    <row r="2219" spans="1:3" ht="15">
      <c r="A2219" s="81" t="s">
        <v>397</v>
      </c>
      <c r="B2219" s="80" t="s">
        <v>2491</v>
      </c>
      <c r="C2219" s="89" t="s">
        <v>1048</v>
      </c>
    </row>
    <row r="2220" spans="1:3" ht="15">
      <c r="A2220" s="81" t="s">
        <v>396</v>
      </c>
      <c r="B2220" s="80" t="s">
        <v>2700</v>
      </c>
      <c r="C2220" s="89" t="s">
        <v>1047</v>
      </c>
    </row>
    <row r="2221" spans="1:3" ht="15">
      <c r="A2221" s="81" t="s">
        <v>396</v>
      </c>
      <c r="B2221" s="80" t="s">
        <v>2480</v>
      </c>
      <c r="C2221" s="89" t="s">
        <v>1047</v>
      </c>
    </row>
    <row r="2222" spans="1:3" ht="15">
      <c r="A2222" s="81" t="s">
        <v>396</v>
      </c>
      <c r="B2222" s="80" t="s">
        <v>2481</v>
      </c>
      <c r="C2222" s="89" t="s">
        <v>1047</v>
      </c>
    </row>
    <row r="2223" spans="1:3" ht="15">
      <c r="A2223" s="81" t="s">
        <v>396</v>
      </c>
      <c r="B2223" s="80" t="s">
        <v>2701</v>
      </c>
      <c r="C2223" s="89" t="s">
        <v>1047</v>
      </c>
    </row>
    <row r="2224" spans="1:3" ht="15">
      <c r="A2224" s="81" t="s">
        <v>396</v>
      </c>
      <c r="B2224" s="80" t="s">
        <v>2702</v>
      </c>
      <c r="C2224" s="89" t="s">
        <v>1047</v>
      </c>
    </row>
    <row r="2225" spans="1:3" ht="15">
      <c r="A2225" s="81" t="s">
        <v>396</v>
      </c>
      <c r="B2225" s="80" t="s">
        <v>2483</v>
      </c>
      <c r="C2225" s="89" t="s">
        <v>1047</v>
      </c>
    </row>
    <row r="2226" spans="1:3" ht="15">
      <c r="A2226" s="81" t="s">
        <v>396</v>
      </c>
      <c r="B2226" s="80" t="s">
        <v>2484</v>
      </c>
      <c r="C2226" s="89" t="s">
        <v>1047</v>
      </c>
    </row>
    <row r="2227" spans="1:3" ht="15">
      <c r="A2227" s="81" t="s">
        <v>396</v>
      </c>
      <c r="B2227" s="80" t="s">
        <v>2703</v>
      </c>
      <c r="C2227" s="89" t="s">
        <v>1047</v>
      </c>
    </row>
    <row r="2228" spans="1:3" ht="15">
      <c r="A2228" s="81" t="s">
        <v>396</v>
      </c>
      <c r="B2228" s="80" t="s">
        <v>2485</v>
      </c>
      <c r="C2228" s="89" t="s">
        <v>1047</v>
      </c>
    </row>
    <row r="2229" spans="1:3" ht="15">
      <c r="A2229" s="81" t="s">
        <v>396</v>
      </c>
      <c r="B2229" s="80" t="s">
        <v>2693</v>
      </c>
      <c r="C2229" s="89" t="s">
        <v>1047</v>
      </c>
    </row>
    <row r="2230" spans="1:3" ht="15">
      <c r="A2230" s="81" t="s">
        <v>396</v>
      </c>
      <c r="B2230" s="80" t="s">
        <v>2486</v>
      </c>
      <c r="C2230" s="89" t="s">
        <v>1047</v>
      </c>
    </row>
    <row r="2231" spans="1:3" ht="15">
      <c r="A2231" s="81" t="s">
        <v>396</v>
      </c>
      <c r="B2231" s="80" t="s">
        <v>2704</v>
      </c>
      <c r="C2231" s="89" t="s">
        <v>1047</v>
      </c>
    </row>
    <row r="2232" spans="1:3" ht="15">
      <c r="A2232" s="81" t="s">
        <v>396</v>
      </c>
      <c r="B2232" s="80" t="s">
        <v>2691</v>
      </c>
      <c r="C2232" s="89" t="s">
        <v>1047</v>
      </c>
    </row>
    <row r="2233" spans="1:3" ht="15">
      <c r="A2233" s="81" t="s">
        <v>396</v>
      </c>
      <c r="B2233" s="80" t="s">
        <v>2692</v>
      </c>
      <c r="C2233" s="89" t="s">
        <v>1047</v>
      </c>
    </row>
    <row r="2234" spans="1:3" ht="15">
      <c r="A2234" s="81" t="s">
        <v>396</v>
      </c>
      <c r="B2234" s="80" t="s">
        <v>2477</v>
      </c>
      <c r="C2234" s="89" t="s">
        <v>1047</v>
      </c>
    </row>
    <row r="2235" spans="1:3" ht="15">
      <c r="A2235" s="81" t="s">
        <v>396</v>
      </c>
      <c r="B2235" s="80" t="s">
        <v>2705</v>
      </c>
      <c r="C2235" s="89" t="s">
        <v>1047</v>
      </c>
    </row>
    <row r="2236" spans="1:3" ht="15">
      <c r="A2236" s="81" t="s">
        <v>396</v>
      </c>
      <c r="B2236" s="80" t="s">
        <v>2706</v>
      </c>
      <c r="C2236" s="89" t="s">
        <v>1047</v>
      </c>
    </row>
    <row r="2237" spans="1:3" ht="15">
      <c r="A2237" s="81" t="s">
        <v>396</v>
      </c>
      <c r="B2237" s="80" t="s">
        <v>2707</v>
      </c>
      <c r="C2237" s="89" t="s">
        <v>1047</v>
      </c>
    </row>
    <row r="2238" spans="1:3" ht="15">
      <c r="A2238" s="81" t="s">
        <v>396</v>
      </c>
      <c r="B2238" s="80" t="s">
        <v>2708</v>
      </c>
      <c r="C2238" s="89" t="s">
        <v>1047</v>
      </c>
    </row>
    <row r="2239" spans="1:3" ht="15">
      <c r="A2239" s="81" t="s">
        <v>396</v>
      </c>
      <c r="B2239" s="80" t="s">
        <v>2488</v>
      </c>
      <c r="C2239" s="89" t="s">
        <v>1047</v>
      </c>
    </row>
    <row r="2240" spans="1:3" ht="15">
      <c r="A2240" s="81" t="s">
        <v>396</v>
      </c>
      <c r="B2240" s="80" t="s">
        <v>2709</v>
      </c>
      <c r="C2240" s="89" t="s">
        <v>1047</v>
      </c>
    </row>
    <row r="2241" spans="1:3" ht="15">
      <c r="A2241" s="81" t="s">
        <v>396</v>
      </c>
      <c r="B2241" s="80" t="s">
        <v>2710</v>
      </c>
      <c r="C2241" s="89" t="s">
        <v>1047</v>
      </c>
    </row>
    <row r="2242" spans="1:3" ht="15">
      <c r="A2242" s="81" t="s">
        <v>396</v>
      </c>
      <c r="B2242" s="80" t="s">
        <v>2478</v>
      </c>
      <c r="C2242" s="89" t="s">
        <v>1047</v>
      </c>
    </row>
    <row r="2243" spans="1:3" ht="15">
      <c r="A2243" s="81" t="s">
        <v>396</v>
      </c>
      <c r="B2243" s="80" t="s">
        <v>2476</v>
      </c>
      <c r="C2243" s="89" t="s">
        <v>1047</v>
      </c>
    </row>
    <row r="2244" spans="1:3" ht="15">
      <c r="A2244" s="81" t="s">
        <v>396</v>
      </c>
      <c r="B2244" s="80" t="s">
        <v>2711</v>
      </c>
      <c r="C2244" s="89" t="s">
        <v>1047</v>
      </c>
    </row>
    <row r="2245" spans="1:3" ht="15">
      <c r="A2245" s="81" t="s">
        <v>396</v>
      </c>
      <c r="B2245" s="80" t="s">
        <v>65</v>
      </c>
      <c r="C2245" s="89" t="s">
        <v>1047</v>
      </c>
    </row>
    <row r="2246" spans="1:3" ht="15">
      <c r="A2246" s="81" t="s">
        <v>396</v>
      </c>
      <c r="B2246" s="80" t="s">
        <v>2491</v>
      </c>
      <c r="C2246" s="89" t="s">
        <v>1047</v>
      </c>
    </row>
    <row r="2247" spans="1:3" ht="15">
      <c r="A2247" s="81" t="s">
        <v>395</v>
      </c>
      <c r="B2247" s="80" t="s">
        <v>2700</v>
      </c>
      <c r="C2247" s="89" t="s">
        <v>1046</v>
      </c>
    </row>
    <row r="2248" spans="1:3" ht="15">
      <c r="A2248" s="81" t="s">
        <v>395</v>
      </c>
      <c r="B2248" s="80" t="s">
        <v>2480</v>
      </c>
      <c r="C2248" s="89" t="s">
        <v>1046</v>
      </c>
    </row>
    <row r="2249" spans="1:3" ht="15">
      <c r="A2249" s="81" t="s">
        <v>395</v>
      </c>
      <c r="B2249" s="80" t="s">
        <v>2481</v>
      </c>
      <c r="C2249" s="89" t="s">
        <v>1046</v>
      </c>
    </row>
    <row r="2250" spans="1:3" ht="15">
      <c r="A2250" s="81" t="s">
        <v>395</v>
      </c>
      <c r="B2250" s="80" t="s">
        <v>2701</v>
      </c>
      <c r="C2250" s="89" t="s">
        <v>1046</v>
      </c>
    </row>
    <row r="2251" spans="1:3" ht="15">
      <c r="A2251" s="81" t="s">
        <v>395</v>
      </c>
      <c r="B2251" s="80" t="s">
        <v>2702</v>
      </c>
      <c r="C2251" s="89" t="s">
        <v>1046</v>
      </c>
    </row>
    <row r="2252" spans="1:3" ht="15">
      <c r="A2252" s="81" t="s">
        <v>395</v>
      </c>
      <c r="B2252" s="80" t="s">
        <v>2483</v>
      </c>
      <c r="C2252" s="89" t="s">
        <v>1046</v>
      </c>
    </row>
    <row r="2253" spans="1:3" ht="15">
      <c r="A2253" s="81" t="s">
        <v>395</v>
      </c>
      <c r="B2253" s="80" t="s">
        <v>2484</v>
      </c>
      <c r="C2253" s="89" t="s">
        <v>1046</v>
      </c>
    </row>
    <row r="2254" spans="1:3" ht="15">
      <c r="A2254" s="81" t="s">
        <v>395</v>
      </c>
      <c r="B2254" s="80" t="s">
        <v>2703</v>
      </c>
      <c r="C2254" s="89" t="s">
        <v>1046</v>
      </c>
    </row>
    <row r="2255" spans="1:3" ht="15">
      <c r="A2255" s="81" t="s">
        <v>395</v>
      </c>
      <c r="B2255" s="80" t="s">
        <v>2485</v>
      </c>
      <c r="C2255" s="89" t="s">
        <v>1046</v>
      </c>
    </row>
    <row r="2256" spans="1:3" ht="15">
      <c r="A2256" s="81" t="s">
        <v>395</v>
      </c>
      <c r="B2256" s="80" t="s">
        <v>2693</v>
      </c>
      <c r="C2256" s="89" t="s">
        <v>1046</v>
      </c>
    </row>
    <row r="2257" spans="1:3" ht="15">
      <c r="A2257" s="81" t="s">
        <v>395</v>
      </c>
      <c r="B2257" s="80" t="s">
        <v>2486</v>
      </c>
      <c r="C2257" s="89" t="s">
        <v>1046</v>
      </c>
    </row>
    <row r="2258" spans="1:3" ht="15">
      <c r="A2258" s="81" t="s">
        <v>395</v>
      </c>
      <c r="B2258" s="80" t="s">
        <v>2704</v>
      </c>
      <c r="C2258" s="89" t="s">
        <v>1046</v>
      </c>
    </row>
    <row r="2259" spans="1:3" ht="15">
      <c r="A2259" s="81" t="s">
        <v>395</v>
      </c>
      <c r="B2259" s="80" t="s">
        <v>2691</v>
      </c>
      <c r="C2259" s="89" t="s">
        <v>1046</v>
      </c>
    </row>
    <row r="2260" spans="1:3" ht="15">
      <c r="A2260" s="81" t="s">
        <v>395</v>
      </c>
      <c r="B2260" s="80" t="s">
        <v>2692</v>
      </c>
      <c r="C2260" s="89" t="s">
        <v>1046</v>
      </c>
    </row>
    <row r="2261" spans="1:3" ht="15">
      <c r="A2261" s="81" t="s">
        <v>395</v>
      </c>
      <c r="B2261" s="80" t="s">
        <v>2477</v>
      </c>
      <c r="C2261" s="89" t="s">
        <v>1046</v>
      </c>
    </row>
    <row r="2262" spans="1:3" ht="15">
      <c r="A2262" s="81" t="s">
        <v>395</v>
      </c>
      <c r="B2262" s="80" t="s">
        <v>2705</v>
      </c>
      <c r="C2262" s="89" t="s">
        <v>1046</v>
      </c>
    </row>
    <row r="2263" spans="1:3" ht="15">
      <c r="A2263" s="81" t="s">
        <v>395</v>
      </c>
      <c r="B2263" s="80" t="s">
        <v>2706</v>
      </c>
      <c r="C2263" s="89" t="s">
        <v>1046</v>
      </c>
    </row>
    <row r="2264" spans="1:3" ht="15">
      <c r="A2264" s="81" t="s">
        <v>395</v>
      </c>
      <c r="B2264" s="80" t="s">
        <v>2707</v>
      </c>
      <c r="C2264" s="89" t="s">
        <v>1046</v>
      </c>
    </row>
    <row r="2265" spans="1:3" ht="15">
      <c r="A2265" s="81" t="s">
        <v>395</v>
      </c>
      <c r="B2265" s="80" t="s">
        <v>2708</v>
      </c>
      <c r="C2265" s="89" t="s">
        <v>1046</v>
      </c>
    </row>
    <row r="2266" spans="1:3" ht="15">
      <c r="A2266" s="81" t="s">
        <v>395</v>
      </c>
      <c r="B2266" s="80" t="s">
        <v>2488</v>
      </c>
      <c r="C2266" s="89" t="s">
        <v>1046</v>
      </c>
    </row>
    <row r="2267" spans="1:3" ht="15">
      <c r="A2267" s="81" t="s">
        <v>395</v>
      </c>
      <c r="B2267" s="80" t="s">
        <v>2709</v>
      </c>
      <c r="C2267" s="89" t="s">
        <v>1046</v>
      </c>
    </row>
    <row r="2268" spans="1:3" ht="15">
      <c r="A2268" s="81" t="s">
        <v>395</v>
      </c>
      <c r="B2268" s="80" t="s">
        <v>2710</v>
      </c>
      <c r="C2268" s="89" t="s">
        <v>1046</v>
      </c>
    </row>
    <row r="2269" spans="1:3" ht="15">
      <c r="A2269" s="81" t="s">
        <v>395</v>
      </c>
      <c r="B2269" s="80" t="s">
        <v>2478</v>
      </c>
      <c r="C2269" s="89" t="s">
        <v>1046</v>
      </c>
    </row>
    <row r="2270" spans="1:3" ht="15">
      <c r="A2270" s="81" t="s">
        <v>395</v>
      </c>
      <c r="B2270" s="80" t="s">
        <v>2476</v>
      </c>
      <c r="C2270" s="89" t="s">
        <v>1046</v>
      </c>
    </row>
    <row r="2271" spans="1:3" ht="15">
      <c r="A2271" s="81" t="s">
        <v>395</v>
      </c>
      <c r="B2271" s="80" t="s">
        <v>2711</v>
      </c>
      <c r="C2271" s="89" t="s">
        <v>1046</v>
      </c>
    </row>
    <row r="2272" spans="1:3" ht="15">
      <c r="A2272" s="81" t="s">
        <v>395</v>
      </c>
      <c r="B2272" s="80" t="s">
        <v>65</v>
      </c>
      <c r="C2272" s="89" t="s">
        <v>1046</v>
      </c>
    </row>
    <row r="2273" spans="1:3" ht="15">
      <c r="A2273" s="81" t="s">
        <v>395</v>
      </c>
      <c r="B2273" s="80" t="s">
        <v>2491</v>
      </c>
      <c r="C2273" s="89" t="s">
        <v>1046</v>
      </c>
    </row>
    <row r="2274" spans="1:3" ht="15">
      <c r="A2274" s="81" t="s">
        <v>394</v>
      </c>
      <c r="B2274" s="80" t="s">
        <v>2700</v>
      </c>
      <c r="C2274" s="89" t="s">
        <v>1045</v>
      </c>
    </row>
    <row r="2275" spans="1:3" ht="15">
      <c r="A2275" s="81" t="s">
        <v>394</v>
      </c>
      <c r="B2275" s="80" t="s">
        <v>2480</v>
      </c>
      <c r="C2275" s="89" t="s">
        <v>1045</v>
      </c>
    </row>
    <row r="2276" spans="1:3" ht="15">
      <c r="A2276" s="81" t="s">
        <v>394</v>
      </c>
      <c r="B2276" s="80" t="s">
        <v>2481</v>
      </c>
      <c r="C2276" s="89" t="s">
        <v>1045</v>
      </c>
    </row>
    <row r="2277" spans="1:3" ht="15">
      <c r="A2277" s="81" t="s">
        <v>394</v>
      </c>
      <c r="B2277" s="80" t="s">
        <v>2701</v>
      </c>
      <c r="C2277" s="89" t="s">
        <v>1045</v>
      </c>
    </row>
    <row r="2278" spans="1:3" ht="15">
      <c r="A2278" s="81" t="s">
        <v>394</v>
      </c>
      <c r="B2278" s="80" t="s">
        <v>2702</v>
      </c>
      <c r="C2278" s="89" t="s">
        <v>1045</v>
      </c>
    </row>
    <row r="2279" spans="1:3" ht="15">
      <c r="A2279" s="81" t="s">
        <v>394</v>
      </c>
      <c r="B2279" s="80" t="s">
        <v>2483</v>
      </c>
      <c r="C2279" s="89" t="s">
        <v>1045</v>
      </c>
    </row>
    <row r="2280" spans="1:3" ht="15">
      <c r="A2280" s="81" t="s">
        <v>394</v>
      </c>
      <c r="B2280" s="80" t="s">
        <v>2484</v>
      </c>
      <c r="C2280" s="89" t="s">
        <v>1045</v>
      </c>
    </row>
    <row r="2281" spans="1:3" ht="15">
      <c r="A2281" s="81" t="s">
        <v>394</v>
      </c>
      <c r="B2281" s="80" t="s">
        <v>2703</v>
      </c>
      <c r="C2281" s="89" t="s">
        <v>1045</v>
      </c>
    </row>
    <row r="2282" spans="1:3" ht="15">
      <c r="A2282" s="81" t="s">
        <v>394</v>
      </c>
      <c r="B2282" s="80" t="s">
        <v>2485</v>
      </c>
      <c r="C2282" s="89" t="s">
        <v>1045</v>
      </c>
    </row>
    <row r="2283" spans="1:3" ht="15">
      <c r="A2283" s="81" t="s">
        <v>394</v>
      </c>
      <c r="B2283" s="80" t="s">
        <v>2693</v>
      </c>
      <c r="C2283" s="89" t="s">
        <v>1045</v>
      </c>
    </row>
    <row r="2284" spans="1:3" ht="15">
      <c r="A2284" s="81" t="s">
        <v>394</v>
      </c>
      <c r="B2284" s="80" t="s">
        <v>2486</v>
      </c>
      <c r="C2284" s="89" t="s">
        <v>1045</v>
      </c>
    </row>
    <row r="2285" spans="1:3" ht="15">
      <c r="A2285" s="81" t="s">
        <v>394</v>
      </c>
      <c r="B2285" s="80" t="s">
        <v>2704</v>
      </c>
      <c r="C2285" s="89" t="s">
        <v>1045</v>
      </c>
    </row>
    <row r="2286" spans="1:3" ht="15">
      <c r="A2286" s="81" t="s">
        <v>394</v>
      </c>
      <c r="B2286" s="80" t="s">
        <v>2691</v>
      </c>
      <c r="C2286" s="89" t="s">
        <v>1045</v>
      </c>
    </row>
    <row r="2287" spans="1:3" ht="15">
      <c r="A2287" s="81" t="s">
        <v>394</v>
      </c>
      <c r="B2287" s="80" t="s">
        <v>2692</v>
      </c>
      <c r="C2287" s="89" t="s">
        <v>1045</v>
      </c>
    </row>
    <row r="2288" spans="1:3" ht="15">
      <c r="A2288" s="81" t="s">
        <v>394</v>
      </c>
      <c r="B2288" s="80" t="s">
        <v>2477</v>
      </c>
      <c r="C2288" s="89" t="s">
        <v>1045</v>
      </c>
    </row>
    <row r="2289" spans="1:3" ht="15">
      <c r="A2289" s="81" t="s">
        <v>394</v>
      </c>
      <c r="B2289" s="80" t="s">
        <v>2705</v>
      </c>
      <c r="C2289" s="89" t="s">
        <v>1045</v>
      </c>
    </row>
    <row r="2290" spans="1:3" ht="15">
      <c r="A2290" s="81" t="s">
        <v>394</v>
      </c>
      <c r="B2290" s="80" t="s">
        <v>2706</v>
      </c>
      <c r="C2290" s="89" t="s">
        <v>1045</v>
      </c>
    </row>
    <row r="2291" spans="1:3" ht="15">
      <c r="A2291" s="81" t="s">
        <v>394</v>
      </c>
      <c r="B2291" s="80" t="s">
        <v>2707</v>
      </c>
      <c r="C2291" s="89" t="s">
        <v>1045</v>
      </c>
    </row>
    <row r="2292" spans="1:3" ht="15">
      <c r="A2292" s="81" t="s">
        <v>394</v>
      </c>
      <c r="B2292" s="80" t="s">
        <v>2708</v>
      </c>
      <c r="C2292" s="89" t="s">
        <v>1045</v>
      </c>
    </row>
    <row r="2293" spans="1:3" ht="15">
      <c r="A2293" s="81" t="s">
        <v>394</v>
      </c>
      <c r="B2293" s="80" t="s">
        <v>2488</v>
      </c>
      <c r="C2293" s="89" t="s">
        <v>1045</v>
      </c>
    </row>
    <row r="2294" spans="1:3" ht="15">
      <c r="A2294" s="81" t="s">
        <v>394</v>
      </c>
      <c r="B2294" s="80" t="s">
        <v>2709</v>
      </c>
      <c r="C2294" s="89" t="s">
        <v>1045</v>
      </c>
    </row>
    <row r="2295" spans="1:3" ht="15">
      <c r="A2295" s="81" t="s">
        <v>394</v>
      </c>
      <c r="B2295" s="80" t="s">
        <v>2710</v>
      </c>
      <c r="C2295" s="89" t="s">
        <v>1045</v>
      </c>
    </row>
    <row r="2296" spans="1:3" ht="15">
      <c r="A2296" s="81" t="s">
        <v>394</v>
      </c>
      <c r="B2296" s="80" t="s">
        <v>2478</v>
      </c>
      <c r="C2296" s="89" t="s">
        <v>1045</v>
      </c>
    </row>
    <row r="2297" spans="1:3" ht="15">
      <c r="A2297" s="81" t="s">
        <v>394</v>
      </c>
      <c r="B2297" s="80" t="s">
        <v>2476</v>
      </c>
      <c r="C2297" s="89" t="s">
        <v>1045</v>
      </c>
    </row>
    <row r="2298" spans="1:3" ht="15">
      <c r="A2298" s="81" t="s">
        <v>394</v>
      </c>
      <c r="B2298" s="80" t="s">
        <v>2711</v>
      </c>
      <c r="C2298" s="89" t="s">
        <v>1045</v>
      </c>
    </row>
    <row r="2299" spans="1:3" ht="15">
      <c r="A2299" s="81" t="s">
        <v>394</v>
      </c>
      <c r="B2299" s="80" t="s">
        <v>65</v>
      </c>
      <c r="C2299" s="89" t="s">
        <v>1045</v>
      </c>
    </row>
    <row r="2300" spans="1:3" ht="15">
      <c r="A2300" s="81" t="s">
        <v>394</v>
      </c>
      <c r="B2300" s="80" t="s">
        <v>2491</v>
      </c>
      <c r="C2300" s="89" t="s">
        <v>1045</v>
      </c>
    </row>
    <row r="2301" spans="1:3" ht="15">
      <c r="A2301" s="81" t="s">
        <v>393</v>
      </c>
      <c r="B2301" s="80" t="s">
        <v>2700</v>
      </c>
      <c r="C2301" s="89" t="s">
        <v>1044</v>
      </c>
    </row>
    <row r="2302" spans="1:3" ht="15">
      <c r="A2302" s="81" t="s">
        <v>393</v>
      </c>
      <c r="B2302" s="80" t="s">
        <v>2480</v>
      </c>
      <c r="C2302" s="89" t="s">
        <v>1044</v>
      </c>
    </row>
    <row r="2303" spans="1:3" ht="15">
      <c r="A2303" s="81" t="s">
        <v>393</v>
      </c>
      <c r="B2303" s="80" t="s">
        <v>2481</v>
      </c>
      <c r="C2303" s="89" t="s">
        <v>1044</v>
      </c>
    </row>
    <row r="2304" spans="1:3" ht="15">
      <c r="A2304" s="81" t="s">
        <v>393</v>
      </c>
      <c r="B2304" s="80" t="s">
        <v>2701</v>
      </c>
      <c r="C2304" s="89" t="s">
        <v>1044</v>
      </c>
    </row>
    <row r="2305" spans="1:3" ht="15">
      <c r="A2305" s="81" t="s">
        <v>393</v>
      </c>
      <c r="B2305" s="80" t="s">
        <v>2702</v>
      </c>
      <c r="C2305" s="89" t="s">
        <v>1044</v>
      </c>
    </row>
    <row r="2306" spans="1:3" ht="15">
      <c r="A2306" s="81" t="s">
        <v>393</v>
      </c>
      <c r="B2306" s="80" t="s">
        <v>2483</v>
      </c>
      <c r="C2306" s="89" t="s">
        <v>1044</v>
      </c>
    </row>
    <row r="2307" spans="1:3" ht="15">
      <c r="A2307" s="81" t="s">
        <v>393</v>
      </c>
      <c r="B2307" s="80" t="s">
        <v>2484</v>
      </c>
      <c r="C2307" s="89" t="s">
        <v>1044</v>
      </c>
    </row>
    <row r="2308" spans="1:3" ht="15">
      <c r="A2308" s="81" t="s">
        <v>393</v>
      </c>
      <c r="B2308" s="80" t="s">
        <v>2703</v>
      </c>
      <c r="C2308" s="89" t="s">
        <v>1044</v>
      </c>
    </row>
    <row r="2309" spans="1:3" ht="15">
      <c r="A2309" s="81" t="s">
        <v>393</v>
      </c>
      <c r="B2309" s="80" t="s">
        <v>2485</v>
      </c>
      <c r="C2309" s="89" t="s">
        <v>1044</v>
      </c>
    </row>
    <row r="2310" spans="1:3" ht="15">
      <c r="A2310" s="81" t="s">
        <v>393</v>
      </c>
      <c r="B2310" s="80" t="s">
        <v>2693</v>
      </c>
      <c r="C2310" s="89" t="s">
        <v>1044</v>
      </c>
    </row>
    <row r="2311" spans="1:3" ht="15">
      <c r="A2311" s="81" t="s">
        <v>393</v>
      </c>
      <c r="B2311" s="80" t="s">
        <v>2486</v>
      </c>
      <c r="C2311" s="89" t="s">
        <v>1044</v>
      </c>
    </row>
    <row r="2312" spans="1:3" ht="15">
      <c r="A2312" s="81" t="s">
        <v>393</v>
      </c>
      <c r="B2312" s="80" t="s">
        <v>2704</v>
      </c>
      <c r="C2312" s="89" t="s">
        <v>1044</v>
      </c>
    </row>
    <row r="2313" spans="1:3" ht="15">
      <c r="A2313" s="81" t="s">
        <v>393</v>
      </c>
      <c r="B2313" s="80" t="s">
        <v>2691</v>
      </c>
      <c r="C2313" s="89" t="s">
        <v>1044</v>
      </c>
    </row>
    <row r="2314" spans="1:3" ht="15">
      <c r="A2314" s="81" t="s">
        <v>393</v>
      </c>
      <c r="B2314" s="80" t="s">
        <v>2692</v>
      </c>
      <c r="C2314" s="89" t="s">
        <v>1044</v>
      </c>
    </row>
    <row r="2315" spans="1:3" ht="15">
      <c r="A2315" s="81" t="s">
        <v>393</v>
      </c>
      <c r="B2315" s="80" t="s">
        <v>2477</v>
      </c>
      <c r="C2315" s="89" t="s">
        <v>1044</v>
      </c>
    </row>
    <row r="2316" spans="1:3" ht="15">
      <c r="A2316" s="81" t="s">
        <v>393</v>
      </c>
      <c r="B2316" s="80" t="s">
        <v>2705</v>
      </c>
      <c r="C2316" s="89" t="s">
        <v>1044</v>
      </c>
    </row>
    <row r="2317" spans="1:3" ht="15">
      <c r="A2317" s="81" t="s">
        <v>393</v>
      </c>
      <c r="B2317" s="80" t="s">
        <v>2706</v>
      </c>
      <c r="C2317" s="89" t="s">
        <v>1044</v>
      </c>
    </row>
    <row r="2318" spans="1:3" ht="15">
      <c r="A2318" s="81" t="s">
        <v>393</v>
      </c>
      <c r="B2318" s="80" t="s">
        <v>2707</v>
      </c>
      <c r="C2318" s="89" t="s">
        <v>1044</v>
      </c>
    </row>
    <row r="2319" spans="1:3" ht="15">
      <c r="A2319" s="81" t="s">
        <v>393</v>
      </c>
      <c r="B2319" s="80" t="s">
        <v>2708</v>
      </c>
      <c r="C2319" s="89" t="s">
        <v>1044</v>
      </c>
    </row>
    <row r="2320" spans="1:3" ht="15">
      <c r="A2320" s="81" t="s">
        <v>393</v>
      </c>
      <c r="B2320" s="80" t="s">
        <v>2488</v>
      </c>
      <c r="C2320" s="89" t="s">
        <v>1044</v>
      </c>
    </row>
    <row r="2321" spans="1:3" ht="15">
      <c r="A2321" s="81" t="s">
        <v>393</v>
      </c>
      <c r="B2321" s="80" t="s">
        <v>2709</v>
      </c>
      <c r="C2321" s="89" t="s">
        <v>1044</v>
      </c>
    </row>
    <row r="2322" spans="1:3" ht="15">
      <c r="A2322" s="81" t="s">
        <v>393</v>
      </c>
      <c r="B2322" s="80" t="s">
        <v>2710</v>
      </c>
      <c r="C2322" s="89" t="s">
        <v>1044</v>
      </c>
    </row>
    <row r="2323" spans="1:3" ht="15">
      <c r="A2323" s="81" t="s">
        <v>393</v>
      </c>
      <c r="B2323" s="80" t="s">
        <v>2478</v>
      </c>
      <c r="C2323" s="89" t="s">
        <v>1044</v>
      </c>
    </row>
    <row r="2324" spans="1:3" ht="15">
      <c r="A2324" s="81" t="s">
        <v>393</v>
      </c>
      <c r="B2324" s="80" t="s">
        <v>2476</v>
      </c>
      <c r="C2324" s="89" t="s">
        <v>1044</v>
      </c>
    </row>
    <row r="2325" spans="1:3" ht="15">
      <c r="A2325" s="81" t="s">
        <v>393</v>
      </c>
      <c r="B2325" s="80" t="s">
        <v>2711</v>
      </c>
      <c r="C2325" s="89" t="s">
        <v>1044</v>
      </c>
    </row>
    <row r="2326" spans="1:3" ht="15">
      <c r="A2326" s="81" t="s">
        <v>393</v>
      </c>
      <c r="B2326" s="80" t="s">
        <v>65</v>
      </c>
      <c r="C2326" s="89" t="s">
        <v>1044</v>
      </c>
    </row>
    <row r="2327" spans="1:3" ht="15">
      <c r="A2327" s="81" t="s">
        <v>393</v>
      </c>
      <c r="B2327" s="80" t="s">
        <v>2491</v>
      </c>
      <c r="C2327" s="89" t="s">
        <v>1044</v>
      </c>
    </row>
    <row r="2328" spans="1:3" ht="15">
      <c r="A2328" s="81" t="s">
        <v>392</v>
      </c>
      <c r="B2328" s="80" t="s">
        <v>2918</v>
      </c>
      <c r="C2328" s="89" t="s">
        <v>1043</v>
      </c>
    </row>
    <row r="2329" spans="1:3" ht="15">
      <c r="A2329" s="81" t="s">
        <v>392</v>
      </c>
      <c r="B2329" s="80" t="s">
        <v>2919</v>
      </c>
      <c r="C2329" s="89" t="s">
        <v>1043</v>
      </c>
    </row>
    <row r="2330" spans="1:3" ht="15">
      <c r="A2330" s="81" t="s">
        <v>392</v>
      </c>
      <c r="B2330" s="80" t="s">
        <v>2713</v>
      </c>
      <c r="C2330" s="89" t="s">
        <v>1043</v>
      </c>
    </row>
    <row r="2331" spans="1:3" ht="15">
      <c r="A2331" s="81" t="s">
        <v>392</v>
      </c>
      <c r="B2331" s="80" t="s">
        <v>2920</v>
      </c>
      <c r="C2331" s="89" t="s">
        <v>1043</v>
      </c>
    </row>
    <row r="2332" spans="1:3" ht="15">
      <c r="A2332" s="81" t="s">
        <v>392</v>
      </c>
      <c r="B2332" s="80" t="s">
        <v>2521</v>
      </c>
      <c r="C2332" s="89" t="s">
        <v>1043</v>
      </c>
    </row>
    <row r="2333" spans="1:3" ht="15">
      <c r="A2333" s="81" t="s">
        <v>392</v>
      </c>
      <c r="B2333" s="80" t="s">
        <v>2691</v>
      </c>
      <c r="C2333" s="89" t="s">
        <v>1043</v>
      </c>
    </row>
    <row r="2334" spans="1:3" ht="15">
      <c r="A2334" s="81" t="s">
        <v>392</v>
      </c>
      <c r="B2334" s="80" t="s">
        <v>2921</v>
      </c>
      <c r="C2334" s="89" t="s">
        <v>1043</v>
      </c>
    </row>
    <row r="2335" spans="1:3" ht="15">
      <c r="A2335" s="81" t="s">
        <v>392</v>
      </c>
      <c r="B2335" s="80" t="s">
        <v>2922</v>
      </c>
      <c r="C2335" s="89" t="s">
        <v>1043</v>
      </c>
    </row>
    <row r="2336" spans="1:3" ht="15">
      <c r="A2336" s="81" t="s">
        <v>392</v>
      </c>
      <c r="B2336" s="80" t="s">
        <v>2923</v>
      </c>
      <c r="C2336" s="89" t="s">
        <v>1043</v>
      </c>
    </row>
    <row r="2337" spans="1:3" ht="15">
      <c r="A2337" s="81" t="s">
        <v>392</v>
      </c>
      <c r="B2337" s="80" t="s">
        <v>2924</v>
      </c>
      <c r="C2337" s="89" t="s">
        <v>1043</v>
      </c>
    </row>
    <row r="2338" spans="1:3" ht="15">
      <c r="A2338" s="81" t="s">
        <v>392</v>
      </c>
      <c r="B2338" s="80" t="s">
        <v>2609</v>
      </c>
      <c r="C2338" s="89" t="s">
        <v>1043</v>
      </c>
    </row>
    <row r="2339" spans="1:3" ht="15">
      <c r="A2339" s="81" t="s">
        <v>392</v>
      </c>
      <c r="B2339" s="80" t="s">
        <v>2925</v>
      </c>
      <c r="C2339" s="89" t="s">
        <v>1043</v>
      </c>
    </row>
    <row r="2340" spans="1:3" ht="15">
      <c r="A2340" s="81" t="s">
        <v>392</v>
      </c>
      <c r="B2340" s="80" t="s">
        <v>2926</v>
      </c>
      <c r="C2340" s="89" t="s">
        <v>1043</v>
      </c>
    </row>
    <row r="2341" spans="1:3" ht="15">
      <c r="A2341" s="81" t="s">
        <v>392</v>
      </c>
      <c r="B2341" s="80" t="s">
        <v>2927</v>
      </c>
      <c r="C2341" s="89" t="s">
        <v>1043</v>
      </c>
    </row>
    <row r="2342" spans="1:3" ht="15">
      <c r="A2342" s="81" t="s">
        <v>392</v>
      </c>
      <c r="B2342" s="80" t="s">
        <v>2928</v>
      </c>
      <c r="C2342" s="89" t="s">
        <v>1043</v>
      </c>
    </row>
    <row r="2343" spans="1:3" ht="15">
      <c r="A2343" s="81" t="s">
        <v>392</v>
      </c>
      <c r="B2343" s="80" t="s">
        <v>2929</v>
      </c>
      <c r="C2343" s="89" t="s">
        <v>1043</v>
      </c>
    </row>
    <row r="2344" spans="1:3" ht="15">
      <c r="A2344" s="81" t="s">
        <v>391</v>
      </c>
      <c r="B2344" s="80" t="s">
        <v>2700</v>
      </c>
      <c r="C2344" s="89" t="s">
        <v>1042</v>
      </c>
    </row>
    <row r="2345" spans="1:3" ht="15">
      <c r="A2345" s="81" t="s">
        <v>391</v>
      </c>
      <c r="B2345" s="80" t="s">
        <v>2480</v>
      </c>
      <c r="C2345" s="89" t="s">
        <v>1042</v>
      </c>
    </row>
    <row r="2346" spans="1:3" ht="15">
      <c r="A2346" s="81" t="s">
        <v>391</v>
      </c>
      <c r="B2346" s="80" t="s">
        <v>2481</v>
      </c>
      <c r="C2346" s="89" t="s">
        <v>1042</v>
      </c>
    </row>
    <row r="2347" spans="1:3" ht="15">
      <c r="A2347" s="81" t="s">
        <v>391</v>
      </c>
      <c r="B2347" s="80" t="s">
        <v>2701</v>
      </c>
      <c r="C2347" s="89" t="s">
        <v>1042</v>
      </c>
    </row>
    <row r="2348" spans="1:3" ht="15">
      <c r="A2348" s="81" t="s">
        <v>391</v>
      </c>
      <c r="B2348" s="80" t="s">
        <v>2702</v>
      </c>
      <c r="C2348" s="89" t="s">
        <v>1042</v>
      </c>
    </row>
    <row r="2349" spans="1:3" ht="15">
      <c r="A2349" s="81" t="s">
        <v>391</v>
      </c>
      <c r="B2349" s="80" t="s">
        <v>2483</v>
      </c>
      <c r="C2349" s="89" t="s">
        <v>1042</v>
      </c>
    </row>
    <row r="2350" spans="1:3" ht="15">
      <c r="A2350" s="81" t="s">
        <v>391</v>
      </c>
      <c r="B2350" s="80" t="s">
        <v>2484</v>
      </c>
      <c r="C2350" s="89" t="s">
        <v>1042</v>
      </c>
    </row>
    <row r="2351" spans="1:3" ht="15">
      <c r="A2351" s="81" t="s">
        <v>391</v>
      </c>
      <c r="B2351" s="80" t="s">
        <v>2703</v>
      </c>
      <c r="C2351" s="89" t="s">
        <v>1042</v>
      </c>
    </row>
    <row r="2352" spans="1:3" ht="15">
      <c r="A2352" s="81" t="s">
        <v>391</v>
      </c>
      <c r="B2352" s="80" t="s">
        <v>2485</v>
      </c>
      <c r="C2352" s="89" t="s">
        <v>1042</v>
      </c>
    </row>
    <row r="2353" spans="1:3" ht="15">
      <c r="A2353" s="81" t="s">
        <v>391</v>
      </c>
      <c r="B2353" s="80" t="s">
        <v>2693</v>
      </c>
      <c r="C2353" s="89" t="s">
        <v>1042</v>
      </c>
    </row>
    <row r="2354" spans="1:3" ht="15">
      <c r="A2354" s="81" t="s">
        <v>391</v>
      </c>
      <c r="B2354" s="80" t="s">
        <v>2486</v>
      </c>
      <c r="C2354" s="89" t="s">
        <v>1042</v>
      </c>
    </row>
    <row r="2355" spans="1:3" ht="15">
      <c r="A2355" s="81" t="s">
        <v>391</v>
      </c>
      <c r="B2355" s="80" t="s">
        <v>2704</v>
      </c>
      <c r="C2355" s="89" t="s">
        <v>1042</v>
      </c>
    </row>
    <row r="2356" spans="1:3" ht="15">
      <c r="A2356" s="81" t="s">
        <v>391</v>
      </c>
      <c r="B2356" s="80" t="s">
        <v>2691</v>
      </c>
      <c r="C2356" s="89" t="s">
        <v>1042</v>
      </c>
    </row>
    <row r="2357" spans="1:3" ht="15">
      <c r="A2357" s="81" t="s">
        <v>391</v>
      </c>
      <c r="B2357" s="80" t="s">
        <v>2692</v>
      </c>
      <c r="C2357" s="89" t="s">
        <v>1042</v>
      </c>
    </row>
    <row r="2358" spans="1:3" ht="15">
      <c r="A2358" s="81" t="s">
        <v>391</v>
      </c>
      <c r="B2358" s="80" t="s">
        <v>2477</v>
      </c>
      <c r="C2358" s="89" t="s">
        <v>1042</v>
      </c>
    </row>
    <row r="2359" spans="1:3" ht="15">
      <c r="A2359" s="81" t="s">
        <v>391</v>
      </c>
      <c r="B2359" s="80" t="s">
        <v>2705</v>
      </c>
      <c r="C2359" s="89" t="s">
        <v>1042</v>
      </c>
    </row>
    <row r="2360" spans="1:3" ht="15">
      <c r="A2360" s="81" t="s">
        <v>391</v>
      </c>
      <c r="B2360" s="80" t="s">
        <v>2706</v>
      </c>
      <c r="C2360" s="89" t="s">
        <v>1042</v>
      </c>
    </row>
    <row r="2361" spans="1:3" ht="15">
      <c r="A2361" s="81" t="s">
        <v>391</v>
      </c>
      <c r="B2361" s="80" t="s">
        <v>2707</v>
      </c>
      <c r="C2361" s="89" t="s">
        <v>1042</v>
      </c>
    </row>
    <row r="2362" spans="1:3" ht="15">
      <c r="A2362" s="81" t="s">
        <v>391</v>
      </c>
      <c r="B2362" s="80" t="s">
        <v>2708</v>
      </c>
      <c r="C2362" s="89" t="s">
        <v>1042</v>
      </c>
    </row>
    <row r="2363" spans="1:3" ht="15">
      <c r="A2363" s="81" t="s">
        <v>391</v>
      </c>
      <c r="B2363" s="80" t="s">
        <v>2488</v>
      </c>
      <c r="C2363" s="89" t="s">
        <v>1042</v>
      </c>
    </row>
    <row r="2364" spans="1:3" ht="15">
      <c r="A2364" s="81" t="s">
        <v>391</v>
      </c>
      <c r="B2364" s="80" t="s">
        <v>2709</v>
      </c>
      <c r="C2364" s="89" t="s">
        <v>1042</v>
      </c>
    </row>
    <row r="2365" spans="1:3" ht="15">
      <c r="A2365" s="81" t="s">
        <v>391</v>
      </c>
      <c r="B2365" s="80" t="s">
        <v>2710</v>
      </c>
      <c r="C2365" s="89" t="s">
        <v>1042</v>
      </c>
    </row>
    <row r="2366" spans="1:3" ht="15">
      <c r="A2366" s="81" t="s">
        <v>391</v>
      </c>
      <c r="B2366" s="80" t="s">
        <v>2478</v>
      </c>
      <c r="C2366" s="89" t="s">
        <v>1042</v>
      </c>
    </row>
    <row r="2367" spans="1:3" ht="15">
      <c r="A2367" s="81" t="s">
        <v>391</v>
      </c>
      <c r="B2367" s="80" t="s">
        <v>2476</v>
      </c>
      <c r="C2367" s="89" t="s">
        <v>1042</v>
      </c>
    </row>
    <row r="2368" spans="1:3" ht="15">
      <c r="A2368" s="81" t="s">
        <v>391</v>
      </c>
      <c r="B2368" s="80" t="s">
        <v>2711</v>
      </c>
      <c r="C2368" s="89" t="s">
        <v>1042</v>
      </c>
    </row>
    <row r="2369" spans="1:3" ht="15">
      <c r="A2369" s="81" t="s">
        <v>391</v>
      </c>
      <c r="B2369" s="80" t="s">
        <v>65</v>
      </c>
      <c r="C2369" s="89" t="s">
        <v>1042</v>
      </c>
    </row>
    <row r="2370" spans="1:3" ht="15">
      <c r="A2370" s="81" t="s">
        <v>391</v>
      </c>
      <c r="B2370" s="80" t="s">
        <v>2491</v>
      </c>
      <c r="C2370" s="89" t="s">
        <v>1042</v>
      </c>
    </row>
    <row r="2371" spans="1:3" ht="15">
      <c r="A2371" s="81" t="s">
        <v>390</v>
      </c>
      <c r="B2371" s="80" t="s">
        <v>2700</v>
      </c>
      <c r="C2371" s="89" t="s">
        <v>1041</v>
      </c>
    </row>
    <row r="2372" spans="1:3" ht="15">
      <c r="A2372" s="81" t="s">
        <v>390</v>
      </c>
      <c r="B2372" s="80" t="s">
        <v>2480</v>
      </c>
      <c r="C2372" s="89" t="s">
        <v>1041</v>
      </c>
    </row>
    <row r="2373" spans="1:3" ht="15">
      <c r="A2373" s="81" t="s">
        <v>390</v>
      </c>
      <c r="B2373" s="80" t="s">
        <v>2481</v>
      </c>
      <c r="C2373" s="89" t="s">
        <v>1041</v>
      </c>
    </row>
    <row r="2374" spans="1:3" ht="15">
      <c r="A2374" s="81" t="s">
        <v>390</v>
      </c>
      <c r="B2374" s="80" t="s">
        <v>2701</v>
      </c>
      <c r="C2374" s="89" t="s">
        <v>1041</v>
      </c>
    </row>
    <row r="2375" spans="1:3" ht="15">
      <c r="A2375" s="81" t="s">
        <v>390</v>
      </c>
      <c r="B2375" s="80" t="s">
        <v>2702</v>
      </c>
      <c r="C2375" s="89" t="s">
        <v>1041</v>
      </c>
    </row>
    <row r="2376" spans="1:3" ht="15">
      <c r="A2376" s="81" t="s">
        <v>390</v>
      </c>
      <c r="B2376" s="80" t="s">
        <v>2483</v>
      </c>
      <c r="C2376" s="89" t="s">
        <v>1041</v>
      </c>
    </row>
    <row r="2377" spans="1:3" ht="15">
      <c r="A2377" s="81" t="s">
        <v>390</v>
      </c>
      <c r="B2377" s="80" t="s">
        <v>2484</v>
      </c>
      <c r="C2377" s="89" t="s">
        <v>1041</v>
      </c>
    </row>
    <row r="2378" spans="1:3" ht="15">
      <c r="A2378" s="81" t="s">
        <v>390</v>
      </c>
      <c r="B2378" s="80" t="s">
        <v>2703</v>
      </c>
      <c r="C2378" s="89" t="s">
        <v>1041</v>
      </c>
    </row>
    <row r="2379" spans="1:3" ht="15">
      <c r="A2379" s="81" t="s">
        <v>390</v>
      </c>
      <c r="B2379" s="80" t="s">
        <v>2485</v>
      </c>
      <c r="C2379" s="89" t="s">
        <v>1041</v>
      </c>
    </row>
    <row r="2380" spans="1:3" ht="15">
      <c r="A2380" s="81" t="s">
        <v>390</v>
      </c>
      <c r="B2380" s="80" t="s">
        <v>2693</v>
      </c>
      <c r="C2380" s="89" t="s">
        <v>1041</v>
      </c>
    </row>
    <row r="2381" spans="1:3" ht="15">
      <c r="A2381" s="81" t="s">
        <v>390</v>
      </c>
      <c r="B2381" s="80" t="s">
        <v>2486</v>
      </c>
      <c r="C2381" s="89" t="s">
        <v>1041</v>
      </c>
    </row>
    <row r="2382" spans="1:3" ht="15">
      <c r="A2382" s="81" t="s">
        <v>390</v>
      </c>
      <c r="B2382" s="80" t="s">
        <v>2704</v>
      </c>
      <c r="C2382" s="89" t="s">
        <v>1041</v>
      </c>
    </row>
    <row r="2383" spans="1:3" ht="15">
      <c r="A2383" s="81" t="s">
        <v>390</v>
      </c>
      <c r="B2383" s="80" t="s">
        <v>2691</v>
      </c>
      <c r="C2383" s="89" t="s">
        <v>1041</v>
      </c>
    </row>
    <row r="2384" spans="1:3" ht="15">
      <c r="A2384" s="81" t="s">
        <v>390</v>
      </c>
      <c r="B2384" s="80" t="s">
        <v>2692</v>
      </c>
      <c r="C2384" s="89" t="s">
        <v>1041</v>
      </c>
    </row>
    <row r="2385" spans="1:3" ht="15">
      <c r="A2385" s="81" t="s">
        <v>390</v>
      </c>
      <c r="B2385" s="80" t="s">
        <v>2477</v>
      </c>
      <c r="C2385" s="89" t="s">
        <v>1041</v>
      </c>
    </row>
    <row r="2386" spans="1:3" ht="15">
      <c r="A2386" s="81" t="s">
        <v>390</v>
      </c>
      <c r="B2386" s="80" t="s">
        <v>2705</v>
      </c>
      <c r="C2386" s="89" t="s">
        <v>1041</v>
      </c>
    </row>
    <row r="2387" spans="1:3" ht="15">
      <c r="A2387" s="81" t="s">
        <v>390</v>
      </c>
      <c r="B2387" s="80" t="s">
        <v>2706</v>
      </c>
      <c r="C2387" s="89" t="s">
        <v>1041</v>
      </c>
    </row>
    <row r="2388" spans="1:3" ht="15">
      <c r="A2388" s="81" t="s">
        <v>390</v>
      </c>
      <c r="B2388" s="80" t="s">
        <v>2707</v>
      </c>
      <c r="C2388" s="89" t="s">
        <v>1041</v>
      </c>
    </row>
    <row r="2389" spans="1:3" ht="15">
      <c r="A2389" s="81" t="s">
        <v>390</v>
      </c>
      <c r="B2389" s="80" t="s">
        <v>2708</v>
      </c>
      <c r="C2389" s="89" t="s">
        <v>1041</v>
      </c>
    </row>
    <row r="2390" spans="1:3" ht="15">
      <c r="A2390" s="81" t="s">
        <v>390</v>
      </c>
      <c r="B2390" s="80" t="s">
        <v>2488</v>
      </c>
      <c r="C2390" s="89" t="s">
        <v>1041</v>
      </c>
    </row>
    <row r="2391" spans="1:3" ht="15">
      <c r="A2391" s="81" t="s">
        <v>390</v>
      </c>
      <c r="B2391" s="80" t="s">
        <v>2709</v>
      </c>
      <c r="C2391" s="89" t="s">
        <v>1041</v>
      </c>
    </row>
    <row r="2392" spans="1:3" ht="15">
      <c r="A2392" s="81" t="s">
        <v>390</v>
      </c>
      <c r="B2392" s="80" t="s">
        <v>2710</v>
      </c>
      <c r="C2392" s="89" t="s">
        <v>1041</v>
      </c>
    </row>
    <row r="2393" spans="1:3" ht="15">
      <c r="A2393" s="81" t="s">
        <v>390</v>
      </c>
      <c r="B2393" s="80" t="s">
        <v>2478</v>
      </c>
      <c r="C2393" s="89" t="s">
        <v>1041</v>
      </c>
    </row>
    <row r="2394" spans="1:3" ht="15">
      <c r="A2394" s="81" t="s">
        <v>390</v>
      </c>
      <c r="B2394" s="80" t="s">
        <v>2476</v>
      </c>
      <c r="C2394" s="89" t="s">
        <v>1041</v>
      </c>
    </row>
    <row r="2395" spans="1:3" ht="15">
      <c r="A2395" s="81" t="s">
        <v>390</v>
      </c>
      <c r="B2395" s="80" t="s">
        <v>2711</v>
      </c>
      <c r="C2395" s="89" t="s">
        <v>1041</v>
      </c>
    </row>
    <row r="2396" spans="1:3" ht="15">
      <c r="A2396" s="81" t="s">
        <v>390</v>
      </c>
      <c r="B2396" s="80" t="s">
        <v>65</v>
      </c>
      <c r="C2396" s="89" t="s">
        <v>1041</v>
      </c>
    </row>
    <row r="2397" spans="1:3" ht="15">
      <c r="A2397" s="81" t="s">
        <v>390</v>
      </c>
      <c r="B2397" s="80" t="s">
        <v>2491</v>
      </c>
      <c r="C2397" s="89" t="s">
        <v>1041</v>
      </c>
    </row>
    <row r="2398" spans="1:3" ht="15">
      <c r="A2398" s="81" t="s">
        <v>389</v>
      </c>
      <c r="B2398" s="80" t="s">
        <v>2700</v>
      </c>
      <c r="C2398" s="89" t="s">
        <v>1040</v>
      </c>
    </row>
    <row r="2399" spans="1:3" ht="15">
      <c r="A2399" s="81" t="s">
        <v>389</v>
      </c>
      <c r="B2399" s="80" t="s">
        <v>2480</v>
      </c>
      <c r="C2399" s="89" t="s">
        <v>1040</v>
      </c>
    </row>
    <row r="2400" spans="1:3" ht="15">
      <c r="A2400" s="81" t="s">
        <v>389</v>
      </c>
      <c r="B2400" s="80" t="s">
        <v>2481</v>
      </c>
      <c r="C2400" s="89" t="s">
        <v>1040</v>
      </c>
    </row>
    <row r="2401" spans="1:3" ht="15">
      <c r="A2401" s="81" t="s">
        <v>389</v>
      </c>
      <c r="B2401" s="80" t="s">
        <v>2701</v>
      </c>
      <c r="C2401" s="89" t="s">
        <v>1040</v>
      </c>
    </row>
    <row r="2402" spans="1:3" ht="15">
      <c r="A2402" s="81" t="s">
        <v>389</v>
      </c>
      <c r="B2402" s="80" t="s">
        <v>2702</v>
      </c>
      <c r="C2402" s="89" t="s">
        <v>1040</v>
      </c>
    </row>
    <row r="2403" spans="1:3" ht="15">
      <c r="A2403" s="81" t="s">
        <v>389</v>
      </c>
      <c r="B2403" s="80" t="s">
        <v>2483</v>
      </c>
      <c r="C2403" s="89" t="s">
        <v>1040</v>
      </c>
    </row>
    <row r="2404" spans="1:3" ht="15">
      <c r="A2404" s="81" t="s">
        <v>389</v>
      </c>
      <c r="B2404" s="80" t="s">
        <v>2484</v>
      </c>
      <c r="C2404" s="89" t="s">
        <v>1040</v>
      </c>
    </row>
    <row r="2405" spans="1:3" ht="15">
      <c r="A2405" s="81" t="s">
        <v>389</v>
      </c>
      <c r="B2405" s="80" t="s">
        <v>2703</v>
      </c>
      <c r="C2405" s="89" t="s">
        <v>1040</v>
      </c>
    </row>
    <row r="2406" spans="1:3" ht="15">
      <c r="A2406" s="81" t="s">
        <v>389</v>
      </c>
      <c r="B2406" s="80" t="s">
        <v>2485</v>
      </c>
      <c r="C2406" s="89" t="s">
        <v>1040</v>
      </c>
    </row>
    <row r="2407" spans="1:3" ht="15">
      <c r="A2407" s="81" t="s">
        <v>389</v>
      </c>
      <c r="B2407" s="80" t="s">
        <v>2693</v>
      </c>
      <c r="C2407" s="89" t="s">
        <v>1040</v>
      </c>
    </row>
    <row r="2408" spans="1:3" ht="15">
      <c r="A2408" s="81" t="s">
        <v>389</v>
      </c>
      <c r="B2408" s="80" t="s">
        <v>2486</v>
      </c>
      <c r="C2408" s="89" t="s">
        <v>1040</v>
      </c>
    </row>
    <row r="2409" spans="1:3" ht="15">
      <c r="A2409" s="81" t="s">
        <v>389</v>
      </c>
      <c r="B2409" s="80" t="s">
        <v>2704</v>
      </c>
      <c r="C2409" s="89" t="s">
        <v>1040</v>
      </c>
    </row>
    <row r="2410" spans="1:3" ht="15">
      <c r="A2410" s="81" t="s">
        <v>389</v>
      </c>
      <c r="B2410" s="80" t="s">
        <v>2691</v>
      </c>
      <c r="C2410" s="89" t="s">
        <v>1040</v>
      </c>
    </row>
    <row r="2411" spans="1:3" ht="15">
      <c r="A2411" s="81" t="s">
        <v>389</v>
      </c>
      <c r="B2411" s="80" t="s">
        <v>2692</v>
      </c>
      <c r="C2411" s="89" t="s">
        <v>1040</v>
      </c>
    </row>
    <row r="2412" spans="1:3" ht="15">
      <c r="A2412" s="81" t="s">
        <v>389</v>
      </c>
      <c r="B2412" s="80" t="s">
        <v>2477</v>
      </c>
      <c r="C2412" s="89" t="s">
        <v>1040</v>
      </c>
    </row>
    <row r="2413" spans="1:3" ht="15">
      <c r="A2413" s="81" t="s">
        <v>389</v>
      </c>
      <c r="B2413" s="80" t="s">
        <v>2705</v>
      </c>
      <c r="C2413" s="89" t="s">
        <v>1040</v>
      </c>
    </row>
    <row r="2414" spans="1:3" ht="15">
      <c r="A2414" s="81" t="s">
        <v>389</v>
      </c>
      <c r="B2414" s="80" t="s">
        <v>2706</v>
      </c>
      <c r="C2414" s="89" t="s">
        <v>1040</v>
      </c>
    </row>
    <row r="2415" spans="1:3" ht="15">
      <c r="A2415" s="81" t="s">
        <v>389</v>
      </c>
      <c r="B2415" s="80" t="s">
        <v>2707</v>
      </c>
      <c r="C2415" s="89" t="s">
        <v>1040</v>
      </c>
    </row>
    <row r="2416" spans="1:3" ht="15">
      <c r="A2416" s="81" t="s">
        <v>389</v>
      </c>
      <c r="B2416" s="80" t="s">
        <v>2708</v>
      </c>
      <c r="C2416" s="89" t="s">
        <v>1040</v>
      </c>
    </row>
    <row r="2417" spans="1:3" ht="15">
      <c r="A2417" s="81" t="s">
        <v>389</v>
      </c>
      <c r="B2417" s="80" t="s">
        <v>2488</v>
      </c>
      <c r="C2417" s="89" t="s">
        <v>1040</v>
      </c>
    </row>
    <row r="2418" spans="1:3" ht="15">
      <c r="A2418" s="81" t="s">
        <v>389</v>
      </c>
      <c r="B2418" s="80" t="s">
        <v>2709</v>
      </c>
      <c r="C2418" s="89" t="s">
        <v>1040</v>
      </c>
    </row>
    <row r="2419" spans="1:3" ht="15">
      <c r="A2419" s="81" t="s">
        <v>389</v>
      </c>
      <c r="B2419" s="80" t="s">
        <v>2710</v>
      </c>
      <c r="C2419" s="89" t="s">
        <v>1040</v>
      </c>
    </row>
    <row r="2420" spans="1:3" ht="15">
      <c r="A2420" s="81" t="s">
        <v>389</v>
      </c>
      <c r="B2420" s="80" t="s">
        <v>2478</v>
      </c>
      <c r="C2420" s="89" t="s">
        <v>1040</v>
      </c>
    </row>
    <row r="2421" spans="1:3" ht="15">
      <c r="A2421" s="81" t="s">
        <v>389</v>
      </c>
      <c r="B2421" s="80" t="s">
        <v>2476</v>
      </c>
      <c r="C2421" s="89" t="s">
        <v>1040</v>
      </c>
    </row>
    <row r="2422" spans="1:3" ht="15">
      <c r="A2422" s="81" t="s">
        <v>389</v>
      </c>
      <c r="B2422" s="80" t="s">
        <v>2711</v>
      </c>
      <c r="C2422" s="89" t="s">
        <v>1040</v>
      </c>
    </row>
    <row r="2423" spans="1:3" ht="15">
      <c r="A2423" s="81" t="s">
        <v>389</v>
      </c>
      <c r="B2423" s="80" t="s">
        <v>65</v>
      </c>
      <c r="C2423" s="89" t="s">
        <v>1040</v>
      </c>
    </row>
    <row r="2424" spans="1:3" ht="15">
      <c r="A2424" s="81" t="s">
        <v>389</v>
      </c>
      <c r="B2424" s="80" t="s">
        <v>2491</v>
      </c>
      <c r="C2424" s="89" t="s">
        <v>1040</v>
      </c>
    </row>
    <row r="2425" spans="1:3" ht="15">
      <c r="A2425" s="81" t="s">
        <v>388</v>
      </c>
      <c r="B2425" s="80" t="s">
        <v>2700</v>
      </c>
      <c r="C2425" s="89" t="s">
        <v>1039</v>
      </c>
    </row>
    <row r="2426" spans="1:3" ht="15">
      <c r="A2426" s="81" t="s">
        <v>388</v>
      </c>
      <c r="B2426" s="80" t="s">
        <v>2480</v>
      </c>
      <c r="C2426" s="89" t="s">
        <v>1039</v>
      </c>
    </row>
    <row r="2427" spans="1:3" ht="15">
      <c r="A2427" s="81" t="s">
        <v>388</v>
      </c>
      <c r="B2427" s="80" t="s">
        <v>2481</v>
      </c>
      <c r="C2427" s="89" t="s">
        <v>1039</v>
      </c>
    </row>
    <row r="2428" spans="1:3" ht="15">
      <c r="A2428" s="81" t="s">
        <v>388</v>
      </c>
      <c r="B2428" s="80" t="s">
        <v>2701</v>
      </c>
      <c r="C2428" s="89" t="s">
        <v>1039</v>
      </c>
    </row>
    <row r="2429" spans="1:3" ht="15">
      <c r="A2429" s="81" t="s">
        <v>388</v>
      </c>
      <c r="B2429" s="80" t="s">
        <v>2702</v>
      </c>
      <c r="C2429" s="89" t="s">
        <v>1039</v>
      </c>
    </row>
    <row r="2430" spans="1:3" ht="15">
      <c r="A2430" s="81" t="s">
        <v>388</v>
      </c>
      <c r="B2430" s="80" t="s">
        <v>2483</v>
      </c>
      <c r="C2430" s="89" t="s">
        <v>1039</v>
      </c>
    </row>
    <row r="2431" spans="1:3" ht="15">
      <c r="A2431" s="81" t="s">
        <v>388</v>
      </c>
      <c r="B2431" s="80" t="s">
        <v>2484</v>
      </c>
      <c r="C2431" s="89" t="s">
        <v>1039</v>
      </c>
    </row>
    <row r="2432" spans="1:3" ht="15">
      <c r="A2432" s="81" t="s">
        <v>388</v>
      </c>
      <c r="B2432" s="80" t="s">
        <v>2703</v>
      </c>
      <c r="C2432" s="89" t="s">
        <v>1039</v>
      </c>
    </row>
    <row r="2433" spans="1:3" ht="15">
      <c r="A2433" s="81" t="s">
        <v>388</v>
      </c>
      <c r="B2433" s="80" t="s">
        <v>2485</v>
      </c>
      <c r="C2433" s="89" t="s">
        <v>1039</v>
      </c>
    </row>
    <row r="2434" spans="1:3" ht="15">
      <c r="A2434" s="81" t="s">
        <v>388</v>
      </c>
      <c r="B2434" s="80" t="s">
        <v>2693</v>
      </c>
      <c r="C2434" s="89" t="s">
        <v>1039</v>
      </c>
    </row>
    <row r="2435" spans="1:3" ht="15">
      <c r="A2435" s="81" t="s">
        <v>388</v>
      </c>
      <c r="B2435" s="80" t="s">
        <v>2486</v>
      </c>
      <c r="C2435" s="89" t="s">
        <v>1039</v>
      </c>
    </row>
    <row r="2436" spans="1:3" ht="15">
      <c r="A2436" s="81" t="s">
        <v>388</v>
      </c>
      <c r="B2436" s="80" t="s">
        <v>2704</v>
      </c>
      <c r="C2436" s="89" t="s">
        <v>1039</v>
      </c>
    </row>
    <row r="2437" spans="1:3" ht="15">
      <c r="A2437" s="81" t="s">
        <v>388</v>
      </c>
      <c r="B2437" s="80" t="s">
        <v>2691</v>
      </c>
      <c r="C2437" s="89" t="s">
        <v>1039</v>
      </c>
    </row>
    <row r="2438" spans="1:3" ht="15">
      <c r="A2438" s="81" t="s">
        <v>388</v>
      </c>
      <c r="B2438" s="80" t="s">
        <v>2692</v>
      </c>
      <c r="C2438" s="89" t="s">
        <v>1039</v>
      </c>
    </row>
    <row r="2439" spans="1:3" ht="15">
      <c r="A2439" s="81" t="s">
        <v>388</v>
      </c>
      <c r="B2439" s="80" t="s">
        <v>2477</v>
      </c>
      <c r="C2439" s="89" t="s">
        <v>1039</v>
      </c>
    </row>
    <row r="2440" spans="1:3" ht="15">
      <c r="A2440" s="81" t="s">
        <v>388</v>
      </c>
      <c r="B2440" s="80" t="s">
        <v>2705</v>
      </c>
      <c r="C2440" s="89" t="s">
        <v>1039</v>
      </c>
    </row>
    <row r="2441" spans="1:3" ht="15">
      <c r="A2441" s="81" t="s">
        <v>388</v>
      </c>
      <c r="B2441" s="80" t="s">
        <v>2706</v>
      </c>
      <c r="C2441" s="89" t="s">
        <v>1039</v>
      </c>
    </row>
    <row r="2442" spans="1:3" ht="15">
      <c r="A2442" s="81" t="s">
        <v>388</v>
      </c>
      <c r="B2442" s="80" t="s">
        <v>2707</v>
      </c>
      <c r="C2442" s="89" t="s">
        <v>1039</v>
      </c>
    </row>
    <row r="2443" spans="1:3" ht="15">
      <c r="A2443" s="81" t="s">
        <v>388</v>
      </c>
      <c r="B2443" s="80" t="s">
        <v>2708</v>
      </c>
      <c r="C2443" s="89" t="s">
        <v>1039</v>
      </c>
    </row>
    <row r="2444" spans="1:3" ht="15">
      <c r="A2444" s="81" t="s">
        <v>388</v>
      </c>
      <c r="B2444" s="80" t="s">
        <v>2488</v>
      </c>
      <c r="C2444" s="89" t="s">
        <v>1039</v>
      </c>
    </row>
    <row r="2445" spans="1:3" ht="15">
      <c r="A2445" s="81" t="s">
        <v>388</v>
      </c>
      <c r="B2445" s="80" t="s">
        <v>2709</v>
      </c>
      <c r="C2445" s="89" t="s">
        <v>1039</v>
      </c>
    </row>
    <row r="2446" spans="1:3" ht="15">
      <c r="A2446" s="81" t="s">
        <v>388</v>
      </c>
      <c r="B2446" s="80" t="s">
        <v>2710</v>
      </c>
      <c r="C2446" s="89" t="s">
        <v>1039</v>
      </c>
    </row>
    <row r="2447" spans="1:3" ht="15">
      <c r="A2447" s="81" t="s">
        <v>388</v>
      </c>
      <c r="B2447" s="80" t="s">
        <v>2478</v>
      </c>
      <c r="C2447" s="89" t="s">
        <v>1039</v>
      </c>
    </row>
    <row r="2448" spans="1:3" ht="15">
      <c r="A2448" s="81" t="s">
        <v>388</v>
      </c>
      <c r="B2448" s="80" t="s">
        <v>2476</v>
      </c>
      <c r="C2448" s="89" t="s">
        <v>1039</v>
      </c>
    </row>
    <row r="2449" spans="1:3" ht="15">
      <c r="A2449" s="81" t="s">
        <v>388</v>
      </c>
      <c r="B2449" s="80" t="s">
        <v>2711</v>
      </c>
      <c r="C2449" s="89" t="s">
        <v>1039</v>
      </c>
    </row>
    <row r="2450" spans="1:3" ht="15">
      <c r="A2450" s="81" t="s">
        <v>388</v>
      </c>
      <c r="B2450" s="80" t="s">
        <v>65</v>
      </c>
      <c r="C2450" s="89" t="s">
        <v>1039</v>
      </c>
    </row>
    <row r="2451" spans="1:3" ht="15">
      <c r="A2451" s="81" t="s">
        <v>388</v>
      </c>
      <c r="B2451" s="80" t="s">
        <v>2491</v>
      </c>
      <c r="C2451" s="89" t="s">
        <v>1039</v>
      </c>
    </row>
    <row r="2452" spans="1:3" ht="15">
      <c r="A2452" s="81" t="s">
        <v>387</v>
      </c>
      <c r="B2452" s="80" t="s">
        <v>2700</v>
      </c>
      <c r="C2452" s="89" t="s">
        <v>1038</v>
      </c>
    </row>
    <row r="2453" spans="1:3" ht="15">
      <c r="A2453" s="81" t="s">
        <v>387</v>
      </c>
      <c r="B2453" s="80" t="s">
        <v>2480</v>
      </c>
      <c r="C2453" s="89" t="s">
        <v>1038</v>
      </c>
    </row>
    <row r="2454" spans="1:3" ht="15">
      <c r="A2454" s="81" t="s">
        <v>387</v>
      </c>
      <c r="B2454" s="80" t="s">
        <v>2481</v>
      </c>
      <c r="C2454" s="89" t="s">
        <v>1038</v>
      </c>
    </row>
    <row r="2455" spans="1:3" ht="15">
      <c r="A2455" s="81" t="s">
        <v>387</v>
      </c>
      <c r="B2455" s="80" t="s">
        <v>2701</v>
      </c>
      <c r="C2455" s="89" t="s">
        <v>1038</v>
      </c>
    </row>
    <row r="2456" spans="1:3" ht="15">
      <c r="A2456" s="81" t="s">
        <v>387</v>
      </c>
      <c r="B2456" s="80" t="s">
        <v>2702</v>
      </c>
      <c r="C2456" s="89" t="s">
        <v>1038</v>
      </c>
    </row>
    <row r="2457" spans="1:3" ht="15">
      <c r="A2457" s="81" t="s">
        <v>387</v>
      </c>
      <c r="B2457" s="80" t="s">
        <v>2483</v>
      </c>
      <c r="C2457" s="89" t="s">
        <v>1038</v>
      </c>
    </row>
    <row r="2458" spans="1:3" ht="15">
      <c r="A2458" s="81" t="s">
        <v>387</v>
      </c>
      <c r="B2458" s="80" t="s">
        <v>2484</v>
      </c>
      <c r="C2458" s="89" t="s">
        <v>1038</v>
      </c>
    </row>
    <row r="2459" spans="1:3" ht="15">
      <c r="A2459" s="81" t="s">
        <v>387</v>
      </c>
      <c r="B2459" s="80" t="s">
        <v>2703</v>
      </c>
      <c r="C2459" s="89" t="s">
        <v>1038</v>
      </c>
    </row>
    <row r="2460" spans="1:3" ht="15">
      <c r="A2460" s="81" t="s">
        <v>387</v>
      </c>
      <c r="B2460" s="80" t="s">
        <v>2485</v>
      </c>
      <c r="C2460" s="89" t="s">
        <v>1038</v>
      </c>
    </row>
    <row r="2461" spans="1:3" ht="15">
      <c r="A2461" s="81" t="s">
        <v>387</v>
      </c>
      <c r="B2461" s="80" t="s">
        <v>2693</v>
      </c>
      <c r="C2461" s="89" t="s">
        <v>1038</v>
      </c>
    </row>
    <row r="2462" spans="1:3" ht="15">
      <c r="A2462" s="81" t="s">
        <v>387</v>
      </c>
      <c r="B2462" s="80" t="s">
        <v>2486</v>
      </c>
      <c r="C2462" s="89" t="s">
        <v>1038</v>
      </c>
    </row>
    <row r="2463" spans="1:3" ht="15">
      <c r="A2463" s="81" t="s">
        <v>387</v>
      </c>
      <c r="B2463" s="80" t="s">
        <v>2704</v>
      </c>
      <c r="C2463" s="89" t="s">
        <v>1038</v>
      </c>
    </row>
    <row r="2464" spans="1:3" ht="15">
      <c r="A2464" s="81" t="s">
        <v>387</v>
      </c>
      <c r="B2464" s="80" t="s">
        <v>2691</v>
      </c>
      <c r="C2464" s="89" t="s">
        <v>1038</v>
      </c>
    </row>
    <row r="2465" spans="1:3" ht="15">
      <c r="A2465" s="81" t="s">
        <v>387</v>
      </c>
      <c r="B2465" s="80" t="s">
        <v>2692</v>
      </c>
      <c r="C2465" s="89" t="s">
        <v>1038</v>
      </c>
    </row>
    <row r="2466" spans="1:3" ht="15">
      <c r="A2466" s="81" t="s">
        <v>387</v>
      </c>
      <c r="B2466" s="80" t="s">
        <v>2477</v>
      </c>
      <c r="C2466" s="89" t="s">
        <v>1038</v>
      </c>
    </row>
    <row r="2467" spans="1:3" ht="15">
      <c r="A2467" s="81" t="s">
        <v>387</v>
      </c>
      <c r="B2467" s="80" t="s">
        <v>2705</v>
      </c>
      <c r="C2467" s="89" t="s">
        <v>1038</v>
      </c>
    </row>
    <row r="2468" spans="1:3" ht="15">
      <c r="A2468" s="81" t="s">
        <v>387</v>
      </c>
      <c r="B2468" s="80" t="s">
        <v>2706</v>
      </c>
      <c r="C2468" s="89" t="s">
        <v>1038</v>
      </c>
    </row>
    <row r="2469" spans="1:3" ht="15">
      <c r="A2469" s="81" t="s">
        <v>387</v>
      </c>
      <c r="B2469" s="80" t="s">
        <v>2707</v>
      </c>
      <c r="C2469" s="89" t="s">
        <v>1038</v>
      </c>
    </row>
    <row r="2470" spans="1:3" ht="15">
      <c r="A2470" s="81" t="s">
        <v>387</v>
      </c>
      <c r="B2470" s="80" t="s">
        <v>2708</v>
      </c>
      <c r="C2470" s="89" t="s">
        <v>1038</v>
      </c>
    </row>
    <row r="2471" spans="1:3" ht="15">
      <c r="A2471" s="81" t="s">
        <v>387</v>
      </c>
      <c r="B2471" s="80" t="s">
        <v>2488</v>
      </c>
      <c r="C2471" s="89" t="s">
        <v>1038</v>
      </c>
    </row>
    <row r="2472" spans="1:3" ht="15">
      <c r="A2472" s="81" t="s">
        <v>387</v>
      </c>
      <c r="B2472" s="80" t="s">
        <v>2709</v>
      </c>
      <c r="C2472" s="89" t="s">
        <v>1038</v>
      </c>
    </row>
    <row r="2473" spans="1:3" ht="15">
      <c r="A2473" s="81" t="s">
        <v>387</v>
      </c>
      <c r="B2473" s="80" t="s">
        <v>2710</v>
      </c>
      <c r="C2473" s="89" t="s">
        <v>1038</v>
      </c>
    </row>
    <row r="2474" spans="1:3" ht="15">
      <c r="A2474" s="81" t="s">
        <v>387</v>
      </c>
      <c r="B2474" s="80" t="s">
        <v>2478</v>
      </c>
      <c r="C2474" s="89" t="s">
        <v>1038</v>
      </c>
    </row>
    <row r="2475" spans="1:3" ht="15">
      <c r="A2475" s="81" t="s">
        <v>387</v>
      </c>
      <c r="B2475" s="80" t="s">
        <v>2476</v>
      </c>
      <c r="C2475" s="89" t="s">
        <v>1038</v>
      </c>
    </row>
    <row r="2476" spans="1:3" ht="15">
      <c r="A2476" s="81" t="s">
        <v>387</v>
      </c>
      <c r="B2476" s="80" t="s">
        <v>2711</v>
      </c>
      <c r="C2476" s="89" t="s">
        <v>1038</v>
      </c>
    </row>
    <row r="2477" spans="1:3" ht="15">
      <c r="A2477" s="81" t="s">
        <v>387</v>
      </c>
      <c r="B2477" s="80" t="s">
        <v>65</v>
      </c>
      <c r="C2477" s="89" t="s">
        <v>1038</v>
      </c>
    </row>
    <row r="2478" spans="1:3" ht="15">
      <c r="A2478" s="81" t="s">
        <v>387</v>
      </c>
      <c r="B2478" s="80" t="s">
        <v>2491</v>
      </c>
      <c r="C2478" s="89" t="s">
        <v>1038</v>
      </c>
    </row>
    <row r="2479" spans="1:3" ht="15">
      <c r="A2479" s="81" t="s">
        <v>386</v>
      </c>
      <c r="B2479" s="80" t="s">
        <v>2700</v>
      </c>
      <c r="C2479" s="89" t="s">
        <v>1037</v>
      </c>
    </row>
    <row r="2480" spans="1:3" ht="15">
      <c r="A2480" s="81" t="s">
        <v>386</v>
      </c>
      <c r="B2480" s="80" t="s">
        <v>2480</v>
      </c>
      <c r="C2480" s="89" t="s">
        <v>1037</v>
      </c>
    </row>
    <row r="2481" spans="1:3" ht="15">
      <c r="A2481" s="81" t="s">
        <v>386</v>
      </c>
      <c r="B2481" s="80" t="s">
        <v>2481</v>
      </c>
      <c r="C2481" s="89" t="s">
        <v>1037</v>
      </c>
    </row>
    <row r="2482" spans="1:3" ht="15">
      <c r="A2482" s="81" t="s">
        <v>386</v>
      </c>
      <c r="B2482" s="80" t="s">
        <v>2701</v>
      </c>
      <c r="C2482" s="89" t="s">
        <v>1037</v>
      </c>
    </row>
    <row r="2483" spans="1:3" ht="15">
      <c r="A2483" s="81" t="s">
        <v>386</v>
      </c>
      <c r="B2483" s="80" t="s">
        <v>2702</v>
      </c>
      <c r="C2483" s="89" t="s">
        <v>1037</v>
      </c>
    </row>
    <row r="2484" spans="1:3" ht="15">
      <c r="A2484" s="81" t="s">
        <v>386</v>
      </c>
      <c r="B2484" s="80" t="s">
        <v>2483</v>
      </c>
      <c r="C2484" s="89" t="s">
        <v>1037</v>
      </c>
    </row>
    <row r="2485" spans="1:3" ht="15">
      <c r="A2485" s="81" t="s">
        <v>386</v>
      </c>
      <c r="B2485" s="80" t="s">
        <v>2484</v>
      </c>
      <c r="C2485" s="89" t="s">
        <v>1037</v>
      </c>
    </row>
    <row r="2486" spans="1:3" ht="15">
      <c r="A2486" s="81" t="s">
        <v>386</v>
      </c>
      <c r="B2486" s="80" t="s">
        <v>2703</v>
      </c>
      <c r="C2486" s="89" t="s">
        <v>1037</v>
      </c>
    </row>
    <row r="2487" spans="1:3" ht="15">
      <c r="A2487" s="81" t="s">
        <v>386</v>
      </c>
      <c r="B2487" s="80" t="s">
        <v>2485</v>
      </c>
      <c r="C2487" s="89" t="s">
        <v>1037</v>
      </c>
    </row>
    <row r="2488" spans="1:3" ht="15">
      <c r="A2488" s="81" t="s">
        <v>386</v>
      </c>
      <c r="B2488" s="80" t="s">
        <v>2693</v>
      </c>
      <c r="C2488" s="89" t="s">
        <v>1037</v>
      </c>
    </row>
    <row r="2489" spans="1:3" ht="15">
      <c r="A2489" s="81" t="s">
        <v>386</v>
      </c>
      <c r="B2489" s="80" t="s">
        <v>2486</v>
      </c>
      <c r="C2489" s="89" t="s">
        <v>1037</v>
      </c>
    </row>
    <row r="2490" spans="1:3" ht="15">
      <c r="A2490" s="81" t="s">
        <v>386</v>
      </c>
      <c r="B2490" s="80" t="s">
        <v>2704</v>
      </c>
      <c r="C2490" s="89" t="s">
        <v>1037</v>
      </c>
    </row>
    <row r="2491" spans="1:3" ht="15">
      <c r="A2491" s="81" t="s">
        <v>386</v>
      </c>
      <c r="B2491" s="80" t="s">
        <v>2691</v>
      </c>
      <c r="C2491" s="89" t="s">
        <v>1037</v>
      </c>
    </row>
    <row r="2492" spans="1:3" ht="15">
      <c r="A2492" s="81" t="s">
        <v>386</v>
      </c>
      <c r="B2492" s="80" t="s">
        <v>2692</v>
      </c>
      <c r="C2492" s="89" t="s">
        <v>1037</v>
      </c>
    </row>
    <row r="2493" spans="1:3" ht="15">
      <c r="A2493" s="81" t="s">
        <v>386</v>
      </c>
      <c r="B2493" s="80" t="s">
        <v>2477</v>
      </c>
      <c r="C2493" s="89" t="s">
        <v>1037</v>
      </c>
    </row>
    <row r="2494" spans="1:3" ht="15">
      <c r="A2494" s="81" t="s">
        <v>386</v>
      </c>
      <c r="B2494" s="80" t="s">
        <v>2705</v>
      </c>
      <c r="C2494" s="89" t="s">
        <v>1037</v>
      </c>
    </row>
    <row r="2495" spans="1:3" ht="15">
      <c r="A2495" s="81" t="s">
        <v>386</v>
      </c>
      <c r="B2495" s="80" t="s">
        <v>2706</v>
      </c>
      <c r="C2495" s="89" t="s">
        <v>1037</v>
      </c>
    </row>
    <row r="2496" spans="1:3" ht="15">
      <c r="A2496" s="81" t="s">
        <v>386</v>
      </c>
      <c r="B2496" s="80" t="s">
        <v>2707</v>
      </c>
      <c r="C2496" s="89" t="s">
        <v>1037</v>
      </c>
    </row>
    <row r="2497" spans="1:3" ht="15">
      <c r="A2497" s="81" t="s">
        <v>386</v>
      </c>
      <c r="B2497" s="80" t="s">
        <v>2708</v>
      </c>
      <c r="C2497" s="89" t="s">
        <v>1037</v>
      </c>
    </row>
    <row r="2498" spans="1:3" ht="15">
      <c r="A2498" s="81" t="s">
        <v>386</v>
      </c>
      <c r="B2498" s="80" t="s">
        <v>2488</v>
      </c>
      <c r="C2498" s="89" t="s">
        <v>1037</v>
      </c>
    </row>
    <row r="2499" spans="1:3" ht="15">
      <c r="A2499" s="81" t="s">
        <v>386</v>
      </c>
      <c r="B2499" s="80" t="s">
        <v>2709</v>
      </c>
      <c r="C2499" s="89" t="s">
        <v>1037</v>
      </c>
    </row>
    <row r="2500" spans="1:3" ht="15">
      <c r="A2500" s="81" t="s">
        <v>386</v>
      </c>
      <c r="B2500" s="80" t="s">
        <v>2710</v>
      </c>
      <c r="C2500" s="89" t="s">
        <v>1037</v>
      </c>
    </row>
    <row r="2501" spans="1:3" ht="15">
      <c r="A2501" s="81" t="s">
        <v>386</v>
      </c>
      <c r="B2501" s="80" t="s">
        <v>2478</v>
      </c>
      <c r="C2501" s="89" t="s">
        <v>1037</v>
      </c>
    </row>
    <row r="2502" spans="1:3" ht="15">
      <c r="A2502" s="81" t="s">
        <v>386</v>
      </c>
      <c r="B2502" s="80" t="s">
        <v>2476</v>
      </c>
      <c r="C2502" s="89" t="s">
        <v>1037</v>
      </c>
    </row>
    <row r="2503" spans="1:3" ht="15">
      <c r="A2503" s="81" t="s">
        <v>386</v>
      </c>
      <c r="B2503" s="80" t="s">
        <v>2711</v>
      </c>
      <c r="C2503" s="89" t="s">
        <v>1037</v>
      </c>
    </row>
    <row r="2504" spans="1:3" ht="15">
      <c r="A2504" s="81" t="s">
        <v>386</v>
      </c>
      <c r="B2504" s="80" t="s">
        <v>65</v>
      </c>
      <c r="C2504" s="89" t="s">
        <v>1037</v>
      </c>
    </row>
    <row r="2505" spans="1:3" ht="15">
      <c r="A2505" s="81" t="s">
        <v>386</v>
      </c>
      <c r="B2505" s="80" t="s">
        <v>2491</v>
      </c>
      <c r="C2505" s="89" t="s">
        <v>1037</v>
      </c>
    </row>
    <row r="2506" spans="1:3" ht="15">
      <c r="A2506" s="81" t="s">
        <v>385</v>
      </c>
      <c r="B2506" s="80" t="s">
        <v>2700</v>
      </c>
      <c r="C2506" s="89" t="s">
        <v>1036</v>
      </c>
    </row>
    <row r="2507" spans="1:3" ht="15">
      <c r="A2507" s="81" t="s">
        <v>385</v>
      </c>
      <c r="B2507" s="80" t="s">
        <v>2480</v>
      </c>
      <c r="C2507" s="89" t="s">
        <v>1036</v>
      </c>
    </row>
    <row r="2508" spans="1:3" ht="15">
      <c r="A2508" s="81" t="s">
        <v>385</v>
      </c>
      <c r="B2508" s="80" t="s">
        <v>2481</v>
      </c>
      <c r="C2508" s="89" t="s">
        <v>1036</v>
      </c>
    </row>
    <row r="2509" spans="1:3" ht="15">
      <c r="A2509" s="81" t="s">
        <v>385</v>
      </c>
      <c r="B2509" s="80" t="s">
        <v>2701</v>
      </c>
      <c r="C2509" s="89" t="s">
        <v>1036</v>
      </c>
    </row>
    <row r="2510" spans="1:3" ht="15">
      <c r="A2510" s="81" t="s">
        <v>385</v>
      </c>
      <c r="B2510" s="80" t="s">
        <v>2702</v>
      </c>
      <c r="C2510" s="89" t="s">
        <v>1036</v>
      </c>
    </row>
    <row r="2511" spans="1:3" ht="15">
      <c r="A2511" s="81" t="s">
        <v>385</v>
      </c>
      <c r="B2511" s="80" t="s">
        <v>2483</v>
      </c>
      <c r="C2511" s="89" t="s">
        <v>1036</v>
      </c>
    </row>
    <row r="2512" spans="1:3" ht="15">
      <c r="A2512" s="81" t="s">
        <v>385</v>
      </c>
      <c r="B2512" s="80" t="s">
        <v>2484</v>
      </c>
      <c r="C2512" s="89" t="s">
        <v>1036</v>
      </c>
    </row>
    <row r="2513" spans="1:3" ht="15">
      <c r="A2513" s="81" t="s">
        <v>385</v>
      </c>
      <c r="B2513" s="80" t="s">
        <v>2703</v>
      </c>
      <c r="C2513" s="89" t="s">
        <v>1036</v>
      </c>
    </row>
    <row r="2514" spans="1:3" ht="15">
      <c r="A2514" s="81" t="s">
        <v>385</v>
      </c>
      <c r="B2514" s="80" t="s">
        <v>2485</v>
      </c>
      <c r="C2514" s="89" t="s">
        <v>1036</v>
      </c>
    </row>
    <row r="2515" spans="1:3" ht="15">
      <c r="A2515" s="81" t="s">
        <v>385</v>
      </c>
      <c r="B2515" s="80" t="s">
        <v>2693</v>
      </c>
      <c r="C2515" s="89" t="s">
        <v>1036</v>
      </c>
    </row>
    <row r="2516" spans="1:3" ht="15">
      <c r="A2516" s="81" t="s">
        <v>385</v>
      </c>
      <c r="B2516" s="80" t="s">
        <v>2486</v>
      </c>
      <c r="C2516" s="89" t="s">
        <v>1036</v>
      </c>
    </row>
    <row r="2517" spans="1:3" ht="15">
      <c r="A2517" s="81" t="s">
        <v>385</v>
      </c>
      <c r="B2517" s="80" t="s">
        <v>2704</v>
      </c>
      <c r="C2517" s="89" t="s">
        <v>1036</v>
      </c>
    </row>
    <row r="2518" spans="1:3" ht="15">
      <c r="A2518" s="81" t="s">
        <v>385</v>
      </c>
      <c r="B2518" s="80" t="s">
        <v>2691</v>
      </c>
      <c r="C2518" s="89" t="s">
        <v>1036</v>
      </c>
    </row>
    <row r="2519" spans="1:3" ht="15">
      <c r="A2519" s="81" t="s">
        <v>385</v>
      </c>
      <c r="B2519" s="80" t="s">
        <v>2692</v>
      </c>
      <c r="C2519" s="89" t="s">
        <v>1036</v>
      </c>
    </row>
    <row r="2520" spans="1:3" ht="15">
      <c r="A2520" s="81" t="s">
        <v>385</v>
      </c>
      <c r="B2520" s="80" t="s">
        <v>2477</v>
      </c>
      <c r="C2520" s="89" t="s">
        <v>1036</v>
      </c>
    </row>
    <row r="2521" spans="1:3" ht="15">
      <c r="A2521" s="81" t="s">
        <v>385</v>
      </c>
      <c r="B2521" s="80" t="s">
        <v>2705</v>
      </c>
      <c r="C2521" s="89" t="s">
        <v>1036</v>
      </c>
    </row>
    <row r="2522" spans="1:3" ht="15">
      <c r="A2522" s="81" t="s">
        <v>385</v>
      </c>
      <c r="B2522" s="80" t="s">
        <v>2706</v>
      </c>
      <c r="C2522" s="89" t="s">
        <v>1036</v>
      </c>
    </row>
    <row r="2523" spans="1:3" ht="15">
      <c r="A2523" s="81" t="s">
        <v>385</v>
      </c>
      <c r="B2523" s="80" t="s">
        <v>2707</v>
      </c>
      <c r="C2523" s="89" t="s">
        <v>1036</v>
      </c>
    </row>
    <row r="2524" spans="1:3" ht="15">
      <c r="A2524" s="81" t="s">
        <v>385</v>
      </c>
      <c r="B2524" s="80" t="s">
        <v>2708</v>
      </c>
      <c r="C2524" s="89" t="s">
        <v>1036</v>
      </c>
    </row>
    <row r="2525" spans="1:3" ht="15">
      <c r="A2525" s="81" t="s">
        <v>385</v>
      </c>
      <c r="B2525" s="80" t="s">
        <v>2488</v>
      </c>
      <c r="C2525" s="89" t="s">
        <v>1036</v>
      </c>
    </row>
    <row r="2526" spans="1:3" ht="15">
      <c r="A2526" s="81" t="s">
        <v>385</v>
      </c>
      <c r="B2526" s="80" t="s">
        <v>2709</v>
      </c>
      <c r="C2526" s="89" t="s">
        <v>1036</v>
      </c>
    </row>
    <row r="2527" spans="1:3" ht="15">
      <c r="A2527" s="81" t="s">
        <v>385</v>
      </c>
      <c r="B2527" s="80" t="s">
        <v>2710</v>
      </c>
      <c r="C2527" s="89" t="s">
        <v>1036</v>
      </c>
    </row>
    <row r="2528" spans="1:3" ht="15">
      <c r="A2528" s="81" t="s">
        <v>385</v>
      </c>
      <c r="B2528" s="80" t="s">
        <v>2478</v>
      </c>
      <c r="C2528" s="89" t="s">
        <v>1036</v>
      </c>
    </row>
    <row r="2529" spans="1:3" ht="15">
      <c r="A2529" s="81" t="s">
        <v>385</v>
      </c>
      <c r="B2529" s="80" t="s">
        <v>2476</v>
      </c>
      <c r="C2529" s="89" t="s">
        <v>1036</v>
      </c>
    </row>
    <row r="2530" spans="1:3" ht="15">
      <c r="A2530" s="81" t="s">
        <v>385</v>
      </c>
      <c r="B2530" s="80" t="s">
        <v>2711</v>
      </c>
      <c r="C2530" s="89" t="s">
        <v>1036</v>
      </c>
    </row>
    <row r="2531" spans="1:3" ht="15">
      <c r="A2531" s="81" t="s">
        <v>385</v>
      </c>
      <c r="B2531" s="80" t="s">
        <v>65</v>
      </c>
      <c r="C2531" s="89" t="s">
        <v>1036</v>
      </c>
    </row>
    <row r="2532" spans="1:3" ht="15">
      <c r="A2532" s="81" t="s">
        <v>385</v>
      </c>
      <c r="B2532" s="80" t="s">
        <v>2491</v>
      </c>
      <c r="C2532" s="89" t="s">
        <v>1036</v>
      </c>
    </row>
    <row r="2533" spans="1:3" ht="15">
      <c r="A2533" s="81" t="s">
        <v>384</v>
      </c>
      <c r="B2533" s="80" t="s">
        <v>2930</v>
      </c>
      <c r="C2533" s="89" t="s">
        <v>1035</v>
      </c>
    </row>
    <row r="2534" spans="1:3" ht="15">
      <c r="A2534" s="81" t="s">
        <v>384</v>
      </c>
      <c r="B2534" s="80" t="s">
        <v>2931</v>
      </c>
      <c r="C2534" s="89" t="s">
        <v>1035</v>
      </c>
    </row>
    <row r="2535" spans="1:3" ht="15">
      <c r="A2535" s="81" t="s">
        <v>384</v>
      </c>
      <c r="B2535" s="80" t="s">
        <v>2932</v>
      </c>
      <c r="C2535" s="89" t="s">
        <v>1035</v>
      </c>
    </row>
    <row r="2536" spans="1:3" ht="15">
      <c r="A2536" s="81" t="s">
        <v>384</v>
      </c>
      <c r="B2536" s="80" t="s">
        <v>2933</v>
      </c>
      <c r="C2536" s="89" t="s">
        <v>1035</v>
      </c>
    </row>
    <row r="2537" spans="1:3" ht="15">
      <c r="A2537" s="81" t="s">
        <v>384</v>
      </c>
      <c r="B2537" s="80" t="s">
        <v>2693</v>
      </c>
      <c r="C2537" s="89" t="s">
        <v>1035</v>
      </c>
    </row>
    <row r="2538" spans="1:3" ht="15">
      <c r="A2538" s="81" t="s">
        <v>384</v>
      </c>
      <c r="B2538" s="80" t="s">
        <v>2934</v>
      </c>
      <c r="C2538" s="89" t="s">
        <v>1035</v>
      </c>
    </row>
    <row r="2539" spans="1:3" ht="15">
      <c r="A2539" s="81" t="s">
        <v>384</v>
      </c>
      <c r="B2539" s="80" t="s">
        <v>2935</v>
      </c>
      <c r="C2539" s="89" t="s">
        <v>1035</v>
      </c>
    </row>
    <row r="2540" spans="1:3" ht="15">
      <c r="A2540" s="81" t="s">
        <v>384</v>
      </c>
      <c r="B2540" s="80" t="s">
        <v>2936</v>
      </c>
      <c r="C2540" s="89" t="s">
        <v>1035</v>
      </c>
    </row>
    <row r="2541" spans="1:3" ht="15">
      <c r="A2541" s="81" t="s">
        <v>384</v>
      </c>
      <c r="B2541" s="80" t="s">
        <v>2937</v>
      </c>
      <c r="C2541" s="89" t="s">
        <v>1035</v>
      </c>
    </row>
    <row r="2542" spans="1:3" ht="15">
      <c r="A2542" s="81" t="s">
        <v>384</v>
      </c>
      <c r="B2542" s="80" t="s">
        <v>2938</v>
      </c>
      <c r="C2542" s="89" t="s">
        <v>1035</v>
      </c>
    </row>
    <row r="2543" spans="1:3" ht="15">
      <c r="A2543" s="81" t="s">
        <v>384</v>
      </c>
      <c r="B2543" s="80" t="s">
        <v>2691</v>
      </c>
      <c r="C2543" s="89" t="s">
        <v>1035</v>
      </c>
    </row>
    <row r="2544" spans="1:3" ht="15">
      <c r="A2544" s="81" t="s">
        <v>383</v>
      </c>
      <c r="B2544" s="80" t="s">
        <v>2700</v>
      </c>
      <c r="C2544" s="89" t="s">
        <v>1034</v>
      </c>
    </row>
    <row r="2545" spans="1:3" ht="15">
      <c r="A2545" s="81" t="s">
        <v>383</v>
      </c>
      <c r="B2545" s="80" t="s">
        <v>2480</v>
      </c>
      <c r="C2545" s="89" t="s">
        <v>1034</v>
      </c>
    </row>
    <row r="2546" spans="1:3" ht="15">
      <c r="A2546" s="81" t="s">
        <v>383</v>
      </c>
      <c r="B2546" s="80" t="s">
        <v>2481</v>
      </c>
      <c r="C2546" s="89" t="s">
        <v>1034</v>
      </c>
    </row>
    <row r="2547" spans="1:3" ht="15">
      <c r="A2547" s="81" t="s">
        <v>383</v>
      </c>
      <c r="B2547" s="80" t="s">
        <v>2701</v>
      </c>
      <c r="C2547" s="89" t="s">
        <v>1034</v>
      </c>
    </row>
    <row r="2548" spans="1:3" ht="15">
      <c r="A2548" s="81" t="s">
        <v>383</v>
      </c>
      <c r="B2548" s="80" t="s">
        <v>2702</v>
      </c>
      <c r="C2548" s="89" t="s">
        <v>1034</v>
      </c>
    </row>
    <row r="2549" spans="1:3" ht="15">
      <c r="A2549" s="81" t="s">
        <v>383</v>
      </c>
      <c r="B2549" s="80" t="s">
        <v>2483</v>
      </c>
      <c r="C2549" s="89" t="s">
        <v>1034</v>
      </c>
    </row>
    <row r="2550" spans="1:3" ht="15">
      <c r="A2550" s="81" t="s">
        <v>383</v>
      </c>
      <c r="B2550" s="80" t="s">
        <v>2484</v>
      </c>
      <c r="C2550" s="89" t="s">
        <v>1034</v>
      </c>
    </row>
    <row r="2551" spans="1:3" ht="15">
      <c r="A2551" s="81" t="s">
        <v>383</v>
      </c>
      <c r="B2551" s="80" t="s">
        <v>2703</v>
      </c>
      <c r="C2551" s="89" t="s">
        <v>1034</v>
      </c>
    </row>
    <row r="2552" spans="1:3" ht="15">
      <c r="A2552" s="81" t="s">
        <v>383</v>
      </c>
      <c r="B2552" s="80" t="s">
        <v>2485</v>
      </c>
      <c r="C2552" s="89" t="s">
        <v>1034</v>
      </c>
    </row>
    <row r="2553" spans="1:3" ht="15">
      <c r="A2553" s="81" t="s">
        <v>383</v>
      </c>
      <c r="B2553" s="80" t="s">
        <v>2693</v>
      </c>
      <c r="C2553" s="89" t="s">
        <v>1034</v>
      </c>
    </row>
    <row r="2554" spans="1:3" ht="15">
      <c r="A2554" s="81" t="s">
        <v>383</v>
      </c>
      <c r="B2554" s="80" t="s">
        <v>2486</v>
      </c>
      <c r="C2554" s="89" t="s">
        <v>1034</v>
      </c>
    </row>
    <row r="2555" spans="1:3" ht="15">
      <c r="A2555" s="81" t="s">
        <v>383</v>
      </c>
      <c r="B2555" s="80" t="s">
        <v>2704</v>
      </c>
      <c r="C2555" s="89" t="s">
        <v>1034</v>
      </c>
    </row>
    <row r="2556" spans="1:3" ht="15">
      <c r="A2556" s="81" t="s">
        <v>383</v>
      </c>
      <c r="B2556" s="80" t="s">
        <v>2691</v>
      </c>
      <c r="C2556" s="89" t="s">
        <v>1034</v>
      </c>
    </row>
    <row r="2557" spans="1:3" ht="15">
      <c r="A2557" s="81" t="s">
        <v>383</v>
      </c>
      <c r="B2557" s="80" t="s">
        <v>2692</v>
      </c>
      <c r="C2557" s="89" t="s">
        <v>1034</v>
      </c>
    </row>
    <row r="2558" spans="1:3" ht="15">
      <c r="A2558" s="81" t="s">
        <v>383</v>
      </c>
      <c r="B2558" s="80" t="s">
        <v>2477</v>
      </c>
      <c r="C2558" s="89" t="s">
        <v>1034</v>
      </c>
    </row>
    <row r="2559" spans="1:3" ht="15">
      <c r="A2559" s="81" t="s">
        <v>383</v>
      </c>
      <c r="B2559" s="80" t="s">
        <v>2705</v>
      </c>
      <c r="C2559" s="89" t="s">
        <v>1034</v>
      </c>
    </row>
    <row r="2560" spans="1:3" ht="15">
      <c r="A2560" s="81" t="s">
        <v>383</v>
      </c>
      <c r="B2560" s="80" t="s">
        <v>2706</v>
      </c>
      <c r="C2560" s="89" t="s">
        <v>1034</v>
      </c>
    </row>
    <row r="2561" spans="1:3" ht="15">
      <c r="A2561" s="81" t="s">
        <v>383</v>
      </c>
      <c r="B2561" s="80" t="s">
        <v>2707</v>
      </c>
      <c r="C2561" s="89" t="s">
        <v>1034</v>
      </c>
    </row>
    <row r="2562" spans="1:3" ht="15">
      <c r="A2562" s="81" t="s">
        <v>383</v>
      </c>
      <c r="B2562" s="80" t="s">
        <v>2708</v>
      </c>
      <c r="C2562" s="89" t="s">
        <v>1034</v>
      </c>
    </row>
    <row r="2563" spans="1:3" ht="15">
      <c r="A2563" s="81" t="s">
        <v>383</v>
      </c>
      <c r="B2563" s="80" t="s">
        <v>2488</v>
      </c>
      <c r="C2563" s="89" t="s">
        <v>1034</v>
      </c>
    </row>
    <row r="2564" spans="1:3" ht="15">
      <c r="A2564" s="81" t="s">
        <v>383</v>
      </c>
      <c r="B2564" s="80" t="s">
        <v>2709</v>
      </c>
      <c r="C2564" s="89" t="s">
        <v>1034</v>
      </c>
    </row>
    <row r="2565" spans="1:3" ht="15">
      <c r="A2565" s="81" t="s">
        <v>383</v>
      </c>
      <c r="B2565" s="80" t="s">
        <v>2710</v>
      </c>
      <c r="C2565" s="89" t="s">
        <v>1034</v>
      </c>
    </row>
    <row r="2566" spans="1:3" ht="15">
      <c r="A2566" s="81" t="s">
        <v>383</v>
      </c>
      <c r="B2566" s="80" t="s">
        <v>2478</v>
      </c>
      <c r="C2566" s="89" t="s">
        <v>1034</v>
      </c>
    </row>
    <row r="2567" spans="1:3" ht="15">
      <c r="A2567" s="81" t="s">
        <v>383</v>
      </c>
      <c r="B2567" s="80" t="s">
        <v>2476</v>
      </c>
      <c r="C2567" s="89" t="s">
        <v>1034</v>
      </c>
    </row>
    <row r="2568" spans="1:3" ht="15">
      <c r="A2568" s="81" t="s">
        <v>383</v>
      </c>
      <c r="B2568" s="80" t="s">
        <v>2711</v>
      </c>
      <c r="C2568" s="89" t="s">
        <v>1034</v>
      </c>
    </row>
    <row r="2569" spans="1:3" ht="15">
      <c r="A2569" s="81" t="s">
        <v>383</v>
      </c>
      <c r="B2569" s="80" t="s">
        <v>65</v>
      </c>
      <c r="C2569" s="89" t="s">
        <v>1034</v>
      </c>
    </row>
    <row r="2570" spans="1:3" ht="15">
      <c r="A2570" s="81" t="s">
        <v>383</v>
      </c>
      <c r="B2570" s="80" t="s">
        <v>2491</v>
      </c>
      <c r="C2570" s="89" t="s">
        <v>1034</v>
      </c>
    </row>
    <row r="2571" spans="1:3" ht="15">
      <c r="A2571" s="81" t="s">
        <v>382</v>
      </c>
      <c r="B2571" s="80" t="s">
        <v>2700</v>
      </c>
      <c r="C2571" s="89" t="s">
        <v>1033</v>
      </c>
    </row>
    <row r="2572" spans="1:3" ht="15">
      <c r="A2572" s="81" t="s">
        <v>382</v>
      </c>
      <c r="B2572" s="80" t="s">
        <v>2480</v>
      </c>
      <c r="C2572" s="89" t="s">
        <v>1033</v>
      </c>
    </row>
    <row r="2573" spans="1:3" ht="15">
      <c r="A2573" s="81" t="s">
        <v>382</v>
      </c>
      <c r="B2573" s="80" t="s">
        <v>2481</v>
      </c>
      <c r="C2573" s="89" t="s">
        <v>1033</v>
      </c>
    </row>
    <row r="2574" spans="1:3" ht="15">
      <c r="A2574" s="81" t="s">
        <v>382</v>
      </c>
      <c r="B2574" s="80" t="s">
        <v>2701</v>
      </c>
      <c r="C2574" s="89" t="s">
        <v>1033</v>
      </c>
    </row>
    <row r="2575" spans="1:3" ht="15">
      <c r="A2575" s="81" t="s">
        <v>382</v>
      </c>
      <c r="B2575" s="80" t="s">
        <v>2702</v>
      </c>
      <c r="C2575" s="89" t="s">
        <v>1033</v>
      </c>
    </row>
    <row r="2576" spans="1:3" ht="15">
      <c r="A2576" s="81" t="s">
        <v>382</v>
      </c>
      <c r="B2576" s="80" t="s">
        <v>2483</v>
      </c>
      <c r="C2576" s="89" t="s">
        <v>1033</v>
      </c>
    </row>
    <row r="2577" spans="1:3" ht="15">
      <c r="A2577" s="81" t="s">
        <v>382</v>
      </c>
      <c r="B2577" s="80" t="s">
        <v>2484</v>
      </c>
      <c r="C2577" s="89" t="s">
        <v>1033</v>
      </c>
    </row>
    <row r="2578" spans="1:3" ht="15">
      <c r="A2578" s="81" t="s">
        <v>382</v>
      </c>
      <c r="B2578" s="80" t="s">
        <v>2703</v>
      </c>
      <c r="C2578" s="89" t="s">
        <v>1033</v>
      </c>
    </row>
    <row r="2579" spans="1:3" ht="15">
      <c r="A2579" s="81" t="s">
        <v>382</v>
      </c>
      <c r="B2579" s="80" t="s">
        <v>2485</v>
      </c>
      <c r="C2579" s="89" t="s">
        <v>1033</v>
      </c>
    </row>
    <row r="2580" spans="1:3" ht="15">
      <c r="A2580" s="81" t="s">
        <v>382</v>
      </c>
      <c r="B2580" s="80" t="s">
        <v>2693</v>
      </c>
      <c r="C2580" s="89" t="s">
        <v>1033</v>
      </c>
    </row>
    <row r="2581" spans="1:3" ht="15">
      <c r="A2581" s="81" t="s">
        <v>382</v>
      </c>
      <c r="B2581" s="80" t="s">
        <v>2486</v>
      </c>
      <c r="C2581" s="89" t="s">
        <v>1033</v>
      </c>
    </row>
    <row r="2582" spans="1:3" ht="15">
      <c r="A2582" s="81" t="s">
        <v>382</v>
      </c>
      <c r="B2582" s="80" t="s">
        <v>2704</v>
      </c>
      <c r="C2582" s="89" t="s">
        <v>1033</v>
      </c>
    </row>
    <row r="2583" spans="1:3" ht="15">
      <c r="A2583" s="81" t="s">
        <v>382</v>
      </c>
      <c r="B2583" s="80" t="s">
        <v>2691</v>
      </c>
      <c r="C2583" s="89" t="s">
        <v>1033</v>
      </c>
    </row>
    <row r="2584" spans="1:3" ht="15">
      <c r="A2584" s="81" t="s">
        <v>382</v>
      </c>
      <c r="B2584" s="80" t="s">
        <v>2692</v>
      </c>
      <c r="C2584" s="89" t="s">
        <v>1033</v>
      </c>
    </row>
    <row r="2585" spans="1:3" ht="15">
      <c r="A2585" s="81" t="s">
        <v>382</v>
      </c>
      <c r="B2585" s="80" t="s">
        <v>2477</v>
      </c>
      <c r="C2585" s="89" t="s">
        <v>1033</v>
      </c>
    </row>
    <row r="2586" spans="1:3" ht="15">
      <c r="A2586" s="81" t="s">
        <v>382</v>
      </c>
      <c r="B2586" s="80" t="s">
        <v>2705</v>
      </c>
      <c r="C2586" s="89" t="s">
        <v>1033</v>
      </c>
    </row>
    <row r="2587" spans="1:3" ht="15">
      <c r="A2587" s="81" t="s">
        <v>382</v>
      </c>
      <c r="B2587" s="80" t="s">
        <v>2706</v>
      </c>
      <c r="C2587" s="89" t="s">
        <v>1033</v>
      </c>
    </row>
    <row r="2588" spans="1:3" ht="15">
      <c r="A2588" s="81" t="s">
        <v>382</v>
      </c>
      <c r="B2588" s="80" t="s">
        <v>2707</v>
      </c>
      <c r="C2588" s="89" t="s">
        <v>1033</v>
      </c>
    </row>
    <row r="2589" spans="1:3" ht="15">
      <c r="A2589" s="81" t="s">
        <v>382</v>
      </c>
      <c r="B2589" s="80" t="s">
        <v>2708</v>
      </c>
      <c r="C2589" s="89" t="s">
        <v>1033</v>
      </c>
    </row>
    <row r="2590" spans="1:3" ht="15">
      <c r="A2590" s="81" t="s">
        <v>382</v>
      </c>
      <c r="B2590" s="80" t="s">
        <v>2488</v>
      </c>
      <c r="C2590" s="89" t="s">
        <v>1033</v>
      </c>
    </row>
    <row r="2591" spans="1:3" ht="15">
      <c r="A2591" s="81" t="s">
        <v>382</v>
      </c>
      <c r="B2591" s="80" t="s">
        <v>2709</v>
      </c>
      <c r="C2591" s="89" t="s">
        <v>1033</v>
      </c>
    </row>
    <row r="2592" spans="1:3" ht="15">
      <c r="A2592" s="81" t="s">
        <v>382</v>
      </c>
      <c r="B2592" s="80" t="s">
        <v>2710</v>
      </c>
      <c r="C2592" s="89" t="s">
        <v>1033</v>
      </c>
    </row>
    <row r="2593" spans="1:3" ht="15">
      <c r="A2593" s="81" t="s">
        <v>382</v>
      </c>
      <c r="B2593" s="80" t="s">
        <v>2478</v>
      </c>
      <c r="C2593" s="89" t="s">
        <v>1033</v>
      </c>
    </row>
    <row r="2594" spans="1:3" ht="15">
      <c r="A2594" s="81" t="s">
        <v>382</v>
      </c>
      <c r="B2594" s="80" t="s">
        <v>2476</v>
      </c>
      <c r="C2594" s="89" t="s">
        <v>1033</v>
      </c>
    </row>
    <row r="2595" spans="1:3" ht="15">
      <c r="A2595" s="81" t="s">
        <v>382</v>
      </c>
      <c r="B2595" s="80" t="s">
        <v>2711</v>
      </c>
      <c r="C2595" s="89" t="s">
        <v>1033</v>
      </c>
    </row>
    <row r="2596" spans="1:3" ht="15">
      <c r="A2596" s="81" t="s">
        <v>382</v>
      </c>
      <c r="B2596" s="80" t="s">
        <v>65</v>
      </c>
      <c r="C2596" s="89" t="s">
        <v>1033</v>
      </c>
    </row>
    <row r="2597" spans="1:3" ht="15">
      <c r="A2597" s="81" t="s">
        <v>382</v>
      </c>
      <c r="B2597" s="80" t="s">
        <v>2491</v>
      </c>
      <c r="C2597" s="89" t="s">
        <v>1033</v>
      </c>
    </row>
    <row r="2598" spans="1:3" ht="15">
      <c r="A2598" s="81" t="s">
        <v>381</v>
      </c>
      <c r="B2598" s="80" t="s">
        <v>2700</v>
      </c>
      <c r="C2598" s="89" t="s">
        <v>1032</v>
      </c>
    </row>
    <row r="2599" spans="1:3" ht="15">
      <c r="A2599" s="81" t="s">
        <v>381</v>
      </c>
      <c r="B2599" s="80" t="s">
        <v>2480</v>
      </c>
      <c r="C2599" s="89" t="s">
        <v>1032</v>
      </c>
    </row>
    <row r="2600" spans="1:3" ht="15">
      <c r="A2600" s="81" t="s">
        <v>381</v>
      </c>
      <c r="B2600" s="80" t="s">
        <v>2481</v>
      </c>
      <c r="C2600" s="89" t="s">
        <v>1032</v>
      </c>
    </row>
    <row r="2601" spans="1:3" ht="15">
      <c r="A2601" s="81" t="s">
        <v>381</v>
      </c>
      <c r="B2601" s="80" t="s">
        <v>2701</v>
      </c>
      <c r="C2601" s="89" t="s">
        <v>1032</v>
      </c>
    </row>
    <row r="2602" spans="1:3" ht="15">
      <c r="A2602" s="81" t="s">
        <v>381</v>
      </c>
      <c r="B2602" s="80" t="s">
        <v>2702</v>
      </c>
      <c r="C2602" s="89" t="s">
        <v>1032</v>
      </c>
    </row>
    <row r="2603" spans="1:3" ht="15">
      <c r="A2603" s="81" t="s">
        <v>381</v>
      </c>
      <c r="B2603" s="80" t="s">
        <v>2483</v>
      </c>
      <c r="C2603" s="89" t="s">
        <v>1032</v>
      </c>
    </row>
    <row r="2604" spans="1:3" ht="15">
      <c r="A2604" s="81" t="s">
        <v>381</v>
      </c>
      <c r="B2604" s="80" t="s">
        <v>2484</v>
      </c>
      <c r="C2604" s="89" t="s">
        <v>1032</v>
      </c>
    </row>
    <row r="2605" spans="1:3" ht="15">
      <c r="A2605" s="81" t="s">
        <v>381</v>
      </c>
      <c r="B2605" s="80" t="s">
        <v>2703</v>
      </c>
      <c r="C2605" s="89" t="s">
        <v>1032</v>
      </c>
    </row>
    <row r="2606" spans="1:3" ht="15">
      <c r="A2606" s="81" t="s">
        <v>381</v>
      </c>
      <c r="B2606" s="80" t="s">
        <v>2485</v>
      </c>
      <c r="C2606" s="89" t="s">
        <v>1032</v>
      </c>
    </row>
    <row r="2607" spans="1:3" ht="15">
      <c r="A2607" s="81" t="s">
        <v>381</v>
      </c>
      <c r="B2607" s="80" t="s">
        <v>2693</v>
      </c>
      <c r="C2607" s="89" t="s">
        <v>1032</v>
      </c>
    </row>
    <row r="2608" spans="1:3" ht="15">
      <c r="A2608" s="81" t="s">
        <v>381</v>
      </c>
      <c r="B2608" s="80" t="s">
        <v>2486</v>
      </c>
      <c r="C2608" s="89" t="s">
        <v>1032</v>
      </c>
    </row>
    <row r="2609" spans="1:3" ht="15">
      <c r="A2609" s="81" t="s">
        <v>381</v>
      </c>
      <c r="B2609" s="80" t="s">
        <v>2704</v>
      </c>
      <c r="C2609" s="89" t="s">
        <v>1032</v>
      </c>
    </row>
    <row r="2610" spans="1:3" ht="15">
      <c r="A2610" s="81" t="s">
        <v>381</v>
      </c>
      <c r="B2610" s="80" t="s">
        <v>2691</v>
      </c>
      <c r="C2610" s="89" t="s">
        <v>1032</v>
      </c>
    </row>
    <row r="2611" spans="1:3" ht="15">
      <c r="A2611" s="81" t="s">
        <v>381</v>
      </c>
      <c r="B2611" s="80" t="s">
        <v>2692</v>
      </c>
      <c r="C2611" s="89" t="s">
        <v>1032</v>
      </c>
    </row>
    <row r="2612" spans="1:3" ht="15">
      <c r="A2612" s="81" t="s">
        <v>381</v>
      </c>
      <c r="B2612" s="80" t="s">
        <v>2477</v>
      </c>
      <c r="C2612" s="89" t="s">
        <v>1032</v>
      </c>
    </row>
    <row r="2613" spans="1:3" ht="15">
      <c r="A2613" s="81" t="s">
        <v>381</v>
      </c>
      <c r="B2613" s="80" t="s">
        <v>2705</v>
      </c>
      <c r="C2613" s="89" t="s">
        <v>1032</v>
      </c>
    </row>
    <row r="2614" spans="1:3" ht="15">
      <c r="A2614" s="81" t="s">
        <v>381</v>
      </c>
      <c r="B2614" s="80" t="s">
        <v>2706</v>
      </c>
      <c r="C2614" s="89" t="s">
        <v>1032</v>
      </c>
    </row>
    <row r="2615" spans="1:3" ht="15">
      <c r="A2615" s="81" t="s">
        <v>381</v>
      </c>
      <c r="B2615" s="80" t="s">
        <v>2707</v>
      </c>
      <c r="C2615" s="89" t="s">
        <v>1032</v>
      </c>
    </row>
    <row r="2616" spans="1:3" ht="15">
      <c r="A2616" s="81" t="s">
        <v>381</v>
      </c>
      <c r="B2616" s="80" t="s">
        <v>2708</v>
      </c>
      <c r="C2616" s="89" t="s">
        <v>1032</v>
      </c>
    </row>
    <row r="2617" spans="1:3" ht="15">
      <c r="A2617" s="81" t="s">
        <v>381</v>
      </c>
      <c r="B2617" s="80" t="s">
        <v>2488</v>
      </c>
      <c r="C2617" s="89" t="s">
        <v>1032</v>
      </c>
    </row>
    <row r="2618" spans="1:3" ht="15">
      <c r="A2618" s="81" t="s">
        <v>381</v>
      </c>
      <c r="B2618" s="80" t="s">
        <v>2709</v>
      </c>
      <c r="C2618" s="89" t="s">
        <v>1032</v>
      </c>
    </row>
    <row r="2619" spans="1:3" ht="15">
      <c r="A2619" s="81" t="s">
        <v>381</v>
      </c>
      <c r="B2619" s="80" t="s">
        <v>2710</v>
      </c>
      <c r="C2619" s="89" t="s">
        <v>1032</v>
      </c>
    </row>
    <row r="2620" spans="1:3" ht="15">
      <c r="A2620" s="81" t="s">
        <v>381</v>
      </c>
      <c r="B2620" s="80" t="s">
        <v>2478</v>
      </c>
      <c r="C2620" s="89" t="s">
        <v>1032</v>
      </c>
    </row>
    <row r="2621" spans="1:3" ht="15">
      <c r="A2621" s="81" t="s">
        <v>381</v>
      </c>
      <c r="B2621" s="80" t="s">
        <v>2476</v>
      </c>
      <c r="C2621" s="89" t="s">
        <v>1032</v>
      </c>
    </row>
    <row r="2622" spans="1:3" ht="15">
      <c r="A2622" s="81" t="s">
        <v>381</v>
      </c>
      <c r="B2622" s="80" t="s">
        <v>2711</v>
      </c>
      <c r="C2622" s="89" t="s">
        <v>1032</v>
      </c>
    </row>
    <row r="2623" spans="1:3" ht="15">
      <c r="A2623" s="81" t="s">
        <v>381</v>
      </c>
      <c r="B2623" s="80" t="s">
        <v>65</v>
      </c>
      <c r="C2623" s="89" t="s">
        <v>1032</v>
      </c>
    </row>
    <row r="2624" spans="1:3" ht="15">
      <c r="A2624" s="81" t="s">
        <v>381</v>
      </c>
      <c r="B2624" s="80" t="s">
        <v>2491</v>
      </c>
      <c r="C2624" s="89" t="s">
        <v>1032</v>
      </c>
    </row>
    <row r="2625" spans="1:3" ht="15">
      <c r="A2625" s="81" t="s">
        <v>380</v>
      </c>
      <c r="B2625" s="80" t="s">
        <v>2700</v>
      </c>
      <c r="C2625" s="89" t="s">
        <v>1031</v>
      </c>
    </row>
    <row r="2626" spans="1:3" ht="15">
      <c r="A2626" s="81" t="s">
        <v>380</v>
      </c>
      <c r="B2626" s="80" t="s">
        <v>2480</v>
      </c>
      <c r="C2626" s="89" t="s">
        <v>1031</v>
      </c>
    </row>
    <row r="2627" spans="1:3" ht="15">
      <c r="A2627" s="81" t="s">
        <v>380</v>
      </c>
      <c r="B2627" s="80" t="s">
        <v>2481</v>
      </c>
      <c r="C2627" s="89" t="s">
        <v>1031</v>
      </c>
    </row>
    <row r="2628" spans="1:3" ht="15">
      <c r="A2628" s="81" t="s">
        <v>380</v>
      </c>
      <c r="B2628" s="80" t="s">
        <v>2701</v>
      </c>
      <c r="C2628" s="89" t="s">
        <v>1031</v>
      </c>
    </row>
    <row r="2629" spans="1:3" ht="15">
      <c r="A2629" s="81" t="s">
        <v>380</v>
      </c>
      <c r="B2629" s="80" t="s">
        <v>2702</v>
      </c>
      <c r="C2629" s="89" t="s">
        <v>1031</v>
      </c>
    </row>
    <row r="2630" spans="1:3" ht="15">
      <c r="A2630" s="81" t="s">
        <v>380</v>
      </c>
      <c r="B2630" s="80" t="s">
        <v>2483</v>
      </c>
      <c r="C2630" s="89" t="s">
        <v>1031</v>
      </c>
    </row>
    <row r="2631" spans="1:3" ht="15">
      <c r="A2631" s="81" t="s">
        <v>380</v>
      </c>
      <c r="B2631" s="80" t="s">
        <v>2484</v>
      </c>
      <c r="C2631" s="89" t="s">
        <v>1031</v>
      </c>
    </row>
    <row r="2632" spans="1:3" ht="15">
      <c r="A2632" s="81" t="s">
        <v>380</v>
      </c>
      <c r="B2632" s="80" t="s">
        <v>2703</v>
      </c>
      <c r="C2632" s="89" t="s">
        <v>1031</v>
      </c>
    </row>
    <row r="2633" spans="1:3" ht="15">
      <c r="A2633" s="81" t="s">
        <v>380</v>
      </c>
      <c r="B2633" s="80" t="s">
        <v>2485</v>
      </c>
      <c r="C2633" s="89" t="s">
        <v>1031</v>
      </c>
    </row>
    <row r="2634" spans="1:3" ht="15">
      <c r="A2634" s="81" t="s">
        <v>380</v>
      </c>
      <c r="B2634" s="80" t="s">
        <v>2693</v>
      </c>
      <c r="C2634" s="89" t="s">
        <v>1031</v>
      </c>
    </row>
    <row r="2635" spans="1:3" ht="15">
      <c r="A2635" s="81" t="s">
        <v>380</v>
      </c>
      <c r="B2635" s="80" t="s">
        <v>2486</v>
      </c>
      <c r="C2635" s="89" t="s">
        <v>1031</v>
      </c>
    </row>
    <row r="2636" spans="1:3" ht="15">
      <c r="A2636" s="81" t="s">
        <v>380</v>
      </c>
      <c r="B2636" s="80" t="s">
        <v>2704</v>
      </c>
      <c r="C2636" s="89" t="s">
        <v>1031</v>
      </c>
    </row>
    <row r="2637" spans="1:3" ht="15">
      <c r="A2637" s="81" t="s">
        <v>380</v>
      </c>
      <c r="B2637" s="80" t="s">
        <v>2691</v>
      </c>
      <c r="C2637" s="89" t="s">
        <v>1031</v>
      </c>
    </row>
    <row r="2638" spans="1:3" ht="15">
      <c r="A2638" s="81" t="s">
        <v>380</v>
      </c>
      <c r="B2638" s="80" t="s">
        <v>2692</v>
      </c>
      <c r="C2638" s="89" t="s">
        <v>1031</v>
      </c>
    </row>
    <row r="2639" spans="1:3" ht="15">
      <c r="A2639" s="81" t="s">
        <v>380</v>
      </c>
      <c r="B2639" s="80" t="s">
        <v>2477</v>
      </c>
      <c r="C2639" s="89" t="s">
        <v>1031</v>
      </c>
    </row>
    <row r="2640" spans="1:3" ht="15">
      <c r="A2640" s="81" t="s">
        <v>380</v>
      </c>
      <c r="B2640" s="80" t="s">
        <v>2705</v>
      </c>
      <c r="C2640" s="89" t="s">
        <v>1031</v>
      </c>
    </row>
    <row r="2641" spans="1:3" ht="15">
      <c r="A2641" s="81" t="s">
        <v>380</v>
      </c>
      <c r="B2641" s="80" t="s">
        <v>2706</v>
      </c>
      <c r="C2641" s="89" t="s">
        <v>1031</v>
      </c>
    </row>
    <row r="2642" spans="1:3" ht="15">
      <c r="A2642" s="81" t="s">
        <v>380</v>
      </c>
      <c r="B2642" s="80" t="s">
        <v>2707</v>
      </c>
      <c r="C2642" s="89" t="s">
        <v>1031</v>
      </c>
    </row>
    <row r="2643" spans="1:3" ht="15">
      <c r="A2643" s="81" t="s">
        <v>380</v>
      </c>
      <c r="B2643" s="80" t="s">
        <v>2708</v>
      </c>
      <c r="C2643" s="89" t="s">
        <v>1031</v>
      </c>
    </row>
    <row r="2644" spans="1:3" ht="15">
      <c r="A2644" s="81" t="s">
        <v>380</v>
      </c>
      <c r="B2644" s="80" t="s">
        <v>2488</v>
      </c>
      <c r="C2644" s="89" t="s">
        <v>1031</v>
      </c>
    </row>
    <row r="2645" spans="1:3" ht="15">
      <c r="A2645" s="81" t="s">
        <v>380</v>
      </c>
      <c r="B2645" s="80" t="s">
        <v>2709</v>
      </c>
      <c r="C2645" s="89" t="s">
        <v>1031</v>
      </c>
    </row>
    <row r="2646" spans="1:3" ht="15">
      <c r="A2646" s="81" t="s">
        <v>380</v>
      </c>
      <c r="B2646" s="80" t="s">
        <v>2710</v>
      </c>
      <c r="C2646" s="89" t="s">
        <v>1031</v>
      </c>
    </row>
    <row r="2647" spans="1:3" ht="15">
      <c r="A2647" s="81" t="s">
        <v>380</v>
      </c>
      <c r="B2647" s="80" t="s">
        <v>2478</v>
      </c>
      <c r="C2647" s="89" t="s">
        <v>1031</v>
      </c>
    </row>
    <row r="2648" spans="1:3" ht="15">
      <c r="A2648" s="81" t="s">
        <v>380</v>
      </c>
      <c r="B2648" s="80" t="s">
        <v>2476</v>
      </c>
      <c r="C2648" s="89" t="s">
        <v>1031</v>
      </c>
    </row>
    <row r="2649" spans="1:3" ht="15">
      <c r="A2649" s="81" t="s">
        <v>380</v>
      </c>
      <c r="B2649" s="80" t="s">
        <v>2711</v>
      </c>
      <c r="C2649" s="89" t="s">
        <v>1031</v>
      </c>
    </row>
    <row r="2650" spans="1:3" ht="15">
      <c r="A2650" s="81" t="s">
        <v>380</v>
      </c>
      <c r="B2650" s="80" t="s">
        <v>65</v>
      </c>
      <c r="C2650" s="89" t="s">
        <v>1031</v>
      </c>
    </row>
    <row r="2651" spans="1:3" ht="15">
      <c r="A2651" s="81" t="s">
        <v>380</v>
      </c>
      <c r="B2651" s="80" t="s">
        <v>2491</v>
      </c>
      <c r="C2651" s="89" t="s">
        <v>1031</v>
      </c>
    </row>
    <row r="2652" spans="1:3" ht="15">
      <c r="A2652" s="81" t="s">
        <v>379</v>
      </c>
      <c r="B2652" s="80" t="s">
        <v>2939</v>
      </c>
      <c r="C2652" s="89" t="s">
        <v>1030</v>
      </c>
    </row>
    <row r="2653" spans="1:3" ht="15">
      <c r="A2653" s="81" t="s">
        <v>379</v>
      </c>
      <c r="B2653" s="80" t="s">
        <v>2691</v>
      </c>
      <c r="C2653" s="89" t="s">
        <v>1030</v>
      </c>
    </row>
    <row r="2654" spans="1:3" ht="15">
      <c r="A2654" s="81" t="s">
        <v>379</v>
      </c>
      <c r="B2654" s="80" t="s">
        <v>2940</v>
      </c>
      <c r="C2654" s="89" t="s">
        <v>1030</v>
      </c>
    </row>
    <row r="2655" spans="1:3" ht="15">
      <c r="A2655" s="81" t="s">
        <v>379</v>
      </c>
      <c r="B2655" s="80" t="s">
        <v>2941</v>
      </c>
      <c r="C2655" s="89" t="s">
        <v>1030</v>
      </c>
    </row>
    <row r="2656" spans="1:3" ht="15">
      <c r="A2656" s="81" t="s">
        <v>379</v>
      </c>
      <c r="B2656" s="80" t="s">
        <v>2942</v>
      </c>
      <c r="C2656" s="89" t="s">
        <v>1030</v>
      </c>
    </row>
    <row r="2657" spans="1:3" ht="15">
      <c r="A2657" s="81" t="s">
        <v>379</v>
      </c>
      <c r="B2657" s="80" t="s">
        <v>2943</v>
      </c>
      <c r="C2657" s="89" t="s">
        <v>1030</v>
      </c>
    </row>
    <row r="2658" spans="1:3" ht="15">
      <c r="A2658" s="81" t="s">
        <v>379</v>
      </c>
      <c r="B2658" s="80" t="s">
        <v>2944</v>
      </c>
      <c r="C2658" s="89" t="s">
        <v>1030</v>
      </c>
    </row>
    <row r="2659" spans="1:3" ht="15">
      <c r="A2659" s="81" t="s">
        <v>379</v>
      </c>
      <c r="B2659" s="80" t="s">
        <v>2611</v>
      </c>
      <c r="C2659" s="89" t="s">
        <v>1030</v>
      </c>
    </row>
    <row r="2660" spans="1:3" ht="15">
      <c r="A2660" s="81" t="s">
        <v>378</v>
      </c>
      <c r="B2660" s="80" t="s">
        <v>2700</v>
      </c>
      <c r="C2660" s="89" t="s">
        <v>1029</v>
      </c>
    </row>
    <row r="2661" spans="1:3" ht="15">
      <c r="A2661" s="81" t="s">
        <v>378</v>
      </c>
      <c r="B2661" s="80" t="s">
        <v>2480</v>
      </c>
      <c r="C2661" s="89" t="s">
        <v>1029</v>
      </c>
    </row>
    <row r="2662" spans="1:3" ht="15">
      <c r="A2662" s="81" t="s">
        <v>378</v>
      </c>
      <c r="B2662" s="80" t="s">
        <v>2481</v>
      </c>
      <c r="C2662" s="89" t="s">
        <v>1029</v>
      </c>
    </row>
    <row r="2663" spans="1:3" ht="15">
      <c r="A2663" s="81" t="s">
        <v>378</v>
      </c>
      <c r="B2663" s="80" t="s">
        <v>2701</v>
      </c>
      <c r="C2663" s="89" t="s">
        <v>1029</v>
      </c>
    </row>
    <row r="2664" spans="1:3" ht="15">
      <c r="A2664" s="81" t="s">
        <v>378</v>
      </c>
      <c r="B2664" s="80" t="s">
        <v>2702</v>
      </c>
      <c r="C2664" s="89" t="s">
        <v>1029</v>
      </c>
    </row>
    <row r="2665" spans="1:3" ht="15">
      <c r="A2665" s="81" t="s">
        <v>378</v>
      </c>
      <c r="B2665" s="80" t="s">
        <v>2483</v>
      </c>
      <c r="C2665" s="89" t="s">
        <v>1029</v>
      </c>
    </row>
    <row r="2666" spans="1:3" ht="15">
      <c r="A2666" s="81" t="s">
        <v>378</v>
      </c>
      <c r="B2666" s="80" t="s">
        <v>2484</v>
      </c>
      <c r="C2666" s="89" t="s">
        <v>1029</v>
      </c>
    </row>
    <row r="2667" spans="1:3" ht="15">
      <c r="A2667" s="81" t="s">
        <v>378</v>
      </c>
      <c r="B2667" s="80" t="s">
        <v>2703</v>
      </c>
      <c r="C2667" s="89" t="s">
        <v>1029</v>
      </c>
    </row>
    <row r="2668" spans="1:3" ht="15">
      <c r="A2668" s="81" t="s">
        <v>378</v>
      </c>
      <c r="B2668" s="80" t="s">
        <v>2485</v>
      </c>
      <c r="C2668" s="89" t="s">
        <v>1029</v>
      </c>
    </row>
    <row r="2669" spans="1:3" ht="15">
      <c r="A2669" s="81" t="s">
        <v>378</v>
      </c>
      <c r="B2669" s="80" t="s">
        <v>2693</v>
      </c>
      <c r="C2669" s="89" t="s">
        <v>1029</v>
      </c>
    </row>
    <row r="2670" spans="1:3" ht="15">
      <c r="A2670" s="81" t="s">
        <v>378</v>
      </c>
      <c r="B2670" s="80" t="s">
        <v>2486</v>
      </c>
      <c r="C2670" s="89" t="s">
        <v>1029</v>
      </c>
    </row>
    <row r="2671" spans="1:3" ht="15">
      <c r="A2671" s="81" t="s">
        <v>378</v>
      </c>
      <c r="B2671" s="80" t="s">
        <v>2704</v>
      </c>
      <c r="C2671" s="89" t="s">
        <v>1029</v>
      </c>
    </row>
    <row r="2672" spans="1:3" ht="15">
      <c r="A2672" s="81" t="s">
        <v>378</v>
      </c>
      <c r="B2672" s="80" t="s">
        <v>2691</v>
      </c>
      <c r="C2672" s="89" t="s">
        <v>1029</v>
      </c>
    </row>
    <row r="2673" spans="1:3" ht="15">
      <c r="A2673" s="81" t="s">
        <v>378</v>
      </c>
      <c r="B2673" s="80" t="s">
        <v>2692</v>
      </c>
      <c r="C2673" s="89" t="s">
        <v>1029</v>
      </c>
    </row>
    <row r="2674" spans="1:3" ht="15">
      <c r="A2674" s="81" t="s">
        <v>378</v>
      </c>
      <c r="B2674" s="80" t="s">
        <v>2477</v>
      </c>
      <c r="C2674" s="89" t="s">
        <v>1029</v>
      </c>
    </row>
    <row r="2675" spans="1:3" ht="15">
      <c r="A2675" s="81" t="s">
        <v>378</v>
      </c>
      <c r="B2675" s="80" t="s">
        <v>2705</v>
      </c>
      <c r="C2675" s="89" t="s">
        <v>1029</v>
      </c>
    </row>
    <row r="2676" spans="1:3" ht="15">
      <c r="A2676" s="81" t="s">
        <v>378</v>
      </c>
      <c r="B2676" s="80" t="s">
        <v>2706</v>
      </c>
      <c r="C2676" s="89" t="s">
        <v>1029</v>
      </c>
    </row>
    <row r="2677" spans="1:3" ht="15">
      <c r="A2677" s="81" t="s">
        <v>378</v>
      </c>
      <c r="B2677" s="80" t="s">
        <v>2707</v>
      </c>
      <c r="C2677" s="89" t="s">
        <v>1029</v>
      </c>
    </row>
    <row r="2678" spans="1:3" ht="15">
      <c r="A2678" s="81" t="s">
        <v>378</v>
      </c>
      <c r="B2678" s="80" t="s">
        <v>2708</v>
      </c>
      <c r="C2678" s="89" t="s">
        <v>1029</v>
      </c>
    </row>
    <row r="2679" spans="1:3" ht="15">
      <c r="A2679" s="81" t="s">
        <v>378</v>
      </c>
      <c r="B2679" s="80" t="s">
        <v>2488</v>
      </c>
      <c r="C2679" s="89" t="s">
        <v>1029</v>
      </c>
    </row>
    <row r="2680" spans="1:3" ht="15">
      <c r="A2680" s="81" t="s">
        <v>378</v>
      </c>
      <c r="B2680" s="80" t="s">
        <v>2709</v>
      </c>
      <c r="C2680" s="89" t="s">
        <v>1029</v>
      </c>
    </row>
    <row r="2681" spans="1:3" ht="15">
      <c r="A2681" s="81" t="s">
        <v>378</v>
      </c>
      <c r="B2681" s="80" t="s">
        <v>2710</v>
      </c>
      <c r="C2681" s="89" t="s">
        <v>1029</v>
      </c>
    </row>
    <row r="2682" spans="1:3" ht="15">
      <c r="A2682" s="81" t="s">
        <v>378</v>
      </c>
      <c r="B2682" s="80" t="s">
        <v>2478</v>
      </c>
      <c r="C2682" s="89" t="s">
        <v>1029</v>
      </c>
    </row>
    <row r="2683" spans="1:3" ht="15">
      <c r="A2683" s="81" t="s">
        <v>378</v>
      </c>
      <c r="B2683" s="80" t="s">
        <v>2476</v>
      </c>
      <c r="C2683" s="89" t="s">
        <v>1029</v>
      </c>
    </row>
    <row r="2684" spans="1:3" ht="15">
      <c r="A2684" s="81" t="s">
        <v>378</v>
      </c>
      <c r="B2684" s="80" t="s">
        <v>2711</v>
      </c>
      <c r="C2684" s="89" t="s">
        <v>1029</v>
      </c>
    </row>
    <row r="2685" spans="1:3" ht="15">
      <c r="A2685" s="81" t="s">
        <v>378</v>
      </c>
      <c r="B2685" s="80" t="s">
        <v>65</v>
      </c>
      <c r="C2685" s="89" t="s">
        <v>1029</v>
      </c>
    </row>
    <row r="2686" spans="1:3" ht="15">
      <c r="A2686" s="81" t="s">
        <v>378</v>
      </c>
      <c r="B2686" s="80" t="s">
        <v>2491</v>
      </c>
      <c r="C2686" s="89" t="s">
        <v>1029</v>
      </c>
    </row>
    <row r="2687" spans="1:3" ht="15">
      <c r="A2687" s="81" t="s">
        <v>377</v>
      </c>
      <c r="B2687" s="80" t="s">
        <v>2700</v>
      </c>
      <c r="C2687" s="89" t="s">
        <v>1028</v>
      </c>
    </row>
    <row r="2688" spans="1:3" ht="15">
      <c r="A2688" s="81" t="s">
        <v>377</v>
      </c>
      <c r="B2688" s="80" t="s">
        <v>2480</v>
      </c>
      <c r="C2688" s="89" t="s">
        <v>1028</v>
      </c>
    </row>
    <row r="2689" spans="1:3" ht="15">
      <c r="A2689" s="81" t="s">
        <v>377</v>
      </c>
      <c r="B2689" s="80" t="s">
        <v>2481</v>
      </c>
      <c r="C2689" s="89" t="s">
        <v>1028</v>
      </c>
    </row>
    <row r="2690" spans="1:3" ht="15">
      <c r="A2690" s="81" t="s">
        <v>377</v>
      </c>
      <c r="B2690" s="80" t="s">
        <v>2701</v>
      </c>
      <c r="C2690" s="89" t="s">
        <v>1028</v>
      </c>
    </row>
    <row r="2691" spans="1:3" ht="15">
      <c r="A2691" s="81" t="s">
        <v>377</v>
      </c>
      <c r="B2691" s="80" t="s">
        <v>2702</v>
      </c>
      <c r="C2691" s="89" t="s">
        <v>1028</v>
      </c>
    </row>
    <row r="2692" spans="1:3" ht="15">
      <c r="A2692" s="81" t="s">
        <v>377</v>
      </c>
      <c r="B2692" s="80" t="s">
        <v>2483</v>
      </c>
      <c r="C2692" s="89" t="s">
        <v>1028</v>
      </c>
    </row>
    <row r="2693" spans="1:3" ht="15">
      <c r="A2693" s="81" t="s">
        <v>377</v>
      </c>
      <c r="B2693" s="80" t="s">
        <v>2484</v>
      </c>
      <c r="C2693" s="89" t="s">
        <v>1028</v>
      </c>
    </row>
    <row r="2694" spans="1:3" ht="15">
      <c r="A2694" s="81" t="s">
        <v>377</v>
      </c>
      <c r="B2694" s="80" t="s">
        <v>2703</v>
      </c>
      <c r="C2694" s="89" t="s">
        <v>1028</v>
      </c>
    </row>
    <row r="2695" spans="1:3" ht="15">
      <c r="A2695" s="81" t="s">
        <v>377</v>
      </c>
      <c r="B2695" s="80" t="s">
        <v>2485</v>
      </c>
      <c r="C2695" s="89" t="s">
        <v>1028</v>
      </c>
    </row>
    <row r="2696" spans="1:3" ht="15">
      <c r="A2696" s="81" t="s">
        <v>377</v>
      </c>
      <c r="B2696" s="80" t="s">
        <v>2693</v>
      </c>
      <c r="C2696" s="89" t="s">
        <v>1028</v>
      </c>
    </row>
    <row r="2697" spans="1:3" ht="15">
      <c r="A2697" s="81" t="s">
        <v>377</v>
      </c>
      <c r="B2697" s="80" t="s">
        <v>2486</v>
      </c>
      <c r="C2697" s="89" t="s">
        <v>1028</v>
      </c>
    </row>
    <row r="2698" spans="1:3" ht="15">
      <c r="A2698" s="81" t="s">
        <v>377</v>
      </c>
      <c r="B2698" s="80" t="s">
        <v>2704</v>
      </c>
      <c r="C2698" s="89" t="s">
        <v>1028</v>
      </c>
    </row>
    <row r="2699" spans="1:3" ht="15">
      <c r="A2699" s="81" t="s">
        <v>377</v>
      </c>
      <c r="B2699" s="80" t="s">
        <v>2691</v>
      </c>
      <c r="C2699" s="89" t="s">
        <v>1028</v>
      </c>
    </row>
    <row r="2700" spans="1:3" ht="15">
      <c r="A2700" s="81" t="s">
        <v>377</v>
      </c>
      <c r="B2700" s="80" t="s">
        <v>2692</v>
      </c>
      <c r="C2700" s="89" t="s">
        <v>1028</v>
      </c>
    </row>
    <row r="2701" spans="1:3" ht="15">
      <c r="A2701" s="81" t="s">
        <v>377</v>
      </c>
      <c r="B2701" s="80" t="s">
        <v>2477</v>
      </c>
      <c r="C2701" s="89" t="s">
        <v>1028</v>
      </c>
    </row>
    <row r="2702" spans="1:3" ht="15">
      <c r="A2702" s="81" t="s">
        <v>377</v>
      </c>
      <c r="B2702" s="80" t="s">
        <v>2705</v>
      </c>
      <c r="C2702" s="89" t="s">
        <v>1028</v>
      </c>
    </row>
    <row r="2703" spans="1:3" ht="15">
      <c r="A2703" s="81" t="s">
        <v>377</v>
      </c>
      <c r="B2703" s="80" t="s">
        <v>2706</v>
      </c>
      <c r="C2703" s="89" t="s">
        <v>1028</v>
      </c>
    </row>
    <row r="2704" spans="1:3" ht="15">
      <c r="A2704" s="81" t="s">
        <v>377</v>
      </c>
      <c r="B2704" s="80" t="s">
        <v>2707</v>
      </c>
      <c r="C2704" s="89" t="s">
        <v>1028</v>
      </c>
    </row>
    <row r="2705" spans="1:3" ht="15">
      <c r="A2705" s="81" t="s">
        <v>377</v>
      </c>
      <c r="B2705" s="80" t="s">
        <v>2708</v>
      </c>
      <c r="C2705" s="89" t="s">
        <v>1028</v>
      </c>
    </row>
    <row r="2706" spans="1:3" ht="15">
      <c r="A2706" s="81" t="s">
        <v>377</v>
      </c>
      <c r="B2706" s="80" t="s">
        <v>2488</v>
      </c>
      <c r="C2706" s="89" t="s">
        <v>1028</v>
      </c>
    </row>
    <row r="2707" spans="1:3" ht="15">
      <c r="A2707" s="81" t="s">
        <v>377</v>
      </c>
      <c r="B2707" s="80" t="s">
        <v>2709</v>
      </c>
      <c r="C2707" s="89" t="s">
        <v>1028</v>
      </c>
    </row>
    <row r="2708" spans="1:3" ht="15">
      <c r="A2708" s="81" t="s">
        <v>377</v>
      </c>
      <c r="B2708" s="80" t="s">
        <v>2710</v>
      </c>
      <c r="C2708" s="89" t="s">
        <v>1028</v>
      </c>
    </row>
    <row r="2709" spans="1:3" ht="15">
      <c r="A2709" s="81" t="s">
        <v>377</v>
      </c>
      <c r="B2709" s="80" t="s">
        <v>2478</v>
      </c>
      <c r="C2709" s="89" t="s">
        <v>1028</v>
      </c>
    </row>
    <row r="2710" spans="1:3" ht="15">
      <c r="A2710" s="81" t="s">
        <v>377</v>
      </c>
      <c r="B2710" s="80" t="s">
        <v>2476</v>
      </c>
      <c r="C2710" s="89" t="s">
        <v>1028</v>
      </c>
    </row>
    <row r="2711" spans="1:3" ht="15">
      <c r="A2711" s="81" t="s">
        <v>377</v>
      </c>
      <c r="B2711" s="80" t="s">
        <v>2711</v>
      </c>
      <c r="C2711" s="89" t="s">
        <v>1028</v>
      </c>
    </row>
    <row r="2712" spans="1:3" ht="15">
      <c r="A2712" s="81" t="s">
        <v>377</v>
      </c>
      <c r="B2712" s="80" t="s">
        <v>65</v>
      </c>
      <c r="C2712" s="89" t="s">
        <v>1028</v>
      </c>
    </row>
    <row r="2713" spans="1:3" ht="15">
      <c r="A2713" s="81" t="s">
        <v>377</v>
      </c>
      <c r="B2713" s="80" t="s">
        <v>2491</v>
      </c>
      <c r="C2713" s="89" t="s">
        <v>1028</v>
      </c>
    </row>
    <row r="2714" spans="1:3" ht="15">
      <c r="A2714" s="81" t="s">
        <v>376</v>
      </c>
      <c r="B2714" s="80" t="s">
        <v>2945</v>
      </c>
      <c r="C2714" s="89" t="s">
        <v>1027</v>
      </c>
    </row>
    <row r="2715" spans="1:3" ht="15">
      <c r="A2715" s="81" t="s">
        <v>376</v>
      </c>
      <c r="B2715" s="80" t="s">
        <v>2946</v>
      </c>
      <c r="C2715" s="89" t="s">
        <v>1027</v>
      </c>
    </row>
    <row r="2716" spans="1:3" ht="15">
      <c r="A2716" s="81" t="s">
        <v>376</v>
      </c>
      <c r="B2716" s="80" t="s">
        <v>2947</v>
      </c>
      <c r="C2716" s="89" t="s">
        <v>1027</v>
      </c>
    </row>
    <row r="2717" spans="1:3" ht="15">
      <c r="A2717" s="81" t="s">
        <v>376</v>
      </c>
      <c r="B2717" s="80" t="s">
        <v>2612</v>
      </c>
      <c r="C2717" s="89" t="s">
        <v>1027</v>
      </c>
    </row>
    <row r="2718" spans="1:3" ht="15">
      <c r="A2718" s="81" t="s">
        <v>376</v>
      </c>
      <c r="B2718" s="80" t="s">
        <v>2691</v>
      </c>
      <c r="C2718" s="89" t="s">
        <v>1027</v>
      </c>
    </row>
    <row r="2719" spans="1:3" ht="15">
      <c r="A2719" s="81" t="s">
        <v>376</v>
      </c>
      <c r="B2719" s="80" t="s">
        <v>2692</v>
      </c>
      <c r="C2719" s="89" t="s">
        <v>1027</v>
      </c>
    </row>
    <row r="2720" spans="1:3" ht="15">
      <c r="A2720" s="81" t="s">
        <v>376</v>
      </c>
      <c r="B2720" s="80" t="s">
        <v>2948</v>
      </c>
      <c r="C2720" s="89" t="s">
        <v>1027</v>
      </c>
    </row>
    <row r="2721" spans="1:3" ht="15">
      <c r="A2721" s="81" t="s">
        <v>376</v>
      </c>
      <c r="B2721" s="80" t="s">
        <v>2949</v>
      </c>
      <c r="C2721" s="89" t="s">
        <v>1027</v>
      </c>
    </row>
    <row r="2722" spans="1:3" ht="15">
      <c r="A2722" s="81" t="s">
        <v>376</v>
      </c>
      <c r="B2722" s="80" t="s">
        <v>2950</v>
      </c>
      <c r="C2722" s="89" t="s">
        <v>1027</v>
      </c>
    </row>
    <row r="2723" spans="1:3" ht="15">
      <c r="A2723" s="81" t="s">
        <v>376</v>
      </c>
      <c r="B2723" s="80" t="s">
        <v>2951</v>
      </c>
      <c r="C2723" s="89" t="s">
        <v>1027</v>
      </c>
    </row>
    <row r="2724" spans="1:3" ht="15">
      <c r="A2724" s="81" t="s">
        <v>376</v>
      </c>
      <c r="B2724" s="80" t="s">
        <v>2952</v>
      </c>
      <c r="C2724" s="89" t="s">
        <v>1027</v>
      </c>
    </row>
    <row r="2725" spans="1:3" ht="15">
      <c r="A2725" s="81" t="s">
        <v>376</v>
      </c>
      <c r="B2725" s="80" t="s">
        <v>2953</v>
      </c>
      <c r="C2725" s="89" t="s">
        <v>1027</v>
      </c>
    </row>
    <row r="2726" spans="1:3" ht="15">
      <c r="A2726" s="81" t="s">
        <v>376</v>
      </c>
      <c r="B2726" s="80" t="s">
        <v>2954</v>
      </c>
      <c r="C2726" s="89" t="s">
        <v>1027</v>
      </c>
    </row>
    <row r="2727" spans="1:3" ht="15">
      <c r="A2727" s="81" t="s">
        <v>376</v>
      </c>
      <c r="B2727" s="80" t="s">
        <v>2955</v>
      </c>
      <c r="C2727" s="89" t="s">
        <v>1027</v>
      </c>
    </row>
    <row r="2728" spans="1:3" ht="15">
      <c r="A2728" s="81" t="s">
        <v>376</v>
      </c>
      <c r="B2728" s="80" t="s">
        <v>2956</v>
      </c>
      <c r="C2728" s="89" t="s">
        <v>1027</v>
      </c>
    </row>
    <row r="2729" spans="1:3" ht="15">
      <c r="A2729" s="81" t="s">
        <v>376</v>
      </c>
      <c r="B2729" s="80" t="s">
        <v>2957</v>
      </c>
      <c r="C2729" s="89" t="s">
        <v>1027</v>
      </c>
    </row>
    <row r="2730" spans="1:3" ht="15">
      <c r="A2730" s="81" t="s">
        <v>376</v>
      </c>
      <c r="B2730" s="80" t="s">
        <v>2958</v>
      </c>
      <c r="C2730" s="89" t="s">
        <v>1027</v>
      </c>
    </row>
    <row r="2731" spans="1:3" ht="15">
      <c r="A2731" s="81" t="s">
        <v>375</v>
      </c>
      <c r="B2731" s="80" t="s">
        <v>2700</v>
      </c>
      <c r="C2731" s="89" t="s">
        <v>1026</v>
      </c>
    </row>
    <row r="2732" spans="1:3" ht="15">
      <c r="A2732" s="81" t="s">
        <v>375</v>
      </c>
      <c r="B2732" s="80" t="s">
        <v>2480</v>
      </c>
      <c r="C2732" s="89" t="s">
        <v>1026</v>
      </c>
    </row>
    <row r="2733" spans="1:3" ht="15">
      <c r="A2733" s="81" t="s">
        <v>375</v>
      </c>
      <c r="B2733" s="80" t="s">
        <v>2481</v>
      </c>
      <c r="C2733" s="89" t="s">
        <v>1026</v>
      </c>
    </row>
    <row r="2734" spans="1:3" ht="15">
      <c r="A2734" s="81" t="s">
        <v>375</v>
      </c>
      <c r="B2734" s="80" t="s">
        <v>2701</v>
      </c>
      <c r="C2734" s="89" t="s">
        <v>1026</v>
      </c>
    </row>
    <row r="2735" spans="1:3" ht="15">
      <c r="A2735" s="81" t="s">
        <v>375</v>
      </c>
      <c r="B2735" s="80" t="s">
        <v>2702</v>
      </c>
      <c r="C2735" s="89" t="s">
        <v>1026</v>
      </c>
    </row>
    <row r="2736" spans="1:3" ht="15">
      <c r="A2736" s="81" t="s">
        <v>375</v>
      </c>
      <c r="B2736" s="80" t="s">
        <v>2483</v>
      </c>
      <c r="C2736" s="89" t="s">
        <v>1026</v>
      </c>
    </row>
    <row r="2737" spans="1:3" ht="15">
      <c r="A2737" s="81" t="s">
        <v>375</v>
      </c>
      <c r="B2737" s="80" t="s">
        <v>2484</v>
      </c>
      <c r="C2737" s="89" t="s">
        <v>1026</v>
      </c>
    </row>
    <row r="2738" spans="1:3" ht="15">
      <c r="A2738" s="81" t="s">
        <v>375</v>
      </c>
      <c r="B2738" s="80" t="s">
        <v>2703</v>
      </c>
      <c r="C2738" s="89" t="s">
        <v>1026</v>
      </c>
    </row>
    <row r="2739" spans="1:3" ht="15">
      <c r="A2739" s="81" t="s">
        <v>375</v>
      </c>
      <c r="B2739" s="80" t="s">
        <v>2485</v>
      </c>
      <c r="C2739" s="89" t="s">
        <v>1026</v>
      </c>
    </row>
    <row r="2740" spans="1:3" ht="15">
      <c r="A2740" s="81" t="s">
        <v>375</v>
      </c>
      <c r="B2740" s="80" t="s">
        <v>2693</v>
      </c>
      <c r="C2740" s="89" t="s">
        <v>1026</v>
      </c>
    </row>
    <row r="2741" spans="1:3" ht="15">
      <c r="A2741" s="81" t="s">
        <v>375</v>
      </c>
      <c r="B2741" s="80" t="s">
        <v>2486</v>
      </c>
      <c r="C2741" s="89" t="s">
        <v>1026</v>
      </c>
    </row>
    <row r="2742" spans="1:3" ht="15">
      <c r="A2742" s="81" t="s">
        <v>375</v>
      </c>
      <c r="B2742" s="80" t="s">
        <v>2704</v>
      </c>
      <c r="C2742" s="89" t="s">
        <v>1026</v>
      </c>
    </row>
    <row r="2743" spans="1:3" ht="15">
      <c r="A2743" s="81" t="s">
        <v>375</v>
      </c>
      <c r="B2743" s="80" t="s">
        <v>2691</v>
      </c>
      <c r="C2743" s="89" t="s">
        <v>1026</v>
      </c>
    </row>
    <row r="2744" spans="1:3" ht="15">
      <c r="A2744" s="81" t="s">
        <v>375</v>
      </c>
      <c r="B2744" s="80" t="s">
        <v>2692</v>
      </c>
      <c r="C2744" s="89" t="s">
        <v>1026</v>
      </c>
    </row>
    <row r="2745" spans="1:3" ht="15">
      <c r="A2745" s="81" t="s">
        <v>375</v>
      </c>
      <c r="B2745" s="80" t="s">
        <v>2477</v>
      </c>
      <c r="C2745" s="89" t="s">
        <v>1026</v>
      </c>
    </row>
    <row r="2746" spans="1:3" ht="15">
      <c r="A2746" s="81" t="s">
        <v>375</v>
      </c>
      <c r="B2746" s="80" t="s">
        <v>2705</v>
      </c>
      <c r="C2746" s="89" t="s">
        <v>1026</v>
      </c>
    </row>
    <row r="2747" spans="1:3" ht="15">
      <c r="A2747" s="81" t="s">
        <v>375</v>
      </c>
      <c r="B2747" s="80" t="s">
        <v>2706</v>
      </c>
      <c r="C2747" s="89" t="s">
        <v>1026</v>
      </c>
    </row>
    <row r="2748" spans="1:3" ht="15">
      <c r="A2748" s="81" t="s">
        <v>375</v>
      </c>
      <c r="B2748" s="80" t="s">
        <v>2707</v>
      </c>
      <c r="C2748" s="89" t="s">
        <v>1026</v>
      </c>
    </row>
    <row r="2749" spans="1:3" ht="15">
      <c r="A2749" s="81" t="s">
        <v>375</v>
      </c>
      <c r="B2749" s="80" t="s">
        <v>2708</v>
      </c>
      <c r="C2749" s="89" t="s">
        <v>1026</v>
      </c>
    </row>
    <row r="2750" spans="1:3" ht="15">
      <c r="A2750" s="81" t="s">
        <v>375</v>
      </c>
      <c r="B2750" s="80" t="s">
        <v>2488</v>
      </c>
      <c r="C2750" s="89" t="s">
        <v>1026</v>
      </c>
    </row>
    <row r="2751" spans="1:3" ht="15">
      <c r="A2751" s="81" t="s">
        <v>375</v>
      </c>
      <c r="B2751" s="80" t="s">
        <v>2709</v>
      </c>
      <c r="C2751" s="89" t="s">
        <v>1026</v>
      </c>
    </row>
    <row r="2752" spans="1:3" ht="15">
      <c r="A2752" s="81" t="s">
        <v>375</v>
      </c>
      <c r="B2752" s="80" t="s">
        <v>2710</v>
      </c>
      <c r="C2752" s="89" t="s">
        <v>1026</v>
      </c>
    </row>
    <row r="2753" spans="1:3" ht="15">
      <c r="A2753" s="81" t="s">
        <v>375</v>
      </c>
      <c r="B2753" s="80" t="s">
        <v>2478</v>
      </c>
      <c r="C2753" s="89" t="s">
        <v>1026</v>
      </c>
    </row>
    <row r="2754" spans="1:3" ht="15">
      <c r="A2754" s="81" t="s">
        <v>375</v>
      </c>
      <c r="B2754" s="80" t="s">
        <v>2476</v>
      </c>
      <c r="C2754" s="89" t="s">
        <v>1026</v>
      </c>
    </row>
    <row r="2755" spans="1:3" ht="15">
      <c r="A2755" s="81" t="s">
        <v>375</v>
      </c>
      <c r="B2755" s="80" t="s">
        <v>2711</v>
      </c>
      <c r="C2755" s="89" t="s">
        <v>1026</v>
      </c>
    </row>
    <row r="2756" spans="1:3" ht="15">
      <c r="A2756" s="81" t="s">
        <v>375</v>
      </c>
      <c r="B2756" s="80" t="s">
        <v>65</v>
      </c>
      <c r="C2756" s="89" t="s">
        <v>1026</v>
      </c>
    </row>
    <row r="2757" spans="1:3" ht="15">
      <c r="A2757" s="81" t="s">
        <v>375</v>
      </c>
      <c r="B2757" s="80" t="s">
        <v>2491</v>
      </c>
      <c r="C2757" s="89" t="s">
        <v>1026</v>
      </c>
    </row>
    <row r="2758" spans="1:3" ht="15">
      <c r="A2758" s="81" t="s">
        <v>374</v>
      </c>
      <c r="B2758" s="80" t="s">
        <v>2700</v>
      </c>
      <c r="C2758" s="89" t="s">
        <v>1025</v>
      </c>
    </row>
    <row r="2759" spans="1:3" ht="15">
      <c r="A2759" s="81" t="s">
        <v>374</v>
      </c>
      <c r="B2759" s="80" t="s">
        <v>2480</v>
      </c>
      <c r="C2759" s="89" t="s">
        <v>1025</v>
      </c>
    </row>
    <row r="2760" spans="1:3" ht="15">
      <c r="A2760" s="81" t="s">
        <v>374</v>
      </c>
      <c r="B2760" s="80" t="s">
        <v>2481</v>
      </c>
      <c r="C2760" s="89" t="s">
        <v>1025</v>
      </c>
    </row>
    <row r="2761" spans="1:3" ht="15">
      <c r="A2761" s="81" t="s">
        <v>374</v>
      </c>
      <c r="B2761" s="80" t="s">
        <v>2701</v>
      </c>
      <c r="C2761" s="89" t="s">
        <v>1025</v>
      </c>
    </row>
    <row r="2762" spans="1:3" ht="15">
      <c r="A2762" s="81" t="s">
        <v>374</v>
      </c>
      <c r="B2762" s="80" t="s">
        <v>2702</v>
      </c>
      <c r="C2762" s="89" t="s">
        <v>1025</v>
      </c>
    </row>
    <row r="2763" spans="1:3" ht="15">
      <c r="A2763" s="81" t="s">
        <v>374</v>
      </c>
      <c r="B2763" s="80" t="s">
        <v>2483</v>
      </c>
      <c r="C2763" s="89" t="s">
        <v>1025</v>
      </c>
    </row>
    <row r="2764" spans="1:3" ht="15">
      <c r="A2764" s="81" t="s">
        <v>374</v>
      </c>
      <c r="B2764" s="80" t="s">
        <v>2484</v>
      </c>
      <c r="C2764" s="89" t="s">
        <v>1025</v>
      </c>
    </row>
    <row r="2765" spans="1:3" ht="15">
      <c r="A2765" s="81" t="s">
        <v>374</v>
      </c>
      <c r="B2765" s="80" t="s">
        <v>2703</v>
      </c>
      <c r="C2765" s="89" t="s">
        <v>1025</v>
      </c>
    </row>
    <row r="2766" spans="1:3" ht="15">
      <c r="A2766" s="81" t="s">
        <v>374</v>
      </c>
      <c r="B2766" s="80" t="s">
        <v>2485</v>
      </c>
      <c r="C2766" s="89" t="s">
        <v>1025</v>
      </c>
    </row>
    <row r="2767" spans="1:3" ht="15">
      <c r="A2767" s="81" t="s">
        <v>374</v>
      </c>
      <c r="B2767" s="80" t="s">
        <v>2693</v>
      </c>
      <c r="C2767" s="89" t="s">
        <v>1025</v>
      </c>
    </row>
    <row r="2768" spans="1:3" ht="15">
      <c r="A2768" s="81" t="s">
        <v>374</v>
      </c>
      <c r="B2768" s="80" t="s">
        <v>2486</v>
      </c>
      <c r="C2768" s="89" t="s">
        <v>1025</v>
      </c>
    </row>
    <row r="2769" spans="1:3" ht="15">
      <c r="A2769" s="81" t="s">
        <v>374</v>
      </c>
      <c r="B2769" s="80" t="s">
        <v>2704</v>
      </c>
      <c r="C2769" s="89" t="s">
        <v>1025</v>
      </c>
    </row>
    <row r="2770" spans="1:3" ht="15">
      <c r="A2770" s="81" t="s">
        <v>374</v>
      </c>
      <c r="B2770" s="80" t="s">
        <v>2691</v>
      </c>
      <c r="C2770" s="89" t="s">
        <v>1025</v>
      </c>
    </row>
    <row r="2771" spans="1:3" ht="15">
      <c r="A2771" s="81" t="s">
        <v>374</v>
      </c>
      <c r="B2771" s="80" t="s">
        <v>2692</v>
      </c>
      <c r="C2771" s="89" t="s">
        <v>1025</v>
      </c>
    </row>
    <row r="2772" spans="1:3" ht="15">
      <c r="A2772" s="81" t="s">
        <v>374</v>
      </c>
      <c r="B2772" s="80" t="s">
        <v>2477</v>
      </c>
      <c r="C2772" s="89" t="s">
        <v>1025</v>
      </c>
    </row>
    <row r="2773" spans="1:3" ht="15">
      <c r="A2773" s="81" t="s">
        <v>374</v>
      </c>
      <c r="B2773" s="80" t="s">
        <v>2705</v>
      </c>
      <c r="C2773" s="89" t="s">
        <v>1025</v>
      </c>
    </row>
    <row r="2774" spans="1:3" ht="15">
      <c r="A2774" s="81" t="s">
        <v>374</v>
      </c>
      <c r="B2774" s="80" t="s">
        <v>2706</v>
      </c>
      <c r="C2774" s="89" t="s">
        <v>1025</v>
      </c>
    </row>
    <row r="2775" spans="1:3" ht="15">
      <c r="A2775" s="81" t="s">
        <v>374</v>
      </c>
      <c r="B2775" s="80" t="s">
        <v>2707</v>
      </c>
      <c r="C2775" s="89" t="s">
        <v>1025</v>
      </c>
    </row>
    <row r="2776" spans="1:3" ht="15">
      <c r="A2776" s="81" t="s">
        <v>374</v>
      </c>
      <c r="B2776" s="80" t="s">
        <v>2708</v>
      </c>
      <c r="C2776" s="89" t="s">
        <v>1025</v>
      </c>
    </row>
    <row r="2777" spans="1:3" ht="15">
      <c r="A2777" s="81" t="s">
        <v>374</v>
      </c>
      <c r="B2777" s="80" t="s">
        <v>2488</v>
      </c>
      <c r="C2777" s="89" t="s">
        <v>1025</v>
      </c>
    </row>
    <row r="2778" spans="1:3" ht="15">
      <c r="A2778" s="81" t="s">
        <v>374</v>
      </c>
      <c r="B2778" s="80" t="s">
        <v>2709</v>
      </c>
      <c r="C2778" s="89" t="s">
        <v>1025</v>
      </c>
    </row>
    <row r="2779" spans="1:3" ht="15">
      <c r="A2779" s="81" t="s">
        <v>374</v>
      </c>
      <c r="B2779" s="80" t="s">
        <v>2710</v>
      </c>
      <c r="C2779" s="89" t="s">
        <v>1025</v>
      </c>
    </row>
    <row r="2780" spans="1:3" ht="15">
      <c r="A2780" s="81" t="s">
        <v>374</v>
      </c>
      <c r="B2780" s="80" t="s">
        <v>2478</v>
      </c>
      <c r="C2780" s="89" t="s">
        <v>1025</v>
      </c>
    </row>
    <row r="2781" spans="1:3" ht="15">
      <c r="A2781" s="81" t="s">
        <v>374</v>
      </c>
      <c r="B2781" s="80" t="s">
        <v>2476</v>
      </c>
      <c r="C2781" s="89" t="s">
        <v>1025</v>
      </c>
    </row>
    <row r="2782" spans="1:3" ht="15">
      <c r="A2782" s="81" t="s">
        <v>374</v>
      </c>
      <c r="B2782" s="80" t="s">
        <v>2711</v>
      </c>
      <c r="C2782" s="89" t="s">
        <v>1025</v>
      </c>
    </row>
    <row r="2783" spans="1:3" ht="15">
      <c r="A2783" s="81" t="s">
        <v>374</v>
      </c>
      <c r="B2783" s="80" t="s">
        <v>65</v>
      </c>
      <c r="C2783" s="89" t="s">
        <v>1025</v>
      </c>
    </row>
    <row r="2784" spans="1:3" ht="15">
      <c r="A2784" s="81" t="s">
        <v>374</v>
      </c>
      <c r="B2784" s="80" t="s">
        <v>2491</v>
      </c>
      <c r="C2784" s="89" t="s">
        <v>1025</v>
      </c>
    </row>
    <row r="2785" spans="1:3" ht="15">
      <c r="A2785" s="81" t="s">
        <v>373</v>
      </c>
      <c r="B2785" s="80" t="s">
        <v>2691</v>
      </c>
      <c r="C2785" s="89" t="s">
        <v>1024</v>
      </c>
    </row>
    <row r="2786" spans="1:3" ht="15">
      <c r="A2786" s="81" t="s">
        <v>373</v>
      </c>
      <c r="B2786" s="80" t="s">
        <v>2692</v>
      </c>
      <c r="C2786" s="89" t="s">
        <v>1024</v>
      </c>
    </row>
    <row r="2787" spans="1:3" ht="15">
      <c r="A2787" s="81" t="s">
        <v>373</v>
      </c>
      <c r="B2787" s="80" t="s">
        <v>2494</v>
      </c>
      <c r="C2787" s="89" t="s">
        <v>1024</v>
      </c>
    </row>
    <row r="2788" spans="1:3" ht="15">
      <c r="A2788" s="81" t="s">
        <v>373</v>
      </c>
      <c r="B2788" s="80" t="s">
        <v>2492</v>
      </c>
      <c r="C2788" s="89" t="s">
        <v>1024</v>
      </c>
    </row>
    <row r="2789" spans="1:3" ht="15">
      <c r="A2789" s="81" t="s">
        <v>373</v>
      </c>
      <c r="B2789" s="80" t="s">
        <v>2495</v>
      </c>
      <c r="C2789" s="89" t="s">
        <v>1024</v>
      </c>
    </row>
    <row r="2790" spans="1:3" ht="15">
      <c r="A2790" s="81" t="s">
        <v>373</v>
      </c>
      <c r="B2790" s="80" t="s">
        <v>2493</v>
      </c>
      <c r="C2790" s="89" t="s">
        <v>1024</v>
      </c>
    </row>
    <row r="2791" spans="1:3" ht="15">
      <c r="A2791" s="81" t="s">
        <v>372</v>
      </c>
      <c r="B2791" s="80" t="s">
        <v>2700</v>
      </c>
      <c r="C2791" s="89" t="s">
        <v>1023</v>
      </c>
    </row>
    <row r="2792" spans="1:3" ht="15">
      <c r="A2792" s="81" t="s">
        <v>372</v>
      </c>
      <c r="B2792" s="80" t="s">
        <v>2480</v>
      </c>
      <c r="C2792" s="89" t="s">
        <v>1023</v>
      </c>
    </row>
    <row r="2793" spans="1:3" ht="15">
      <c r="A2793" s="81" t="s">
        <v>372</v>
      </c>
      <c r="B2793" s="80" t="s">
        <v>2481</v>
      </c>
      <c r="C2793" s="89" t="s">
        <v>1023</v>
      </c>
    </row>
    <row r="2794" spans="1:3" ht="15">
      <c r="A2794" s="81" t="s">
        <v>372</v>
      </c>
      <c r="B2794" s="80" t="s">
        <v>2701</v>
      </c>
      <c r="C2794" s="89" t="s">
        <v>1023</v>
      </c>
    </row>
    <row r="2795" spans="1:3" ht="15">
      <c r="A2795" s="81" t="s">
        <v>372</v>
      </c>
      <c r="B2795" s="80" t="s">
        <v>2702</v>
      </c>
      <c r="C2795" s="89" t="s">
        <v>1023</v>
      </c>
    </row>
    <row r="2796" spans="1:3" ht="15">
      <c r="A2796" s="81" t="s">
        <v>372</v>
      </c>
      <c r="B2796" s="80" t="s">
        <v>2483</v>
      </c>
      <c r="C2796" s="89" t="s">
        <v>1023</v>
      </c>
    </row>
    <row r="2797" spans="1:3" ht="15">
      <c r="A2797" s="81" t="s">
        <v>372</v>
      </c>
      <c r="B2797" s="80" t="s">
        <v>2484</v>
      </c>
      <c r="C2797" s="89" t="s">
        <v>1023</v>
      </c>
    </row>
    <row r="2798" spans="1:3" ht="15">
      <c r="A2798" s="81" t="s">
        <v>372</v>
      </c>
      <c r="B2798" s="80" t="s">
        <v>2703</v>
      </c>
      <c r="C2798" s="89" t="s">
        <v>1023</v>
      </c>
    </row>
    <row r="2799" spans="1:3" ht="15">
      <c r="A2799" s="81" t="s">
        <v>372</v>
      </c>
      <c r="B2799" s="80" t="s">
        <v>2485</v>
      </c>
      <c r="C2799" s="89" t="s">
        <v>1023</v>
      </c>
    </row>
    <row r="2800" spans="1:3" ht="15">
      <c r="A2800" s="81" t="s">
        <v>372</v>
      </c>
      <c r="B2800" s="80" t="s">
        <v>2693</v>
      </c>
      <c r="C2800" s="89" t="s">
        <v>1023</v>
      </c>
    </row>
    <row r="2801" spans="1:3" ht="15">
      <c r="A2801" s="81" t="s">
        <v>372</v>
      </c>
      <c r="B2801" s="80" t="s">
        <v>2486</v>
      </c>
      <c r="C2801" s="89" t="s">
        <v>1023</v>
      </c>
    </row>
    <row r="2802" spans="1:3" ht="15">
      <c r="A2802" s="81" t="s">
        <v>372</v>
      </c>
      <c r="B2802" s="80" t="s">
        <v>2704</v>
      </c>
      <c r="C2802" s="89" t="s">
        <v>1023</v>
      </c>
    </row>
    <row r="2803" spans="1:3" ht="15">
      <c r="A2803" s="81" t="s">
        <v>372</v>
      </c>
      <c r="B2803" s="80" t="s">
        <v>2691</v>
      </c>
      <c r="C2803" s="89" t="s">
        <v>1023</v>
      </c>
    </row>
    <row r="2804" spans="1:3" ht="15">
      <c r="A2804" s="81" t="s">
        <v>372</v>
      </c>
      <c r="B2804" s="80" t="s">
        <v>2692</v>
      </c>
      <c r="C2804" s="89" t="s">
        <v>1023</v>
      </c>
    </row>
    <row r="2805" spans="1:3" ht="15">
      <c r="A2805" s="81" t="s">
        <v>372</v>
      </c>
      <c r="B2805" s="80" t="s">
        <v>2477</v>
      </c>
      <c r="C2805" s="89" t="s">
        <v>1023</v>
      </c>
    </row>
    <row r="2806" spans="1:3" ht="15">
      <c r="A2806" s="81" t="s">
        <v>372</v>
      </c>
      <c r="B2806" s="80" t="s">
        <v>2705</v>
      </c>
      <c r="C2806" s="89" t="s">
        <v>1023</v>
      </c>
    </row>
    <row r="2807" spans="1:3" ht="15">
      <c r="A2807" s="81" t="s">
        <v>372</v>
      </c>
      <c r="B2807" s="80" t="s">
        <v>2706</v>
      </c>
      <c r="C2807" s="89" t="s">
        <v>1023</v>
      </c>
    </row>
    <row r="2808" spans="1:3" ht="15">
      <c r="A2808" s="81" t="s">
        <v>372</v>
      </c>
      <c r="B2808" s="80" t="s">
        <v>2707</v>
      </c>
      <c r="C2808" s="89" t="s">
        <v>1023</v>
      </c>
    </row>
    <row r="2809" spans="1:3" ht="15">
      <c r="A2809" s="81" t="s">
        <v>372</v>
      </c>
      <c r="B2809" s="80" t="s">
        <v>2708</v>
      </c>
      <c r="C2809" s="89" t="s">
        <v>1023</v>
      </c>
    </row>
    <row r="2810" spans="1:3" ht="15">
      <c r="A2810" s="81" t="s">
        <v>372</v>
      </c>
      <c r="B2810" s="80" t="s">
        <v>2488</v>
      </c>
      <c r="C2810" s="89" t="s">
        <v>1023</v>
      </c>
    </row>
    <row r="2811" spans="1:3" ht="15">
      <c r="A2811" s="81" t="s">
        <v>372</v>
      </c>
      <c r="B2811" s="80" t="s">
        <v>2709</v>
      </c>
      <c r="C2811" s="89" t="s">
        <v>1023</v>
      </c>
    </row>
    <row r="2812" spans="1:3" ht="15">
      <c r="A2812" s="81" t="s">
        <v>372</v>
      </c>
      <c r="B2812" s="80" t="s">
        <v>2710</v>
      </c>
      <c r="C2812" s="89" t="s">
        <v>1023</v>
      </c>
    </row>
    <row r="2813" spans="1:3" ht="15">
      <c r="A2813" s="81" t="s">
        <v>372</v>
      </c>
      <c r="B2813" s="80" t="s">
        <v>2478</v>
      </c>
      <c r="C2813" s="89" t="s">
        <v>1023</v>
      </c>
    </row>
    <row r="2814" spans="1:3" ht="15">
      <c r="A2814" s="81" t="s">
        <v>372</v>
      </c>
      <c r="B2814" s="80" t="s">
        <v>2476</v>
      </c>
      <c r="C2814" s="89" t="s">
        <v>1023</v>
      </c>
    </row>
    <row r="2815" spans="1:3" ht="15">
      <c r="A2815" s="81" t="s">
        <v>372</v>
      </c>
      <c r="B2815" s="80" t="s">
        <v>2711</v>
      </c>
      <c r="C2815" s="89" t="s">
        <v>1023</v>
      </c>
    </row>
    <row r="2816" spans="1:3" ht="15">
      <c r="A2816" s="81" t="s">
        <v>372</v>
      </c>
      <c r="B2816" s="80" t="s">
        <v>65</v>
      </c>
      <c r="C2816" s="89" t="s">
        <v>1023</v>
      </c>
    </row>
    <row r="2817" spans="1:3" ht="15">
      <c r="A2817" s="81" t="s">
        <v>372</v>
      </c>
      <c r="B2817" s="80" t="s">
        <v>2491</v>
      </c>
      <c r="C2817" s="89" t="s">
        <v>1023</v>
      </c>
    </row>
    <row r="2818" spans="1:3" ht="15">
      <c r="A2818" s="81" t="s">
        <v>371</v>
      </c>
      <c r="B2818" s="80" t="s">
        <v>2959</v>
      </c>
      <c r="C2818" s="89" t="s">
        <v>1022</v>
      </c>
    </row>
    <row r="2819" spans="1:3" ht="15">
      <c r="A2819" s="81" t="s">
        <v>371</v>
      </c>
      <c r="B2819" s="80" t="s">
        <v>2693</v>
      </c>
      <c r="C2819" s="89" t="s">
        <v>1022</v>
      </c>
    </row>
    <row r="2820" spans="1:3" ht="15">
      <c r="A2820" s="81" t="s">
        <v>371</v>
      </c>
      <c r="B2820" s="80" t="s">
        <v>2960</v>
      </c>
      <c r="C2820" s="89" t="s">
        <v>1022</v>
      </c>
    </row>
    <row r="2821" spans="1:3" ht="15">
      <c r="A2821" s="81" t="s">
        <v>371</v>
      </c>
      <c r="B2821" s="80" t="s">
        <v>2961</v>
      </c>
      <c r="C2821" s="89" t="s">
        <v>1022</v>
      </c>
    </row>
    <row r="2822" spans="1:3" ht="15">
      <c r="A2822" s="81" t="s">
        <v>371</v>
      </c>
      <c r="B2822" s="80" t="s">
        <v>2962</v>
      </c>
      <c r="C2822" s="89" t="s">
        <v>1022</v>
      </c>
    </row>
    <row r="2823" spans="1:3" ht="15">
      <c r="A2823" s="81" t="s">
        <v>371</v>
      </c>
      <c r="B2823" s="80" t="s">
        <v>2963</v>
      </c>
      <c r="C2823" s="89" t="s">
        <v>1022</v>
      </c>
    </row>
    <row r="2824" spans="1:3" ht="15">
      <c r="A2824" s="81" t="s">
        <v>371</v>
      </c>
      <c r="B2824" s="80" t="s">
        <v>2707</v>
      </c>
      <c r="C2824" s="89" t="s">
        <v>1022</v>
      </c>
    </row>
    <row r="2825" spans="1:3" ht="15">
      <c r="A2825" s="81" t="s">
        <v>371</v>
      </c>
      <c r="B2825" s="80" t="s">
        <v>2614</v>
      </c>
      <c r="C2825" s="89" t="s">
        <v>1022</v>
      </c>
    </row>
    <row r="2826" spans="1:3" ht="15">
      <c r="A2826" s="81" t="s">
        <v>371</v>
      </c>
      <c r="B2826" s="80" t="s">
        <v>2691</v>
      </c>
      <c r="C2826" s="89" t="s">
        <v>1022</v>
      </c>
    </row>
    <row r="2827" spans="1:3" ht="15">
      <c r="A2827" s="81" t="s">
        <v>370</v>
      </c>
      <c r="B2827" s="80" t="s">
        <v>2700</v>
      </c>
      <c r="C2827" s="89" t="s">
        <v>1021</v>
      </c>
    </row>
    <row r="2828" spans="1:3" ht="15">
      <c r="A2828" s="81" t="s">
        <v>370</v>
      </c>
      <c r="B2828" s="80" t="s">
        <v>2480</v>
      </c>
      <c r="C2828" s="89" t="s">
        <v>1021</v>
      </c>
    </row>
    <row r="2829" spans="1:3" ht="15">
      <c r="A2829" s="81" t="s">
        <v>370</v>
      </c>
      <c r="B2829" s="80" t="s">
        <v>2481</v>
      </c>
      <c r="C2829" s="89" t="s">
        <v>1021</v>
      </c>
    </row>
    <row r="2830" spans="1:3" ht="15">
      <c r="A2830" s="81" t="s">
        <v>370</v>
      </c>
      <c r="B2830" s="80" t="s">
        <v>2701</v>
      </c>
      <c r="C2830" s="89" t="s">
        <v>1021</v>
      </c>
    </row>
    <row r="2831" spans="1:3" ht="15">
      <c r="A2831" s="81" t="s">
        <v>370</v>
      </c>
      <c r="B2831" s="80" t="s">
        <v>2702</v>
      </c>
      <c r="C2831" s="89" t="s">
        <v>1021</v>
      </c>
    </row>
    <row r="2832" spans="1:3" ht="15">
      <c r="A2832" s="81" t="s">
        <v>370</v>
      </c>
      <c r="B2832" s="80" t="s">
        <v>2483</v>
      </c>
      <c r="C2832" s="89" t="s">
        <v>1021</v>
      </c>
    </row>
    <row r="2833" spans="1:3" ht="15">
      <c r="A2833" s="81" t="s">
        <v>370</v>
      </c>
      <c r="B2833" s="80" t="s">
        <v>2484</v>
      </c>
      <c r="C2833" s="89" t="s">
        <v>1021</v>
      </c>
    </row>
    <row r="2834" spans="1:3" ht="15">
      <c r="A2834" s="81" t="s">
        <v>370</v>
      </c>
      <c r="B2834" s="80" t="s">
        <v>2703</v>
      </c>
      <c r="C2834" s="89" t="s">
        <v>1021</v>
      </c>
    </row>
    <row r="2835" spans="1:3" ht="15">
      <c r="A2835" s="81" t="s">
        <v>370</v>
      </c>
      <c r="B2835" s="80" t="s">
        <v>2485</v>
      </c>
      <c r="C2835" s="89" t="s">
        <v>1021</v>
      </c>
    </row>
    <row r="2836" spans="1:3" ht="15">
      <c r="A2836" s="81" t="s">
        <v>370</v>
      </c>
      <c r="B2836" s="80" t="s">
        <v>2693</v>
      </c>
      <c r="C2836" s="89" t="s">
        <v>1021</v>
      </c>
    </row>
    <row r="2837" spans="1:3" ht="15">
      <c r="A2837" s="81" t="s">
        <v>370</v>
      </c>
      <c r="B2837" s="80" t="s">
        <v>2486</v>
      </c>
      <c r="C2837" s="89" t="s">
        <v>1021</v>
      </c>
    </row>
    <row r="2838" spans="1:3" ht="15">
      <c r="A2838" s="81" t="s">
        <v>370</v>
      </c>
      <c r="B2838" s="80" t="s">
        <v>2704</v>
      </c>
      <c r="C2838" s="89" t="s">
        <v>1021</v>
      </c>
    </row>
    <row r="2839" spans="1:3" ht="15">
      <c r="A2839" s="81" t="s">
        <v>370</v>
      </c>
      <c r="B2839" s="80" t="s">
        <v>2691</v>
      </c>
      <c r="C2839" s="89" t="s">
        <v>1021</v>
      </c>
    </row>
    <row r="2840" spans="1:3" ht="15">
      <c r="A2840" s="81" t="s">
        <v>370</v>
      </c>
      <c r="B2840" s="80" t="s">
        <v>2692</v>
      </c>
      <c r="C2840" s="89" t="s">
        <v>1021</v>
      </c>
    </row>
    <row r="2841" spans="1:3" ht="15">
      <c r="A2841" s="81" t="s">
        <v>370</v>
      </c>
      <c r="B2841" s="80" t="s">
        <v>2477</v>
      </c>
      <c r="C2841" s="89" t="s">
        <v>1021</v>
      </c>
    </row>
    <row r="2842" spans="1:3" ht="15">
      <c r="A2842" s="81" t="s">
        <v>370</v>
      </c>
      <c r="B2842" s="80" t="s">
        <v>2705</v>
      </c>
      <c r="C2842" s="89" t="s">
        <v>1021</v>
      </c>
    </row>
    <row r="2843" spans="1:3" ht="15">
      <c r="A2843" s="81" t="s">
        <v>370</v>
      </c>
      <c r="B2843" s="80" t="s">
        <v>2706</v>
      </c>
      <c r="C2843" s="89" t="s">
        <v>1021</v>
      </c>
    </row>
    <row r="2844" spans="1:3" ht="15">
      <c r="A2844" s="81" t="s">
        <v>370</v>
      </c>
      <c r="B2844" s="80" t="s">
        <v>2707</v>
      </c>
      <c r="C2844" s="89" t="s">
        <v>1021</v>
      </c>
    </row>
    <row r="2845" spans="1:3" ht="15">
      <c r="A2845" s="81" t="s">
        <v>370</v>
      </c>
      <c r="B2845" s="80" t="s">
        <v>2708</v>
      </c>
      <c r="C2845" s="89" t="s">
        <v>1021</v>
      </c>
    </row>
    <row r="2846" spans="1:3" ht="15">
      <c r="A2846" s="81" t="s">
        <v>370</v>
      </c>
      <c r="B2846" s="80" t="s">
        <v>2488</v>
      </c>
      <c r="C2846" s="89" t="s">
        <v>1021</v>
      </c>
    </row>
    <row r="2847" spans="1:3" ht="15">
      <c r="A2847" s="81" t="s">
        <v>370</v>
      </c>
      <c r="B2847" s="80" t="s">
        <v>2709</v>
      </c>
      <c r="C2847" s="89" t="s">
        <v>1021</v>
      </c>
    </row>
    <row r="2848" spans="1:3" ht="15">
      <c r="A2848" s="81" t="s">
        <v>370</v>
      </c>
      <c r="B2848" s="80" t="s">
        <v>2710</v>
      </c>
      <c r="C2848" s="89" t="s">
        <v>1021</v>
      </c>
    </row>
    <row r="2849" spans="1:3" ht="15">
      <c r="A2849" s="81" t="s">
        <v>370</v>
      </c>
      <c r="B2849" s="80" t="s">
        <v>2478</v>
      </c>
      <c r="C2849" s="89" t="s">
        <v>1021</v>
      </c>
    </row>
    <row r="2850" spans="1:3" ht="15">
      <c r="A2850" s="81" t="s">
        <v>370</v>
      </c>
      <c r="B2850" s="80" t="s">
        <v>2476</v>
      </c>
      <c r="C2850" s="89" t="s">
        <v>1021</v>
      </c>
    </row>
    <row r="2851" spans="1:3" ht="15">
      <c r="A2851" s="81" t="s">
        <v>370</v>
      </c>
      <c r="B2851" s="80" t="s">
        <v>2711</v>
      </c>
      <c r="C2851" s="89" t="s">
        <v>1021</v>
      </c>
    </row>
    <row r="2852" spans="1:3" ht="15">
      <c r="A2852" s="81" t="s">
        <v>370</v>
      </c>
      <c r="B2852" s="80" t="s">
        <v>65</v>
      </c>
      <c r="C2852" s="89" t="s">
        <v>1021</v>
      </c>
    </row>
    <row r="2853" spans="1:3" ht="15">
      <c r="A2853" s="81" t="s">
        <v>370</v>
      </c>
      <c r="B2853" s="80" t="s">
        <v>2491</v>
      </c>
      <c r="C2853" s="89" t="s">
        <v>1021</v>
      </c>
    </row>
    <row r="2854" spans="1:3" ht="15">
      <c r="A2854" s="81" t="s">
        <v>369</v>
      </c>
      <c r="B2854" s="80" t="s">
        <v>2700</v>
      </c>
      <c r="C2854" s="89" t="s">
        <v>1020</v>
      </c>
    </row>
    <row r="2855" spans="1:3" ht="15">
      <c r="A2855" s="81" t="s">
        <v>369</v>
      </c>
      <c r="B2855" s="80" t="s">
        <v>2480</v>
      </c>
      <c r="C2855" s="89" t="s">
        <v>1020</v>
      </c>
    </row>
    <row r="2856" spans="1:3" ht="15">
      <c r="A2856" s="81" t="s">
        <v>369</v>
      </c>
      <c r="B2856" s="80" t="s">
        <v>2481</v>
      </c>
      <c r="C2856" s="89" t="s">
        <v>1020</v>
      </c>
    </row>
    <row r="2857" spans="1:3" ht="15">
      <c r="A2857" s="81" t="s">
        <v>369</v>
      </c>
      <c r="B2857" s="80" t="s">
        <v>2701</v>
      </c>
      <c r="C2857" s="89" t="s">
        <v>1020</v>
      </c>
    </row>
    <row r="2858" spans="1:3" ht="15">
      <c r="A2858" s="81" t="s">
        <v>369</v>
      </c>
      <c r="B2858" s="80" t="s">
        <v>2702</v>
      </c>
      <c r="C2858" s="89" t="s">
        <v>1020</v>
      </c>
    </row>
    <row r="2859" spans="1:3" ht="15">
      <c r="A2859" s="81" t="s">
        <v>369</v>
      </c>
      <c r="B2859" s="80" t="s">
        <v>2483</v>
      </c>
      <c r="C2859" s="89" t="s">
        <v>1020</v>
      </c>
    </row>
    <row r="2860" spans="1:3" ht="15">
      <c r="A2860" s="81" t="s">
        <v>369</v>
      </c>
      <c r="B2860" s="80" t="s">
        <v>2484</v>
      </c>
      <c r="C2860" s="89" t="s">
        <v>1020</v>
      </c>
    </row>
    <row r="2861" spans="1:3" ht="15">
      <c r="A2861" s="81" t="s">
        <v>369</v>
      </c>
      <c r="B2861" s="80" t="s">
        <v>2703</v>
      </c>
      <c r="C2861" s="89" t="s">
        <v>1020</v>
      </c>
    </row>
    <row r="2862" spans="1:3" ht="15">
      <c r="A2862" s="81" t="s">
        <v>369</v>
      </c>
      <c r="B2862" s="80" t="s">
        <v>2485</v>
      </c>
      <c r="C2862" s="89" t="s">
        <v>1020</v>
      </c>
    </row>
    <row r="2863" spans="1:3" ht="15">
      <c r="A2863" s="81" t="s">
        <v>369</v>
      </c>
      <c r="B2863" s="80" t="s">
        <v>2693</v>
      </c>
      <c r="C2863" s="89" t="s">
        <v>1020</v>
      </c>
    </row>
    <row r="2864" spans="1:3" ht="15">
      <c r="A2864" s="81" t="s">
        <v>369</v>
      </c>
      <c r="B2864" s="80" t="s">
        <v>2486</v>
      </c>
      <c r="C2864" s="89" t="s">
        <v>1020</v>
      </c>
    </row>
    <row r="2865" spans="1:3" ht="15">
      <c r="A2865" s="81" t="s">
        <v>369</v>
      </c>
      <c r="B2865" s="80" t="s">
        <v>2704</v>
      </c>
      <c r="C2865" s="89" t="s">
        <v>1020</v>
      </c>
    </row>
    <row r="2866" spans="1:3" ht="15">
      <c r="A2866" s="81" t="s">
        <v>369</v>
      </c>
      <c r="B2866" s="80" t="s">
        <v>2691</v>
      </c>
      <c r="C2866" s="89" t="s">
        <v>1020</v>
      </c>
    </row>
    <row r="2867" spans="1:3" ht="15">
      <c r="A2867" s="81" t="s">
        <v>369</v>
      </c>
      <c r="B2867" s="80" t="s">
        <v>2692</v>
      </c>
      <c r="C2867" s="89" t="s">
        <v>1020</v>
      </c>
    </row>
    <row r="2868" spans="1:3" ht="15">
      <c r="A2868" s="81" t="s">
        <v>369</v>
      </c>
      <c r="B2868" s="80" t="s">
        <v>2477</v>
      </c>
      <c r="C2868" s="89" t="s">
        <v>1020</v>
      </c>
    </row>
    <row r="2869" spans="1:3" ht="15">
      <c r="A2869" s="81" t="s">
        <v>369</v>
      </c>
      <c r="B2869" s="80" t="s">
        <v>2705</v>
      </c>
      <c r="C2869" s="89" t="s">
        <v>1020</v>
      </c>
    </row>
    <row r="2870" spans="1:3" ht="15">
      <c r="A2870" s="81" t="s">
        <v>369</v>
      </c>
      <c r="B2870" s="80" t="s">
        <v>2706</v>
      </c>
      <c r="C2870" s="89" t="s">
        <v>1020</v>
      </c>
    </row>
    <row r="2871" spans="1:3" ht="15">
      <c r="A2871" s="81" t="s">
        <v>369</v>
      </c>
      <c r="B2871" s="80" t="s">
        <v>2707</v>
      </c>
      <c r="C2871" s="89" t="s">
        <v>1020</v>
      </c>
    </row>
    <row r="2872" spans="1:3" ht="15">
      <c r="A2872" s="81" t="s">
        <v>369</v>
      </c>
      <c r="B2872" s="80" t="s">
        <v>2708</v>
      </c>
      <c r="C2872" s="89" t="s">
        <v>1020</v>
      </c>
    </row>
    <row r="2873" spans="1:3" ht="15">
      <c r="A2873" s="81" t="s">
        <v>369</v>
      </c>
      <c r="B2873" s="80" t="s">
        <v>2488</v>
      </c>
      <c r="C2873" s="89" t="s">
        <v>1020</v>
      </c>
    </row>
    <row r="2874" spans="1:3" ht="15">
      <c r="A2874" s="81" t="s">
        <v>369</v>
      </c>
      <c r="B2874" s="80" t="s">
        <v>2709</v>
      </c>
      <c r="C2874" s="89" t="s">
        <v>1020</v>
      </c>
    </row>
    <row r="2875" spans="1:3" ht="15">
      <c r="A2875" s="81" t="s">
        <v>369</v>
      </c>
      <c r="B2875" s="80" t="s">
        <v>2710</v>
      </c>
      <c r="C2875" s="89" t="s">
        <v>1020</v>
      </c>
    </row>
    <row r="2876" spans="1:3" ht="15">
      <c r="A2876" s="81" t="s">
        <v>369</v>
      </c>
      <c r="B2876" s="80" t="s">
        <v>2478</v>
      </c>
      <c r="C2876" s="89" t="s">
        <v>1020</v>
      </c>
    </row>
    <row r="2877" spans="1:3" ht="15">
      <c r="A2877" s="81" t="s">
        <v>369</v>
      </c>
      <c r="B2877" s="80" t="s">
        <v>2476</v>
      </c>
      <c r="C2877" s="89" t="s">
        <v>1020</v>
      </c>
    </row>
    <row r="2878" spans="1:3" ht="15">
      <c r="A2878" s="81" t="s">
        <v>369</v>
      </c>
      <c r="B2878" s="80" t="s">
        <v>2711</v>
      </c>
      <c r="C2878" s="89" t="s">
        <v>1020</v>
      </c>
    </row>
    <row r="2879" spans="1:3" ht="15">
      <c r="A2879" s="81" t="s">
        <v>369</v>
      </c>
      <c r="B2879" s="80" t="s">
        <v>65</v>
      </c>
      <c r="C2879" s="89" t="s">
        <v>1020</v>
      </c>
    </row>
    <row r="2880" spans="1:3" ht="15">
      <c r="A2880" s="81" t="s">
        <v>369</v>
      </c>
      <c r="B2880" s="80" t="s">
        <v>2491</v>
      </c>
      <c r="C2880" s="89" t="s">
        <v>1020</v>
      </c>
    </row>
    <row r="2881" spans="1:3" ht="15">
      <c r="A2881" s="81" t="s">
        <v>368</v>
      </c>
      <c r="B2881" s="80" t="s">
        <v>2964</v>
      </c>
      <c r="C2881" s="89" t="s">
        <v>1019</v>
      </c>
    </row>
    <row r="2882" spans="1:3" ht="15">
      <c r="A2882" s="81" t="s">
        <v>368</v>
      </c>
      <c r="B2882" s="80" t="s">
        <v>2616</v>
      </c>
      <c r="C2882" s="89" t="s">
        <v>1019</v>
      </c>
    </row>
    <row r="2883" spans="1:3" ht="15">
      <c r="A2883" s="81" t="s">
        <v>368</v>
      </c>
      <c r="B2883" s="80" t="s">
        <v>2617</v>
      </c>
      <c r="C2883" s="89" t="s">
        <v>1019</v>
      </c>
    </row>
    <row r="2884" spans="1:3" ht="15">
      <c r="A2884" s="81" t="s">
        <v>368</v>
      </c>
      <c r="B2884" s="80" t="s">
        <v>2618</v>
      </c>
      <c r="C2884" s="89" t="s">
        <v>1019</v>
      </c>
    </row>
    <row r="2885" spans="1:3" ht="15">
      <c r="A2885" s="81" t="s">
        <v>368</v>
      </c>
      <c r="B2885" s="80" t="s">
        <v>2619</v>
      </c>
      <c r="C2885" s="89" t="s">
        <v>1019</v>
      </c>
    </row>
    <row r="2886" spans="1:3" ht="15">
      <c r="A2886" s="81" t="s">
        <v>368</v>
      </c>
      <c r="B2886" s="80" t="s">
        <v>2620</v>
      </c>
      <c r="C2886" s="89" t="s">
        <v>1019</v>
      </c>
    </row>
    <row r="2887" spans="1:3" ht="15">
      <c r="A2887" s="81" t="s">
        <v>368</v>
      </c>
      <c r="B2887" s="80" t="s">
        <v>2965</v>
      </c>
      <c r="C2887" s="89" t="s">
        <v>1019</v>
      </c>
    </row>
    <row r="2888" spans="1:3" ht="15">
      <c r="A2888" s="81" t="s">
        <v>368</v>
      </c>
      <c r="B2888" s="80" t="s">
        <v>2966</v>
      </c>
      <c r="C2888" s="89" t="s">
        <v>1019</v>
      </c>
    </row>
    <row r="2889" spans="1:3" ht="15">
      <c r="A2889" s="81" t="s">
        <v>368</v>
      </c>
      <c r="B2889" s="80" t="s">
        <v>2781</v>
      </c>
      <c r="C2889" s="89" t="s">
        <v>1019</v>
      </c>
    </row>
    <row r="2890" spans="1:3" ht="15">
      <c r="A2890" s="81" t="s">
        <v>368</v>
      </c>
      <c r="B2890" s="80" t="s">
        <v>2791</v>
      </c>
      <c r="C2890" s="89" t="s">
        <v>1019</v>
      </c>
    </row>
    <row r="2891" spans="1:3" ht="15">
      <c r="A2891" s="81" t="s">
        <v>368</v>
      </c>
      <c r="B2891" s="80" t="s">
        <v>2549</v>
      </c>
      <c r="C2891" s="89" t="s">
        <v>1019</v>
      </c>
    </row>
    <row r="2892" spans="1:3" ht="15">
      <c r="A2892" s="81" t="s">
        <v>368</v>
      </c>
      <c r="B2892" s="80" t="s">
        <v>2621</v>
      </c>
      <c r="C2892" s="89" t="s">
        <v>1019</v>
      </c>
    </row>
    <row r="2893" spans="1:3" ht="15">
      <c r="A2893" s="81" t="s">
        <v>368</v>
      </c>
      <c r="B2893" s="80" t="s">
        <v>591</v>
      </c>
      <c r="C2893" s="89" t="s">
        <v>1019</v>
      </c>
    </row>
    <row r="2894" spans="1:3" ht="15">
      <c r="A2894" s="81" t="s">
        <v>368</v>
      </c>
      <c r="B2894" s="80" t="s">
        <v>2474</v>
      </c>
      <c r="C2894" s="89" t="s">
        <v>1019</v>
      </c>
    </row>
    <row r="2895" spans="1:3" ht="15">
      <c r="A2895" s="81" t="s">
        <v>367</v>
      </c>
      <c r="B2895" s="80" t="s">
        <v>2700</v>
      </c>
      <c r="C2895" s="89" t="s">
        <v>1018</v>
      </c>
    </row>
    <row r="2896" spans="1:3" ht="15">
      <c r="A2896" s="81" t="s">
        <v>367</v>
      </c>
      <c r="B2896" s="80" t="s">
        <v>2480</v>
      </c>
      <c r="C2896" s="89" t="s">
        <v>1018</v>
      </c>
    </row>
    <row r="2897" spans="1:3" ht="15">
      <c r="A2897" s="81" t="s">
        <v>367</v>
      </c>
      <c r="B2897" s="80" t="s">
        <v>2481</v>
      </c>
      <c r="C2897" s="89" t="s">
        <v>1018</v>
      </c>
    </row>
    <row r="2898" spans="1:3" ht="15">
      <c r="A2898" s="81" t="s">
        <v>367</v>
      </c>
      <c r="B2898" s="80" t="s">
        <v>2701</v>
      </c>
      <c r="C2898" s="89" t="s">
        <v>1018</v>
      </c>
    </row>
    <row r="2899" spans="1:3" ht="15">
      <c r="A2899" s="81" t="s">
        <v>367</v>
      </c>
      <c r="B2899" s="80" t="s">
        <v>2702</v>
      </c>
      <c r="C2899" s="89" t="s">
        <v>1018</v>
      </c>
    </row>
    <row r="2900" spans="1:3" ht="15">
      <c r="A2900" s="81" t="s">
        <v>367</v>
      </c>
      <c r="B2900" s="80" t="s">
        <v>2483</v>
      </c>
      <c r="C2900" s="89" t="s">
        <v>1018</v>
      </c>
    </row>
    <row r="2901" spans="1:3" ht="15">
      <c r="A2901" s="81" t="s">
        <v>367</v>
      </c>
      <c r="B2901" s="80" t="s">
        <v>2484</v>
      </c>
      <c r="C2901" s="89" t="s">
        <v>1018</v>
      </c>
    </row>
    <row r="2902" spans="1:3" ht="15">
      <c r="A2902" s="81" t="s">
        <v>367</v>
      </c>
      <c r="B2902" s="80" t="s">
        <v>2703</v>
      </c>
      <c r="C2902" s="89" t="s">
        <v>1018</v>
      </c>
    </row>
    <row r="2903" spans="1:3" ht="15">
      <c r="A2903" s="81" t="s">
        <v>367</v>
      </c>
      <c r="B2903" s="80" t="s">
        <v>2485</v>
      </c>
      <c r="C2903" s="89" t="s">
        <v>1018</v>
      </c>
    </row>
    <row r="2904" spans="1:3" ht="15">
      <c r="A2904" s="81" t="s">
        <v>367</v>
      </c>
      <c r="B2904" s="80" t="s">
        <v>2693</v>
      </c>
      <c r="C2904" s="89" t="s">
        <v>1018</v>
      </c>
    </row>
    <row r="2905" spans="1:3" ht="15">
      <c r="A2905" s="81" t="s">
        <v>367</v>
      </c>
      <c r="B2905" s="80" t="s">
        <v>2486</v>
      </c>
      <c r="C2905" s="89" t="s">
        <v>1018</v>
      </c>
    </row>
    <row r="2906" spans="1:3" ht="15">
      <c r="A2906" s="81" t="s">
        <v>367</v>
      </c>
      <c r="B2906" s="80" t="s">
        <v>2704</v>
      </c>
      <c r="C2906" s="89" t="s">
        <v>1018</v>
      </c>
    </row>
    <row r="2907" spans="1:3" ht="15">
      <c r="A2907" s="81" t="s">
        <v>367</v>
      </c>
      <c r="B2907" s="80" t="s">
        <v>2691</v>
      </c>
      <c r="C2907" s="89" t="s">
        <v>1018</v>
      </c>
    </row>
    <row r="2908" spans="1:3" ht="15">
      <c r="A2908" s="81" t="s">
        <v>367</v>
      </c>
      <c r="B2908" s="80" t="s">
        <v>2692</v>
      </c>
      <c r="C2908" s="89" t="s">
        <v>1018</v>
      </c>
    </row>
    <row r="2909" spans="1:3" ht="15">
      <c r="A2909" s="81" t="s">
        <v>367</v>
      </c>
      <c r="B2909" s="80" t="s">
        <v>2477</v>
      </c>
      <c r="C2909" s="89" t="s">
        <v>1018</v>
      </c>
    </row>
    <row r="2910" spans="1:3" ht="15">
      <c r="A2910" s="81" t="s">
        <v>367</v>
      </c>
      <c r="B2910" s="80" t="s">
        <v>2705</v>
      </c>
      <c r="C2910" s="89" t="s">
        <v>1018</v>
      </c>
    </row>
    <row r="2911" spans="1:3" ht="15">
      <c r="A2911" s="81" t="s">
        <v>367</v>
      </c>
      <c r="B2911" s="80" t="s">
        <v>2706</v>
      </c>
      <c r="C2911" s="89" t="s">
        <v>1018</v>
      </c>
    </row>
    <row r="2912" spans="1:3" ht="15">
      <c r="A2912" s="81" t="s">
        <v>367</v>
      </c>
      <c r="B2912" s="80" t="s">
        <v>2707</v>
      </c>
      <c r="C2912" s="89" t="s">
        <v>1018</v>
      </c>
    </row>
    <row r="2913" spans="1:3" ht="15">
      <c r="A2913" s="81" t="s">
        <v>367</v>
      </c>
      <c r="B2913" s="80" t="s">
        <v>2708</v>
      </c>
      <c r="C2913" s="89" t="s">
        <v>1018</v>
      </c>
    </row>
    <row r="2914" spans="1:3" ht="15">
      <c r="A2914" s="81" t="s">
        <v>367</v>
      </c>
      <c r="B2914" s="80" t="s">
        <v>2488</v>
      </c>
      <c r="C2914" s="89" t="s">
        <v>1018</v>
      </c>
    </row>
    <row r="2915" spans="1:3" ht="15">
      <c r="A2915" s="81" t="s">
        <v>367</v>
      </c>
      <c r="B2915" s="80" t="s">
        <v>2709</v>
      </c>
      <c r="C2915" s="89" t="s">
        <v>1018</v>
      </c>
    </row>
    <row r="2916" spans="1:3" ht="15">
      <c r="A2916" s="81" t="s">
        <v>367</v>
      </c>
      <c r="B2916" s="80" t="s">
        <v>2710</v>
      </c>
      <c r="C2916" s="89" t="s">
        <v>1018</v>
      </c>
    </row>
    <row r="2917" spans="1:3" ht="15">
      <c r="A2917" s="81" t="s">
        <v>367</v>
      </c>
      <c r="B2917" s="80" t="s">
        <v>2478</v>
      </c>
      <c r="C2917" s="89" t="s">
        <v>1018</v>
      </c>
    </row>
    <row r="2918" spans="1:3" ht="15">
      <c r="A2918" s="81" t="s">
        <v>367</v>
      </c>
      <c r="B2918" s="80" t="s">
        <v>2476</v>
      </c>
      <c r="C2918" s="89" t="s">
        <v>1018</v>
      </c>
    </row>
    <row r="2919" spans="1:3" ht="15">
      <c r="A2919" s="81" t="s">
        <v>367</v>
      </c>
      <c r="B2919" s="80" t="s">
        <v>2711</v>
      </c>
      <c r="C2919" s="89" t="s">
        <v>1018</v>
      </c>
    </row>
    <row r="2920" spans="1:3" ht="15">
      <c r="A2920" s="81" t="s">
        <v>367</v>
      </c>
      <c r="B2920" s="80" t="s">
        <v>65</v>
      </c>
      <c r="C2920" s="89" t="s">
        <v>1018</v>
      </c>
    </row>
    <row r="2921" spans="1:3" ht="15">
      <c r="A2921" s="81" t="s">
        <v>367</v>
      </c>
      <c r="B2921" s="80" t="s">
        <v>2491</v>
      </c>
      <c r="C2921" s="89" t="s">
        <v>1018</v>
      </c>
    </row>
    <row r="2922" spans="1:3" ht="15">
      <c r="A2922" s="81" t="s">
        <v>366</v>
      </c>
      <c r="B2922" s="80" t="s">
        <v>2700</v>
      </c>
      <c r="C2922" s="89" t="s">
        <v>1017</v>
      </c>
    </row>
    <row r="2923" spans="1:3" ht="15">
      <c r="A2923" s="81" t="s">
        <v>366</v>
      </c>
      <c r="B2923" s="80" t="s">
        <v>2480</v>
      </c>
      <c r="C2923" s="89" t="s">
        <v>1017</v>
      </c>
    </row>
    <row r="2924" spans="1:3" ht="15">
      <c r="A2924" s="81" t="s">
        <v>366</v>
      </c>
      <c r="B2924" s="80" t="s">
        <v>2481</v>
      </c>
      <c r="C2924" s="89" t="s">
        <v>1017</v>
      </c>
    </row>
    <row r="2925" spans="1:3" ht="15">
      <c r="A2925" s="81" t="s">
        <v>366</v>
      </c>
      <c r="B2925" s="80" t="s">
        <v>2701</v>
      </c>
      <c r="C2925" s="89" t="s">
        <v>1017</v>
      </c>
    </row>
    <row r="2926" spans="1:3" ht="15">
      <c r="A2926" s="81" t="s">
        <v>366</v>
      </c>
      <c r="B2926" s="80" t="s">
        <v>2702</v>
      </c>
      <c r="C2926" s="89" t="s">
        <v>1017</v>
      </c>
    </row>
    <row r="2927" spans="1:3" ht="15">
      <c r="A2927" s="81" t="s">
        <v>366</v>
      </c>
      <c r="B2927" s="80" t="s">
        <v>2483</v>
      </c>
      <c r="C2927" s="89" t="s">
        <v>1017</v>
      </c>
    </row>
    <row r="2928" spans="1:3" ht="15">
      <c r="A2928" s="81" t="s">
        <v>366</v>
      </c>
      <c r="B2928" s="80" t="s">
        <v>2484</v>
      </c>
      <c r="C2928" s="89" t="s">
        <v>1017</v>
      </c>
    </row>
    <row r="2929" spans="1:3" ht="15">
      <c r="A2929" s="81" t="s">
        <v>366</v>
      </c>
      <c r="B2929" s="80" t="s">
        <v>2703</v>
      </c>
      <c r="C2929" s="89" t="s">
        <v>1017</v>
      </c>
    </row>
    <row r="2930" spans="1:3" ht="15">
      <c r="A2930" s="81" t="s">
        <v>366</v>
      </c>
      <c r="B2930" s="80" t="s">
        <v>2485</v>
      </c>
      <c r="C2930" s="89" t="s">
        <v>1017</v>
      </c>
    </row>
    <row r="2931" spans="1:3" ht="15">
      <c r="A2931" s="81" t="s">
        <v>366</v>
      </c>
      <c r="B2931" s="80" t="s">
        <v>2693</v>
      </c>
      <c r="C2931" s="89" t="s">
        <v>1017</v>
      </c>
    </row>
    <row r="2932" spans="1:3" ht="15">
      <c r="A2932" s="81" t="s">
        <v>366</v>
      </c>
      <c r="B2932" s="80" t="s">
        <v>2486</v>
      </c>
      <c r="C2932" s="89" t="s">
        <v>1017</v>
      </c>
    </row>
    <row r="2933" spans="1:3" ht="15">
      <c r="A2933" s="81" t="s">
        <v>366</v>
      </c>
      <c r="B2933" s="80" t="s">
        <v>2704</v>
      </c>
      <c r="C2933" s="89" t="s">
        <v>1017</v>
      </c>
    </row>
    <row r="2934" spans="1:3" ht="15">
      <c r="A2934" s="81" t="s">
        <v>366</v>
      </c>
      <c r="B2934" s="80" t="s">
        <v>2691</v>
      </c>
      <c r="C2934" s="89" t="s">
        <v>1017</v>
      </c>
    </row>
    <row r="2935" spans="1:3" ht="15">
      <c r="A2935" s="81" t="s">
        <v>366</v>
      </c>
      <c r="B2935" s="80" t="s">
        <v>2692</v>
      </c>
      <c r="C2935" s="89" t="s">
        <v>1017</v>
      </c>
    </row>
    <row r="2936" spans="1:3" ht="15">
      <c r="A2936" s="81" t="s">
        <v>366</v>
      </c>
      <c r="B2936" s="80" t="s">
        <v>2477</v>
      </c>
      <c r="C2936" s="89" t="s">
        <v>1017</v>
      </c>
    </row>
    <row r="2937" spans="1:3" ht="15">
      <c r="A2937" s="81" t="s">
        <v>366</v>
      </c>
      <c r="B2937" s="80" t="s">
        <v>2705</v>
      </c>
      <c r="C2937" s="89" t="s">
        <v>1017</v>
      </c>
    </row>
    <row r="2938" spans="1:3" ht="15">
      <c r="A2938" s="81" t="s">
        <v>366</v>
      </c>
      <c r="B2938" s="80" t="s">
        <v>2706</v>
      </c>
      <c r="C2938" s="89" t="s">
        <v>1017</v>
      </c>
    </row>
    <row r="2939" spans="1:3" ht="15">
      <c r="A2939" s="81" t="s">
        <v>366</v>
      </c>
      <c r="B2939" s="80" t="s">
        <v>2707</v>
      </c>
      <c r="C2939" s="89" t="s">
        <v>1017</v>
      </c>
    </row>
    <row r="2940" spans="1:3" ht="15">
      <c r="A2940" s="81" t="s">
        <v>366</v>
      </c>
      <c r="B2940" s="80" t="s">
        <v>2708</v>
      </c>
      <c r="C2940" s="89" t="s">
        <v>1017</v>
      </c>
    </row>
    <row r="2941" spans="1:3" ht="15">
      <c r="A2941" s="81" t="s">
        <v>366</v>
      </c>
      <c r="B2941" s="80" t="s">
        <v>2488</v>
      </c>
      <c r="C2941" s="89" t="s">
        <v>1017</v>
      </c>
    </row>
    <row r="2942" spans="1:3" ht="15">
      <c r="A2942" s="81" t="s">
        <v>366</v>
      </c>
      <c r="B2942" s="80" t="s">
        <v>2709</v>
      </c>
      <c r="C2942" s="89" t="s">
        <v>1017</v>
      </c>
    </row>
    <row r="2943" spans="1:3" ht="15">
      <c r="A2943" s="81" t="s">
        <v>366</v>
      </c>
      <c r="B2943" s="80" t="s">
        <v>2710</v>
      </c>
      <c r="C2943" s="89" t="s">
        <v>1017</v>
      </c>
    </row>
    <row r="2944" spans="1:3" ht="15">
      <c r="A2944" s="81" t="s">
        <v>366</v>
      </c>
      <c r="B2944" s="80" t="s">
        <v>2478</v>
      </c>
      <c r="C2944" s="89" t="s">
        <v>1017</v>
      </c>
    </row>
    <row r="2945" spans="1:3" ht="15">
      <c r="A2945" s="81" t="s">
        <v>366</v>
      </c>
      <c r="B2945" s="80" t="s">
        <v>2476</v>
      </c>
      <c r="C2945" s="89" t="s">
        <v>1017</v>
      </c>
    </row>
    <row r="2946" spans="1:3" ht="15">
      <c r="A2946" s="81" t="s">
        <v>366</v>
      </c>
      <c r="B2946" s="80" t="s">
        <v>2711</v>
      </c>
      <c r="C2946" s="89" t="s">
        <v>1017</v>
      </c>
    </row>
    <row r="2947" spans="1:3" ht="15">
      <c r="A2947" s="81" t="s">
        <v>366</v>
      </c>
      <c r="B2947" s="80" t="s">
        <v>65</v>
      </c>
      <c r="C2947" s="89" t="s">
        <v>1017</v>
      </c>
    </row>
    <row r="2948" spans="1:3" ht="15">
      <c r="A2948" s="81" t="s">
        <v>366</v>
      </c>
      <c r="B2948" s="80" t="s">
        <v>2491</v>
      </c>
      <c r="C2948" s="89" t="s">
        <v>1017</v>
      </c>
    </row>
    <row r="2949" spans="1:3" ht="15">
      <c r="A2949" s="81" t="s">
        <v>365</v>
      </c>
      <c r="B2949" s="80" t="s">
        <v>2700</v>
      </c>
      <c r="C2949" s="89" t="s">
        <v>1016</v>
      </c>
    </row>
    <row r="2950" spans="1:3" ht="15">
      <c r="A2950" s="81" t="s">
        <v>365</v>
      </c>
      <c r="B2950" s="80" t="s">
        <v>2480</v>
      </c>
      <c r="C2950" s="89" t="s">
        <v>1016</v>
      </c>
    </row>
    <row r="2951" spans="1:3" ht="15">
      <c r="A2951" s="81" t="s">
        <v>365</v>
      </c>
      <c r="B2951" s="80" t="s">
        <v>2481</v>
      </c>
      <c r="C2951" s="89" t="s">
        <v>1016</v>
      </c>
    </row>
    <row r="2952" spans="1:3" ht="15">
      <c r="A2952" s="81" t="s">
        <v>365</v>
      </c>
      <c r="B2952" s="80" t="s">
        <v>2701</v>
      </c>
      <c r="C2952" s="89" t="s">
        <v>1016</v>
      </c>
    </row>
    <row r="2953" spans="1:3" ht="15">
      <c r="A2953" s="81" t="s">
        <v>365</v>
      </c>
      <c r="B2953" s="80" t="s">
        <v>2702</v>
      </c>
      <c r="C2953" s="89" t="s">
        <v>1016</v>
      </c>
    </row>
    <row r="2954" spans="1:3" ht="15">
      <c r="A2954" s="81" t="s">
        <v>365</v>
      </c>
      <c r="B2954" s="80" t="s">
        <v>2483</v>
      </c>
      <c r="C2954" s="89" t="s">
        <v>1016</v>
      </c>
    </row>
    <row r="2955" spans="1:3" ht="15">
      <c r="A2955" s="81" t="s">
        <v>365</v>
      </c>
      <c r="B2955" s="80" t="s">
        <v>2484</v>
      </c>
      <c r="C2955" s="89" t="s">
        <v>1016</v>
      </c>
    </row>
    <row r="2956" spans="1:3" ht="15">
      <c r="A2956" s="81" t="s">
        <v>365</v>
      </c>
      <c r="B2956" s="80" t="s">
        <v>2703</v>
      </c>
      <c r="C2956" s="89" t="s">
        <v>1016</v>
      </c>
    </row>
    <row r="2957" spans="1:3" ht="15">
      <c r="A2957" s="81" t="s">
        <v>365</v>
      </c>
      <c r="B2957" s="80" t="s">
        <v>2485</v>
      </c>
      <c r="C2957" s="89" t="s">
        <v>1016</v>
      </c>
    </row>
    <row r="2958" spans="1:3" ht="15">
      <c r="A2958" s="81" t="s">
        <v>365</v>
      </c>
      <c r="B2958" s="80" t="s">
        <v>2693</v>
      </c>
      <c r="C2958" s="89" t="s">
        <v>1016</v>
      </c>
    </row>
    <row r="2959" spans="1:3" ht="15">
      <c r="A2959" s="81" t="s">
        <v>365</v>
      </c>
      <c r="B2959" s="80" t="s">
        <v>2486</v>
      </c>
      <c r="C2959" s="89" t="s">
        <v>1016</v>
      </c>
    </row>
    <row r="2960" spans="1:3" ht="15">
      <c r="A2960" s="81" t="s">
        <v>365</v>
      </c>
      <c r="B2960" s="80" t="s">
        <v>2704</v>
      </c>
      <c r="C2960" s="89" t="s">
        <v>1016</v>
      </c>
    </row>
    <row r="2961" spans="1:3" ht="15">
      <c r="A2961" s="81" t="s">
        <v>365</v>
      </c>
      <c r="B2961" s="80" t="s">
        <v>2691</v>
      </c>
      <c r="C2961" s="89" t="s">
        <v>1016</v>
      </c>
    </row>
    <row r="2962" spans="1:3" ht="15">
      <c r="A2962" s="81" t="s">
        <v>365</v>
      </c>
      <c r="B2962" s="80" t="s">
        <v>2692</v>
      </c>
      <c r="C2962" s="89" t="s">
        <v>1016</v>
      </c>
    </row>
    <row r="2963" spans="1:3" ht="15">
      <c r="A2963" s="81" t="s">
        <v>365</v>
      </c>
      <c r="B2963" s="80" t="s">
        <v>2477</v>
      </c>
      <c r="C2963" s="89" t="s">
        <v>1016</v>
      </c>
    </row>
    <row r="2964" spans="1:3" ht="15">
      <c r="A2964" s="81" t="s">
        <v>365</v>
      </c>
      <c r="B2964" s="80" t="s">
        <v>2705</v>
      </c>
      <c r="C2964" s="89" t="s">
        <v>1016</v>
      </c>
    </row>
    <row r="2965" spans="1:3" ht="15">
      <c r="A2965" s="81" t="s">
        <v>365</v>
      </c>
      <c r="B2965" s="80" t="s">
        <v>2706</v>
      </c>
      <c r="C2965" s="89" t="s">
        <v>1016</v>
      </c>
    </row>
    <row r="2966" spans="1:3" ht="15">
      <c r="A2966" s="81" t="s">
        <v>365</v>
      </c>
      <c r="B2966" s="80" t="s">
        <v>2707</v>
      </c>
      <c r="C2966" s="89" t="s">
        <v>1016</v>
      </c>
    </row>
    <row r="2967" spans="1:3" ht="15">
      <c r="A2967" s="81" t="s">
        <v>365</v>
      </c>
      <c r="B2967" s="80" t="s">
        <v>2708</v>
      </c>
      <c r="C2967" s="89" t="s">
        <v>1016</v>
      </c>
    </row>
    <row r="2968" spans="1:3" ht="15">
      <c r="A2968" s="81" t="s">
        <v>365</v>
      </c>
      <c r="B2968" s="80" t="s">
        <v>2488</v>
      </c>
      <c r="C2968" s="89" t="s">
        <v>1016</v>
      </c>
    </row>
    <row r="2969" spans="1:3" ht="15">
      <c r="A2969" s="81" t="s">
        <v>365</v>
      </c>
      <c r="B2969" s="80" t="s">
        <v>2709</v>
      </c>
      <c r="C2969" s="89" t="s">
        <v>1016</v>
      </c>
    </row>
    <row r="2970" spans="1:3" ht="15">
      <c r="A2970" s="81" t="s">
        <v>365</v>
      </c>
      <c r="B2970" s="80" t="s">
        <v>2710</v>
      </c>
      <c r="C2970" s="89" t="s">
        <v>1016</v>
      </c>
    </row>
    <row r="2971" spans="1:3" ht="15">
      <c r="A2971" s="81" t="s">
        <v>365</v>
      </c>
      <c r="B2971" s="80" t="s">
        <v>2478</v>
      </c>
      <c r="C2971" s="89" t="s">
        <v>1016</v>
      </c>
    </row>
    <row r="2972" spans="1:3" ht="15">
      <c r="A2972" s="81" t="s">
        <v>365</v>
      </c>
      <c r="B2972" s="80" t="s">
        <v>2476</v>
      </c>
      <c r="C2972" s="89" t="s">
        <v>1016</v>
      </c>
    </row>
    <row r="2973" spans="1:3" ht="15">
      <c r="A2973" s="81" t="s">
        <v>365</v>
      </c>
      <c r="B2973" s="80" t="s">
        <v>2711</v>
      </c>
      <c r="C2973" s="89" t="s">
        <v>1016</v>
      </c>
    </row>
    <row r="2974" spans="1:3" ht="15">
      <c r="A2974" s="81" t="s">
        <v>365</v>
      </c>
      <c r="B2974" s="80" t="s">
        <v>65</v>
      </c>
      <c r="C2974" s="89" t="s">
        <v>1016</v>
      </c>
    </row>
    <row r="2975" spans="1:3" ht="15">
      <c r="A2975" s="81" t="s">
        <v>365</v>
      </c>
      <c r="B2975" s="80" t="s">
        <v>2491</v>
      </c>
      <c r="C2975" s="89" t="s">
        <v>1016</v>
      </c>
    </row>
    <row r="2976" spans="1:3" ht="15">
      <c r="A2976" s="81" t="s">
        <v>364</v>
      </c>
      <c r="B2976" s="80" t="s">
        <v>2967</v>
      </c>
      <c r="C2976" s="89" t="s">
        <v>1015</v>
      </c>
    </row>
    <row r="2977" spans="1:3" ht="15">
      <c r="A2977" s="81" t="s">
        <v>364</v>
      </c>
      <c r="B2977" s="80" t="s">
        <v>2968</v>
      </c>
      <c r="C2977" s="89" t="s">
        <v>1015</v>
      </c>
    </row>
    <row r="2978" spans="1:3" ht="15">
      <c r="A2978" s="81" t="s">
        <v>364</v>
      </c>
      <c r="B2978" s="80" t="s">
        <v>2051</v>
      </c>
      <c r="C2978" s="89" t="s">
        <v>1015</v>
      </c>
    </row>
    <row r="2979" spans="1:3" ht="15">
      <c r="A2979" s="81" t="s">
        <v>364</v>
      </c>
      <c r="B2979" s="80" t="s">
        <v>2580</v>
      </c>
      <c r="C2979" s="89" t="s">
        <v>1015</v>
      </c>
    </row>
    <row r="2980" spans="1:3" ht="15">
      <c r="A2980" s="81" t="s">
        <v>364</v>
      </c>
      <c r="B2980" s="80" t="s">
        <v>2969</v>
      </c>
      <c r="C2980" s="89" t="s">
        <v>1015</v>
      </c>
    </row>
    <row r="2981" spans="1:3" ht="15">
      <c r="A2981" s="81" t="s">
        <v>364</v>
      </c>
      <c r="B2981" s="80" t="s">
        <v>2964</v>
      </c>
      <c r="C2981" s="89" t="s">
        <v>1015</v>
      </c>
    </row>
    <row r="2982" spans="1:3" ht="15">
      <c r="A2982" s="81" t="s">
        <v>364</v>
      </c>
      <c r="B2982" s="80" t="s">
        <v>2616</v>
      </c>
      <c r="C2982" s="89" t="s">
        <v>1015</v>
      </c>
    </row>
    <row r="2983" spans="1:3" ht="15">
      <c r="A2983" s="81" t="s">
        <v>364</v>
      </c>
      <c r="B2983" s="80" t="s">
        <v>2617</v>
      </c>
      <c r="C2983" s="89" t="s">
        <v>1015</v>
      </c>
    </row>
    <row r="2984" spans="1:3" ht="15">
      <c r="A2984" s="81" t="s">
        <v>364</v>
      </c>
      <c r="B2984" s="80" t="s">
        <v>2618</v>
      </c>
      <c r="C2984" s="89" t="s">
        <v>1015</v>
      </c>
    </row>
    <row r="2985" spans="1:3" ht="15">
      <c r="A2985" s="81" t="s">
        <v>364</v>
      </c>
      <c r="B2985" s="80" t="s">
        <v>2619</v>
      </c>
      <c r="C2985" s="89" t="s">
        <v>1015</v>
      </c>
    </row>
    <row r="2986" spans="1:3" ht="15">
      <c r="A2986" s="81" t="s">
        <v>364</v>
      </c>
      <c r="B2986" s="80" t="s">
        <v>2620</v>
      </c>
      <c r="C2986" s="89" t="s">
        <v>1015</v>
      </c>
    </row>
    <row r="2987" spans="1:3" ht="15">
      <c r="A2987" s="81" t="s">
        <v>364</v>
      </c>
      <c r="B2987" s="80" t="s">
        <v>2965</v>
      </c>
      <c r="C2987" s="89" t="s">
        <v>1015</v>
      </c>
    </row>
    <row r="2988" spans="1:3" ht="15">
      <c r="A2988" s="81" t="s">
        <v>364</v>
      </c>
      <c r="B2988" s="80" t="s">
        <v>2966</v>
      </c>
      <c r="C2988" s="89" t="s">
        <v>1015</v>
      </c>
    </row>
    <row r="2989" spans="1:3" ht="15">
      <c r="A2989" s="81" t="s">
        <v>364</v>
      </c>
      <c r="B2989" s="80" t="s">
        <v>2781</v>
      </c>
      <c r="C2989" s="89" t="s">
        <v>1015</v>
      </c>
    </row>
    <row r="2990" spans="1:3" ht="15">
      <c r="A2990" s="81" t="s">
        <v>364</v>
      </c>
      <c r="B2990" s="80" t="s">
        <v>2791</v>
      </c>
      <c r="C2990" s="89" t="s">
        <v>1015</v>
      </c>
    </row>
    <row r="2991" spans="1:3" ht="15">
      <c r="A2991" s="81" t="s">
        <v>364</v>
      </c>
      <c r="B2991" s="80" t="s">
        <v>2549</v>
      </c>
      <c r="C2991" s="89" t="s">
        <v>1015</v>
      </c>
    </row>
    <row r="2992" spans="1:3" ht="15">
      <c r="A2992" s="81" t="s">
        <v>364</v>
      </c>
      <c r="B2992" s="80" t="s">
        <v>2621</v>
      </c>
      <c r="C2992" s="89" t="s">
        <v>1015</v>
      </c>
    </row>
    <row r="2993" spans="1:3" ht="15">
      <c r="A2993" s="81" t="s">
        <v>364</v>
      </c>
      <c r="B2993" s="80" t="s">
        <v>2691</v>
      </c>
      <c r="C2993" s="89" t="s">
        <v>1015</v>
      </c>
    </row>
    <row r="2994" spans="1:3" ht="15">
      <c r="A2994" s="81" t="s">
        <v>364</v>
      </c>
      <c r="B2994" s="80" t="s">
        <v>2692</v>
      </c>
      <c r="C2994" s="89" t="s">
        <v>1015</v>
      </c>
    </row>
    <row r="2995" spans="1:3" ht="15">
      <c r="A2995" s="81" t="s">
        <v>363</v>
      </c>
      <c r="B2995" s="80" t="s">
        <v>2700</v>
      </c>
      <c r="C2995" s="89" t="s">
        <v>1014</v>
      </c>
    </row>
    <row r="2996" spans="1:3" ht="15">
      <c r="A2996" s="81" t="s">
        <v>363</v>
      </c>
      <c r="B2996" s="80" t="s">
        <v>2480</v>
      </c>
      <c r="C2996" s="89" t="s">
        <v>1014</v>
      </c>
    </row>
    <row r="2997" spans="1:3" ht="15">
      <c r="A2997" s="81" t="s">
        <v>363</v>
      </c>
      <c r="B2997" s="80" t="s">
        <v>2481</v>
      </c>
      <c r="C2997" s="89" t="s">
        <v>1014</v>
      </c>
    </row>
    <row r="2998" spans="1:3" ht="15">
      <c r="A2998" s="81" t="s">
        <v>363</v>
      </c>
      <c r="B2998" s="80" t="s">
        <v>2701</v>
      </c>
      <c r="C2998" s="89" t="s">
        <v>1014</v>
      </c>
    </row>
    <row r="2999" spans="1:3" ht="15">
      <c r="A2999" s="81" t="s">
        <v>363</v>
      </c>
      <c r="B2999" s="80" t="s">
        <v>2702</v>
      </c>
      <c r="C2999" s="89" t="s">
        <v>1014</v>
      </c>
    </row>
    <row r="3000" spans="1:3" ht="15">
      <c r="A3000" s="81" t="s">
        <v>363</v>
      </c>
      <c r="B3000" s="80" t="s">
        <v>2483</v>
      </c>
      <c r="C3000" s="89" t="s">
        <v>1014</v>
      </c>
    </row>
    <row r="3001" spans="1:3" ht="15">
      <c r="A3001" s="81" t="s">
        <v>363</v>
      </c>
      <c r="B3001" s="80" t="s">
        <v>2484</v>
      </c>
      <c r="C3001" s="89" t="s">
        <v>1014</v>
      </c>
    </row>
    <row r="3002" spans="1:3" ht="15">
      <c r="A3002" s="81" t="s">
        <v>363</v>
      </c>
      <c r="B3002" s="80" t="s">
        <v>2703</v>
      </c>
      <c r="C3002" s="89" t="s">
        <v>1014</v>
      </c>
    </row>
    <row r="3003" spans="1:3" ht="15">
      <c r="A3003" s="81" t="s">
        <v>363</v>
      </c>
      <c r="B3003" s="80" t="s">
        <v>2485</v>
      </c>
      <c r="C3003" s="89" t="s">
        <v>1014</v>
      </c>
    </row>
    <row r="3004" spans="1:3" ht="15">
      <c r="A3004" s="81" t="s">
        <v>363</v>
      </c>
      <c r="B3004" s="80" t="s">
        <v>2693</v>
      </c>
      <c r="C3004" s="89" t="s">
        <v>1014</v>
      </c>
    </row>
    <row r="3005" spans="1:3" ht="15">
      <c r="A3005" s="81" t="s">
        <v>363</v>
      </c>
      <c r="B3005" s="80" t="s">
        <v>2486</v>
      </c>
      <c r="C3005" s="89" t="s">
        <v>1014</v>
      </c>
    </row>
    <row r="3006" spans="1:3" ht="15">
      <c r="A3006" s="81" t="s">
        <v>363</v>
      </c>
      <c r="B3006" s="80" t="s">
        <v>2704</v>
      </c>
      <c r="C3006" s="89" t="s">
        <v>1014</v>
      </c>
    </row>
    <row r="3007" spans="1:3" ht="15">
      <c r="A3007" s="81" t="s">
        <v>363</v>
      </c>
      <c r="B3007" s="80" t="s">
        <v>2691</v>
      </c>
      <c r="C3007" s="89" t="s">
        <v>1014</v>
      </c>
    </row>
    <row r="3008" spans="1:3" ht="15">
      <c r="A3008" s="81" t="s">
        <v>363</v>
      </c>
      <c r="B3008" s="80" t="s">
        <v>2692</v>
      </c>
      <c r="C3008" s="89" t="s">
        <v>1014</v>
      </c>
    </row>
    <row r="3009" spans="1:3" ht="15">
      <c r="A3009" s="81" t="s">
        <v>363</v>
      </c>
      <c r="B3009" s="80" t="s">
        <v>2477</v>
      </c>
      <c r="C3009" s="89" t="s">
        <v>1014</v>
      </c>
    </row>
    <row r="3010" spans="1:3" ht="15">
      <c r="A3010" s="81" t="s">
        <v>363</v>
      </c>
      <c r="B3010" s="80" t="s">
        <v>2705</v>
      </c>
      <c r="C3010" s="89" t="s">
        <v>1014</v>
      </c>
    </row>
    <row r="3011" spans="1:3" ht="15">
      <c r="A3011" s="81" t="s">
        <v>363</v>
      </c>
      <c r="B3011" s="80" t="s">
        <v>2706</v>
      </c>
      <c r="C3011" s="89" t="s">
        <v>1014</v>
      </c>
    </row>
    <row r="3012" spans="1:3" ht="15">
      <c r="A3012" s="81" t="s">
        <v>363</v>
      </c>
      <c r="B3012" s="80" t="s">
        <v>2707</v>
      </c>
      <c r="C3012" s="89" t="s">
        <v>1014</v>
      </c>
    </row>
    <row r="3013" spans="1:3" ht="15">
      <c r="A3013" s="81" t="s">
        <v>363</v>
      </c>
      <c r="B3013" s="80" t="s">
        <v>2708</v>
      </c>
      <c r="C3013" s="89" t="s">
        <v>1014</v>
      </c>
    </row>
    <row r="3014" spans="1:3" ht="15">
      <c r="A3014" s="81" t="s">
        <v>363</v>
      </c>
      <c r="B3014" s="80" t="s">
        <v>2488</v>
      </c>
      <c r="C3014" s="89" t="s">
        <v>1014</v>
      </c>
    </row>
    <row r="3015" spans="1:3" ht="15">
      <c r="A3015" s="81" t="s">
        <v>363</v>
      </c>
      <c r="B3015" s="80" t="s">
        <v>2709</v>
      </c>
      <c r="C3015" s="89" t="s">
        <v>1014</v>
      </c>
    </row>
    <row r="3016" spans="1:3" ht="15">
      <c r="A3016" s="81" t="s">
        <v>363</v>
      </c>
      <c r="B3016" s="80" t="s">
        <v>2710</v>
      </c>
      <c r="C3016" s="89" t="s">
        <v>1014</v>
      </c>
    </row>
    <row r="3017" spans="1:3" ht="15">
      <c r="A3017" s="81" t="s">
        <v>363</v>
      </c>
      <c r="B3017" s="80" t="s">
        <v>2478</v>
      </c>
      <c r="C3017" s="89" t="s">
        <v>1014</v>
      </c>
    </row>
    <row r="3018" spans="1:3" ht="15">
      <c r="A3018" s="81" t="s">
        <v>363</v>
      </c>
      <c r="B3018" s="80" t="s">
        <v>2476</v>
      </c>
      <c r="C3018" s="89" t="s">
        <v>1014</v>
      </c>
    </row>
    <row r="3019" spans="1:3" ht="15">
      <c r="A3019" s="81" t="s">
        <v>363</v>
      </c>
      <c r="B3019" s="80" t="s">
        <v>2711</v>
      </c>
      <c r="C3019" s="89" t="s">
        <v>1014</v>
      </c>
    </row>
    <row r="3020" spans="1:3" ht="15">
      <c r="A3020" s="81" t="s">
        <v>363</v>
      </c>
      <c r="B3020" s="80" t="s">
        <v>65</v>
      </c>
      <c r="C3020" s="89" t="s">
        <v>1014</v>
      </c>
    </row>
    <row r="3021" spans="1:3" ht="15">
      <c r="A3021" s="81" t="s">
        <v>363</v>
      </c>
      <c r="B3021" s="80" t="s">
        <v>2491</v>
      </c>
      <c r="C3021" s="89" t="s">
        <v>1014</v>
      </c>
    </row>
    <row r="3022" spans="1:3" ht="15">
      <c r="A3022" s="81" t="s">
        <v>362</v>
      </c>
      <c r="B3022" s="80" t="s">
        <v>2700</v>
      </c>
      <c r="C3022" s="89" t="s">
        <v>1013</v>
      </c>
    </row>
    <row r="3023" spans="1:3" ht="15">
      <c r="A3023" s="81" t="s">
        <v>362</v>
      </c>
      <c r="B3023" s="80" t="s">
        <v>2480</v>
      </c>
      <c r="C3023" s="89" t="s">
        <v>1013</v>
      </c>
    </row>
    <row r="3024" spans="1:3" ht="15">
      <c r="A3024" s="81" t="s">
        <v>362</v>
      </c>
      <c r="B3024" s="80" t="s">
        <v>2481</v>
      </c>
      <c r="C3024" s="89" t="s">
        <v>1013</v>
      </c>
    </row>
    <row r="3025" spans="1:3" ht="15">
      <c r="A3025" s="81" t="s">
        <v>362</v>
      </c>
      <c r="B3025" s="80" t="s">
        <v>2701</v>
      </c>
      <c r="C3025" s="89" t="s">
        <v>1013</v>
      </c>
    </row>
    <row r="3026" spans="1:3" ht="15">
      <c r="A3026" s="81" t="s">
        <v>362</v>
      </c>
      <c r="B3026" s="80" t="s">
        <v>2702</v>
      </c>
      <c r="C3026" s="89" t="s">
        <v>1013</v>
      </c>
    </row>
    <row r="3027" spans="1:3" ht="15">
      <c r="A3027" s="81" t="s">
        <v>362</v>
      </c>
      <c r="B3027" s="80" t="s">
        <v>2483</v>
      </c>
      <c r="C3027" s="89" t="s">
        <v>1013</v>
      </c>
    </row>
    <row r="3028" spans="1:3" ht="15">
      <c r="A3028" s="81" t="s">
        <v>362</v>
      </c>
      <c r="B3028" s="80" t="s">
        <v>2484</v>
      </c>
      <c r="C3028" s="89" t="s">
        <v>1013</v>
      </c>
    </row>
    <row r="3029" spans="1:3" ht="15">
      <c r="A3029" s="81" t="s">
        <v>362</v>
      </c>
      <c r="B3029" s="80" t="s">
        <v>2703</v>
      </c>
      <c r="C3029" s="89" t="s">
        <v>1013</v>
      </c>
    </row>
    <row r="3030" spans="1:3" ht="15">
      <c r="A3030" s="81" t="s">
        <v>362</v>
      </c>
      <c r="B3030" s="80" t="s">
        <v>2485</v>
      </c>
      <c r="C3030" s="89" t="s">
        <v>1013</v>
      </c>
    </row>
    <row r="3031" spans="1:3" ht="15">
      <c r="A3031" s="81" t="s">
        <v>362</v>
      </c>
      <c r="B3031" s="80" t="s">
        <v>2693</v>
      </c>
      <c r="C3031" s="89" t="s">
        <v>1013</v>
      </c>
    </row>
    <row r="3032" spans="1:3" ht="15">
      <c r="A3032" s="81" t="s">
        <v>362</v>
      </c>
      <c r="B3032" s="80" t="s">
        <v>2486</v>
      </c>
      <c r="C3032" s="89" t="s">
        <v>1013</v>
      </c>
    </row>
    <row r="3033" spans="1:3" ht="15">
      <c r="A3033" s="81" t="s">
        <v>362</v>
      </c>
      <c r="B3033" s="80" t="s">
        <v>2704</v>
      </c>
      <c r="C3033" s="89" t="s">
        <v>1013</v>
      </c>
    </row>
    <row r="3034" spans="1:3" ht="15">
      <c r="A3034" s="81" t="s">
        <v>362</v>
      </c>
      <c r="B3034" s="80" t="s">
        <v>2691</v>
      </c>
      <c r="C3034" s="89" t="s">
        <v>1013</v>
      </c>
    </row>
    <row r="3035" spans="1:3" ht="15">
      <c r="A3035" s="81" t="s">
        <v>362</v>
      </c>
      <c r="B3035" s="80" t="s">
        <v>2692</v>
      </c>
      <c r="C3035" s="89" t="s">
        <v>1013</v>
      </c>
    </row>
    <row r="3036" spans="1:3" ht="15">
      <c r="A3036" s="81" t="s">
        <v>362</v>
      </c>
      <c r="B3036" s="80" t="s">
        <v>2477</v>
      </c>
      <c r="C3036" s="89" t="s">
        <v>1013</v>
      </c>
    </row>
    <row r="3037" spans="1:3" ht="15">
      <c r="A3037" s="81" t="s">
        <v>362</v>
      </c>
      <c r="B3037" s="80" t="s">
        <v>2705</v>
      </c>
      <c r="C3037" s="89" t="s">
        <v>1013</v>
      </c>
    </row>
    <row r="3038" spans="1:3" ht="15">
      <c r="A3038" s="81" t="s">
        <v>362</v>
      </c>
      <c r="B3038" s="80" t="s">
        <v>2706</v>
      </c>
      <c r="C3038" s="89" t="s">
        <v>1013</v>
      </c>
    </row>
    <row r="3039" spans="1:3" ht="15">
      <c r="A3039" s="81" t="s">
        <v>362</v>
      </c>
      <c r="B3039" s="80" t="s">
        <v>2707</v>
      </c>
      <c r="C3039" s="89" t="s">
        <v>1013</v>
      </c>
    </row>
    <row r="3040" spans="1:3" ht="15">
      <c r="A3040" s="81" t="s">
        <v>362</v>
      </c>
      <c r="B3040" s="80" t="s">
        <v>2708</v>
      </c>
      <c r="C3040" s="89" t="s">
        <v>1013</v>
      </c>
    </row>
    <row r="3041" spans="1:3" ht="15">
      <c r="A3041" s="81" t="s">
        <v>362</v>
      </c>
      <c r="B3041" s="80" t="s">
        <v>2488</v>
      </c>
      <c r="C3041" s="89" t="s">
        <v>1013</v>
      </c>
    </row>
    <row r="3042" spans="1:3" ht="15">
      <c r="A3042" s="81" t="s">
        <v>362</v>
      </c>
      <c r="B3042" s="80" t="s">
        <v>2709</v>
      </c>
      <c r="C3042" s="89" t="s">
        <v>1013</v>
      </c>
    </row>
    <row r="3043" spans="1:3" ht="15">
      <c r="A3043" s="81" t="s">
        <v>362</v>
      </c>
      <c r="B3043" s="80" t="s">
        <v>2710</v>
      </c>
      <c r="C3043" s="89" t="s">
        <v>1013</v>
      </c>
    </row>
    <row r="3044" spans="1:3" ht="15">
      <c r="A3044" s="81" t="s">
        <v>362</v>
      </c>
      <c r="B3044" s="80" t="s">
        <v>2478</v>
      </c>
      <c r="C3044" s="89" t="s">
        <v>1013</v>
      </c>
    </row>
    <row r="3045" spans="1:3" ht="15">
      <c r="A3045" s="81" t="s">
        <v>362</v>
      </c>
      <c r="B3045" s="80" t="s">
        <v>2476</v>
      </c>
      <c r="C3045" s="89" t="s">
        <v>1013</v>
      </c>
    </row>
    <row r="3046" spans="1:3" ht="15">
      <c r="A3046" s="81" t="s">
        <v>362</v>
      </c>
      <c r="B3046" s="80" t="s">
        <v>2711</v>
      </c>
      <c r="C3046" s="89" t="s">
        <v>1013</v>
      </c>
    </row>
    <row r="3047" spans="1:3" ht="15">
      <c r="A3047" s="81" t="s">
        <v>362</v>
      </c>
      <c r="B3047" s="80" t="s">
        <v>65</v>
      </c>
      <c r="C3047" s="89" t="s">
        <v>1013</v>
      </c>
    </row>
    <row r="3048" spans="1:3" ht="15">
      <c r="A3048" s="81" t="s">
        <v>362</v>
      </c>
      <c r="B3048" s="80" t="s">
        <v>2491</v>
      </c>
      <c r="C3048" s="89" t="s">
        <v>1013</v>
      </c>
    </row>
    <row r="3049" spans="1:3" ht="15">
      <c r="A3049" s="81" t="s">
        <v>361</v>
      </c>
      <c r="B3049" s="80" t="s">
        <v>2700</v>
      </c>
      <c r="C3049" s="89" t="s">
        <v>1012</v>
      </c>
    </row>
    <row r="3050" spans="1:3" ht="15">
      <c r="A3050" s="81" t="s">
        <v>361</v>
      </c>
      <c r="B3050" s="80" t="s">
        <v>2480</v>
      </c>
      <c r="C3050" s="89" t="s">
        <v>1012</v>
      </c>
    </row>
    <row r="3051" spans="1:3" ht="15">
      <c r="A3051" s="81" t="s">
        <v>361</v>
      </c>
      <c r="B3051" s="80" t="s">
        <v>2481</v>
      </c>
      <c r="C3051" s="89" t="s">
        <v>1012</v>
      </c>
    </row>
    <row r="3052" spans="1:3" ht="15">
      <c r="A3052" s="81" t="s">
        <v>361</v>
      </c>
      <c r="B3052" s="80" t="s">
        <v>2701</v>
      </c>
      <c r="C3052" s="89" t="s">
        <v>1012</v>
      </c>
    </row>
    <row r="3053" spans="1:3" ht="15">
      <c r="A3053" s="81" t="s">
        <v>361</v>
      </c>
      <c r="B3053" s="80" t="s">
        <v>2702</v>
      </c>
      <c r="C3053" s="89" t="s">
        <v>1012</v>
      </c>
    </row>
    <row r="3054" spans="1:3" ht="15">
      <c r="A3054" s="81" t="s">
        <v>361</v>
      </c>
      <c r="B3054" s="80" t="s">
        <v>2483</v>
      </c>
      <c r="C3054" s="89" t="s">
        <v>1012</v>
      </c>
    </row>
    <row r="3055" spans="1:3" ht="15">
      <c r="A3055" s="81" t="s">
        <v>361</v>
      </c>
      <c r="B3055" s="80" t="s">
        <v>2484</v>
      </c>
      <c r="C3055" s="89" t="s">
        <v>1012</v>
      </c>
    </row>
    <row r="3056" spans="1:3" ht="15">
      <c r="A3056" s="81" t="s">
        <v>361</v>
      </c>
      <c r="B3056" s="80" t="s">
        <v>2703</v>
      </c>
      <c r="C3056" s="89" t="s">
        <v>1012</v>
      </c>
    </row>
    <row r="3057" spans="1:3" ht="15">
      <c r="A3057" s="81" t="s">
        <v>361</v>
      </c>
      <c r="B3057" s="80" t="s">
        <v>2485</v>
      </c>
      <c r="C3057" s="89" t="s">
        <v>1012</v>
      </c>
    </row>
    <row r="3058" spans="1:3" ht="15">
      <c r="A3058" s="81" t="s">
        <v>361</v>
      </c>
      <c r="B3058" s="80" t="s">
        <v>2693</v>
      </c>
      <c r="C3058" s="89" t="s">
        <v>1012</v>
      </c>
    </row>
    <row r="3059" spans="1:3" ht="15">
      <c r="A3059" s="81" t="s">
        <v>361</v>
      </c>
      <c r="B3059" s="80" t="s">
        <v>2486</v>
      </c>
      <c r="C3059" s="89" t="s">
        <v>1012</v>
      </c>
    </row>
    <row r="3060" spans="1:3" ht="15">
      <c r="A3060" s="81" t="s">
        <v>361</v>
      </c>
      <c r="B3060" s="80" t="s">
        <v>2704</v>
      </c>
      <c r="C3060" s="89" t="s">
        <v>1012</v>
      </c>
    </row>
    <row r="3061" spans="1:3" ht="15">
      <c r="A3061" s="81" t="s">
        <v>361</v>
      </c>
      <c r="B3061" s="80" t="s">
        <v>2691</v>
      </c>
      <c r="C3061" s="89" t="s">
        <v>1012</v>
      </c>
    </row>
    <row r="3062" spans="1:3" ht="15">
      <c r="A3062" s="81" t="s">
        <v>361</v>
      </c>
      <c r="B3062" s="80" t="s">
        <v>2692</v>
      </c>
      <c r="C3062" s="89" t="s">
        <v>1012</v>
      </c>
    </row>
    <row r="3063" spans="1:3" ht="15">
      <c r="A3063" s="81" t="s">
        <v>361</v>
      </c>
      <c r="B3063" s="80" t="s">
        <v>2477</v>
      </c>
      <c r="C3063" s="89" t="s">
        <v>1012</v>
      </c>
    </row>
    <row r="3064" spans="1:3" ht="15">
      <c r="A3064" s="81" t="s">
        <v>361</v>
      </c>
      <c r="B3064" s="80" t="s">
        <v>2705</v>
      </c>
      <c r="C3064" s="89" t="s">
        <v>1012</v>
      </c>
    </row>
    <row r="3065" spans="1:3" ht="15">
      <c r="A3065" s="81" t="s">
        <v>361</v>
      </c>
      <c r="B3065" s="80" t="s">
        <v>2706</v>
      </c>
      <c r="C3065" s="89" t="s">
        <v>1012</v>
      </c>
    </row>
    <row r="3066" spans="1:3" ht="15">
      <c r="A3066" s="81" t="s">
        <v>361</v>
      </c>
      <c r="B3066" s="80" t="s">
        <v>2707</v>
      </c>
      <c r="C3066" s="89" t="s">
        <v>1012</v>
      </c>
    </row>
    <row r="3067" spans="1:3" ht="15">
      <c r="A3067" s="81" t="s">
        <v>361</v>
      </c>
      <c r="B3067" s="80" t="s">
        <v>2708</v>
      </c>
      <c r="C3067" s="89" t="s">
        <v>1012</v>
      </c>
    </row>
    <row r="3068" spans="1:3" ht="15">
      <c r="A3068" s="81" t="s">
        <v>361</v>
      </c>
      <c r="B3068" s="80" t="s">
        <v>2488</v>
      </c>
      <c r="C3068" s="89" t="s">
        <v>1012</v>
      </c>
    </row>
    <row r="3069" spans="1:3" ht="15">
      <c r="A3069" s="81" t="s">
        <v>361</v>
      </c>
      <c r="B3069" s="80" t="s">
        <v>2709</v>
      </c>
      <c r="C3069" s="89" t="s">
        <v>1012</v>
      </c>
    </row>
    <row r="3070" spans="1:3" ht="15">
      <c r="A3070" s="81" t="s">
        <v>361</v>
      </c>
      <c r="B3070" s="80" t="s">
        <v>2710</v>
      </c>
      <c r="C3070" s="89" t="s">
        <v>1012</v>
      </c>
    </row>
    <row r="3071" spans="1:3" ht="15">
      <c r="A3071" s="81" t="s">
        <v>361</v>
      </c>
      <c r="B3071" s="80" t="s">
        <v>2478</v>
      </c>
      <c r="C3071" s="89" t="s">
        <v>1012</v>
      </c>
    </row>
    <row r="3072" spans="1:3" ht="15">
      <c r="A3072" s="81" t="s">
        <v>361</v>
      </c>
      <c r="B3072" s="80" t="s">
        <v>2476</v>
      </c>
      <c r="C3072" s="89" t="s">
        <v>1012</v>
      </c>
    </row>
    <row r="3073" spans="1:3" ht="15">
      <c r="A3073" s="81" t="s">
        <v>361</v>
      </c>
      <c r="B3073" s="80" t="s">
        <v>2711</v>
      </c>
      <c r="C3073" s="89" t="s">
        <v>1012</v>
      </c>
    </row>
    <row r="3074" spans="1:3" ht="15">
      <c r="A3074" s="81" t="s">
        <v>361</v>
      </c>
      <c r="B3074" s="80" t="s">
        <v>65</v>
      </c>
      <c r="C3074" s="89" t="s">
        <v>1012</v>
      </c>
    </row>
    <row r="3075" spans="1:3" ht="15">
      <c r="A3075" s="81" t="s">
        <v>361</v>
      </c>
      <c r="B3075" s="80" t="s">
        <v>2491</v>
      </c>
      <c r="C3075" s="89" t="s">
        <v>1012</v>
      </c>
    </row>
    <row r="3076" spans="1:3" ht="15">
      <c r="A3076" s="81" t="s">
        <v>360</v>
      </c>
      <c r="B3076" s="80" t="s">
        <v>2700</v>
      </c>
      <c r="C3076" s="89" t="s">
        <v>1011</v>
      </c>
    </row>
    <row r="3077" spans="1:3" ht="15">
      <c r="A3077" s="81" t="s">
        <v>360</v>
      </c>
      <c r="B3077" s="80" t="s">
        <v>2480</v>
      </c>
      <c r="C3077" s="89" t="s">
        <v>1011</v>
      </c>
    </row>
    <row r="3078" spans="1:3" ht="15">
      <c r="A3078" s="81" t="s">
        <v>360</v>
      </c>
      <c r="B3078" s="80" t="s">
        <v>2481</v>
      </c>
      <c r="C3078" s="89" t="s">
        <v>1011</v>
      </c>
    </row>
    <row r="3079" spans="1:3" ht="15">
      <c r="A3079" s="81" t="s">
        <v>360</v>
      </c>
      <c r="B3079" s="80" t="s">
        <v>2701</v>
      </c>
      <c r="C3079" s="89" t="s">
        <v>1011</v>
      </c>
    </row>
    <row r="3080" spans="1:3" ht="15">
      <c r="A3080" s="81" t="s">
        <v>360</v>
      </c>
      <c r="B3080" s="80" t="s">
        <v>2702</v>
      </c>
      <c r="C3080" s="89" t="s">
        <v>1011</v>
      </c>
    </row>
    <row r="3081" spans="1:3" ht="15">
      <c r="A3081" s="81" t="s">
        <v>360</v>
      </c>
      <c r="B3081" s="80" t="s">
        <v>2483</v>
      </c>
      <c r="C3081" s="89" t="s">
        <v>1011</v>
      </c>
    </row>
    <row r="3082" spans="1:3" ht="15">
      <c r="A3082" s="81" t="s">
        <v>360</v>
      </c>
      <c r="B3082" s="80" t="s">
        <v>2484</v>
      </c>
      <c r="C3082" s="89" t="s">
        <v>1011</v>
      </c>
    </row>
    <row r="3083" spans="1:3" ht="15">
      <c r="A3083" s="81" t="s">
        <v>360</v>
      </c>
      <c r="B3083" s="80" t="s">
        <v>2703</v>
      </c>
      <c r="C3083" s="89" t="s">
        <v>1011</v>
      </c>
    </row>
    <row r="3084" spans="1:3" ht="15">
      <c r="A3084" s="81" t="s">
        <v>360</v>
      </c>
      <c r="B3084" s="80" t="s">
        <v>2485</v>
      </c>
      <c r="C3084" s="89" t="s">
        <v>1011</v>
      </c>
    </row>
    <row r="3085" spans="1:3" ht="15">
      <c r="A3085" s="81" t="s">
        <v>360</v>
      </c>
      <c r="B3085" s="80" t="s">
        <v>2693</v>
      </c>
      <c r="C3085" s="89" t="s">
        <v>1011</v>
      </c>
    </row>
    <row r="3086" spans="1:3" ht="15">
      <c r="A3086" s="81" t="s">
        <v>360</v>
      </c>
      <c r="B3086" s="80" t="s">
        <v>2486</v>
      </c>
      <c r="C3086" s="89" t="s">
        <v>1011</v>
      </c>
    </row>
    <row r="3087" spans="1:3" ht="15">
      <c r="A3087" s="81" t="s">
        <v>360</v>
      </c>
      <c r="B3087" s="80" t="s">
        <v>2704</v>
      </c>
      <c r="C3087" s="89" t="s">
        <v>1011</v>
      </c>
    </row>
    <row r="3088" spans="1:3" ht="15">
      <c r="A3088" s="81" t="s">
        <v>360</v>
      </c>
      <c r="B3088" s="80" t="s">
        <v>2691</v>
      </c>
      <c r="C3088" s="89" t="s">
        <v>1011</v>
      </c>
    </row>
    <row r="3089" spans="1:3" ht="15">
      <c r="A3089" s="81" t="s">
        <v>360</v>
      </c>
      <c r="B3089" s="80" t="s">
        <v>2692</v>
      </c>
      <c r="C3089" s="89" t="s">
        <v>1011</v>
      </c>
    </row>
    <row r="3090" spans="1:3" ht="15">
      <c r="A3090" s="81" t="s">
        <v>360</v>
      </c>
      <c r="B3090" s="80" t="s">
        <v>2477</v>
      </c>
      <c r="C3090" s="89" t="s">
        <v>1011</v>
      </c>
    </row>
    <row r="3091" spans="1:3" ht="15">
      <c r="A3091" s="81" t="s">
        <v>360</v>
      </c>
      <c r="B3091" s="80" t="s">
        <v>2705</v>
      </c>
      <c r="C3091" s="89" t="s">
        <v>1011</v>
      </c>
    </row>
    <row r="3092" spans="1:3" ht="15">
      <c r="A3092" s="81" t="s">
        <v>360</v>
      </c>
      <c r="B3092" s="80" t="s">
        <v>2706</v>
      </c>
      <c r="C3092" s="89" t="s">
        <v>1011</v>
      </c>
    </row>
    <row r="3093" spans="1:3" ht="15">
      <c r="A3093" s="81" t="s">
        <v>360</v>
      </c>
      <c r="B3093" s="80" t="s">
        <v>2707</v>
      </c>
      <c r="C3093" s="89" t="s">
        <v>1011</v>
      </c>
    </row>
    <row r="3094" spans="1:3" ht="15">
      <c r="A3094" s="81" t="s">
        <v>360</v>
      </c>
      <c r="B3094" s="80" t="s">
        <v>2708</v>
      </c>
      <c r="C3094" s="89" t="s">
        <v>1011</v>
      </c>
    </row>
    <row r="3095" spans="1:3" ht="15">
      <c r="A3095" s="81" t="s">
        <v>360</v>
      </c>
      <c r="B3095" s="80" t="s">
        <v>2488</v>
      </c>
      <c r="C3095" s="89" t="s">
        <v>1011</v>
      </c>
    </row>
    <row r="3096" spans="1:3" ht="15">
      <c r="A3096" s="81" t="s">
        <v>360</v>
      </c>
      <c r="B3096" s="80" t="s">
        <v>2709</v>
      </c>
      <c r="C3096" s="89" t="s">
        <v>1011</v>
      </c>
    </row>
    <row r="3097" spans="1:3" ht="15">
      <c r="A3097" s="81" t="s">
        <v>360</v>
      </c>
      <c r="B3097" s="80" t="s">
        <v>2710</v>
      </c>
      <c r="C3097" s="89" t="s">
        <v>1011</v>
      </c>
    </row>
    <row r="3098" spans="1:3" ht="15">
      <c r="A3098" s="81" t="s">
        <v>360</v>
      </c>
      <c r="B3098" s="80" t="s">
        <v>2478</v>
      </c>
      <c r="C3098" s="89" t="s">
        <v>1011</v>
      </c>
    </row>
    <row r="3099" spans="1:3" ht="15">
      <c r="A3099" s="81" t="s">
        <v>360</v>
      </c>
      <c r="B3099" s="80" t="s">
        <v>2476</v>
      </c>
      <c r="C3099" s="89" t="s">
        <v>1011</v>
      </c>
    </row>
    <row r="3100" spans="1:3" ht="15">
      <c r="A3100" s="81" t="s">
        <v>360</v>
      </c>
      <c r="B3100" s="80" t="s">
        <v>2711</v>
      </c>
      <c r="C3100" s="89" t="s">
        <v>1011</v>
      </c>
    </row>
    <row r="3101" spans="1:3" ht="15">
      <c r="A3101" s="81" t="s">
        <v>360</v>
      </c>
      <c r="B3101" s="80" t="s">
        <v>65</v>
      </c>
      <c r="C3101" s="89" t="s">
        <v>1011</v>
      </c>
    </row>
    <row r="3102" spans="1:3" ht="15">
      <c r="A3102" s="81" t="s">
        <v>360</v>
      </c>
      <c r="B3102" s="80" t="s">
        <v>2491</v>
      </c>
      <c r="C3102" s="89" t="s">
        <v>1011</v>
      </c>
    </row>
    <row r="3103" spans="1:3" ht="15">
      <c r="A3103" s="81" t="s">
        <v>359</v>
      </c>
      <c r="B3103" s="80" t="s">
        <v>2700</v>
      </c>
      <c r="C3103" s="89" t="s">
        <v>1010</v>
      </c>
    </row>
    <row r="3104" spans="1:3" ht="15">
      <c r="A3104" s="81" t="s">
        <v>359</v>
      </c>
      <c r="B3104" s="80" t="s">
        <v>2480</v>
      </c>
      <c r="C3104" s="89" t="s">
        <v>1010</v>
      </c>
    </row>
    <row r="3105" spans="1:3" ht="15">
      <c r="A3105" s="81" t="s">
        <v>359</v>
      </c>
      <c r="B3105" s="80" t="s">
        <v>2481</v>
      </c>
      <c r="C3105" s="89" t="s">
        <v>1010</v>
      </c>
    </row>
    <row r="3106" spans="1:3" ht="15">
      <c r="A3106" s="81" t="s">
        <v>359</v>
      </c>
      <c r="B3106" s="80" t="s">
        <v>2701</v>
      </c>
      <c r="C3106" s="89" t="s">
        <v>1010</v>
      </c>
    </row>
    <row r="3107" spans="1:3" ht="15">
      <c r="A3107" s="81" t="s">
        <v>359</v>
      </c>
      <c r="B3107" s="80" t="s">
        <v>2702</v>
      </c>
      <c r="C3107" s="89" t="s">
        <v>1010</v>
      </c>
    </row>
    <row r="3108" spans="1:3" ht="15">
      <c r="A3108" s="81" t="s">
        <v>359</v>
      </c>
      <c r="B3108" s="80" t="s">
        <v>2483</v>
      </c>
      <c r="C3108" s="89" t="s">
        <v>1010</v>
      </c>
    </row>
    <row r="3109" spans="1:3" ht="15">
      <c r="A3109" s="81" t="s">
        <v>359</v>
      </c>
      <c r="B3109" s="80" t="s">
        <v>2484</v>
      </c>
      <c r="C3109" s="89" t="s">
        <v>1010</v>
      </c>
    </row>
    <row r="3110" spans="1:3" ht="15">
      <c r="A3110" s="81" t="s">
        <v>359</v>
      </c>
      <c r="B3110" s="80" t="s">
        <v>2703</v>
      </c>
      <c r="C3110" s="89" t="s">
        <v>1010</v>
      </c>
    </row>
    <row r="3111" spans="1:3" ht="15">
      <c r="A3111" s="81" t="s">
        <v>359</v>
      </c>
      <c r="B3111" s="80" t="s">
        <v>2485</v>
      </c>
      <c r="C3111" s="89" t="s">
        <v>1010</v>
      </c>
    </row>
    <row r="3112" spans="1:3" ht="15">
      <c r="A3112" s="81" t="s">
        <v>359</v>
      </c>
      <c r="B3112" s="80" t="s">
        <v>2693</v>
      </c>
      <c r="C3112" s="89" t="s">
        <v>1010</v>
      </c>
    </row>
    <row r="3113" spans="1:3" ht="15">
      <c r="A3113" s="81" t="s">
        <v>359</v>
      </c>
      <c r="B3113" s="80" t="s">
        <v>2486</v>
      </c>
      <c r="C3113" s="89" t="s">
        <v>1010</v>
      </c>
    </row>
    <row r="3114" spans="1:3" ht="15">
      <c r="A3114" s="81" t="s">
        <v>359</v>
      </c>
      <c r="B3114" s="80" t="s">
        <v>2704</v>
      </c>
      <c r="C3114" s="89" t="s">
        <v>1010</v>
      </c>
    </row>
    <row r="3115" spans="1:3" ht="15">
      <c r="A3115" s="81" t="s">
        <v>359</v>
      </c>
      <c r="B3115" s="80" t="s">
        <v>2691</v>
      </c>
      <c r="C3115" s="89" t="s">
        <v>1010</v>
      </c>
    </row>
    <row r="3116" spans="1:3" ht="15">
      <c r="A3116" s="81" t="s">
        <v>359</v>
      </c>
      <c r="B3116" s="80" t="s">
        <v>2692</v>
      </c>
      <c r="C3116" s="89" t="s">
        <v>1010</v>
      </c>
    </row>
    <row r="3117" spans="1:3" ht="15">
      <c r="A3117" s="81" t="s">
        <v>359</v>
      </c>
      <c r="B3117" s="80" t="s">
        <v>2477</v>
      </c>
      <c r="C3117" s="89" t="s">
        <v>1010</v>
      </c>
    </row>
    <row r="3118" spans="1:3" ht="15">
      <c r="A3118" s="81" t="s">
        <v>359</v>
      </c>
      <c r="B3118" s="80" t="s">
        <v>2705</v>
      </c>
      <c r="C3118" s="89" t="s">
        <v>1010</v>
      </c>
    </row>
    <row r="3119" spans="1:3" ht="15">
      <c r="A3119" s="81" t="s">
        <v>359</v>
      </c>
      <c r="B3119" s="80" t="s">
        <v>2706</v>
      </c>
      <c r="C3119" s="89" t="s">
        <v>1010</v>
      </c>
    </row>
    <row r="3120" spans="1:3" ht="15">
      <c r="A3120" s="81" t="s">
        <v>359</v>
      </c>
      <c r="B3120" s="80" t="s">
        <v>2707</v>
      </c>
      <c r="C3120" s="89" t="s">
        <v>1010</v>
      </c>
    </row>
    <row r="3121" spans="1:3" ht="15">
      <c r="A3121" s="81" t="s">
        <v>359</v>
      </c>
      <c r="B3121" s="80" t="s">
        <v>2708</v>
      </c>
      <c r="C3121" s="89" t="s">
        <v>1010</v>
      </c>
    </row>
    <row r="3122" spans="1:3" ht="15">
      <c r="A3122" s="81" t="s">
        <v>359</v>
      </c>
      <c r="B3122" s="80" t="s">
        <v>2488</v>
      </c>
      <c r="C3122" s="89" t="s">
        <v>1010</v>
      </c>
    </row>
    <row r="3123" spans="1:3" ht="15">
      <c r="A3123" s="81" t="s">
        <v>359</v>
      </c>
      <c r="B3123" s="80" t="s">
        <v>2709</v>
      </c>
      <c r="C3123" s="89" t="s">
        <v>1010</v>
      </c>
    </row>
    <row r="3124" spans="1:3" ht="15">
      <c r="A3124" s="81" t="s">
        <v>359</v>
      </c>
      <c r="B3124" s="80" t="s">
        <v>2710</v>
      </c>
      <c r="C3124" s="89" t="s">
        <v>1010</v>
      </c>
    </row>
    <row r="3125" spans="1:3" ht="15">
      <c r="A3125" s="81" t="s">
        <v>359</v>
      </c>
      <c r="B3125" s="80" t="s">
        <v>2478</v>
      </c>
      <c r="C3125" s="89" t="s">
        <v>1010</v>
      </c>
    </row>
    <row r="3126" spans="1:3" ht="15">
      <c r="A3126" s="81" t="s">
        <v>359</v>
      </c>
      <c r="B3126" s="80" t="s">
        <v>2476</v>
      </c>
      <c r="C3126" s="89" t="s">
        <v>1010</v>
      </c>
    </row>
    <row r="3127" spans="1:3" ht="15">
      <c r="A3127" s="81" t="s">
        <v>359</v>
      </c>
      <c r="B3127" s="80" t="s">
        <v>2711</v>
      </c>
      <c r="C3127" s="89" t="s">
        <v>1010</v>
      </c>
    </row>
    <row r="3128" spans="1:3" ht="15">
      <c r="A3128" s="81" t="s">
        <v>359</v>
      </c>
      <c r="B3128" s="80" t="s">
        <v>65</v>
      </c>
      <c r="C3128" s="89" t="s">
        <v>1010</v>
      </c>
    </row>
    <row r="3129" spans="1:3" ht="15">
      <c r="A3129" s="81" t="s">
        <v>359</v>
      </c>
      <c r="B3129" s="80" t="s">
        <v>2491</v>
      </c>
      <c r="C3129" s="89" t="s">
        <v>1010</v>
      </c>
    </row>
    <row r="3130" spans="1:3" ht="15">
      <c r="A3130" s="81" t="s">
        <v>358</v>
      </c>
      <c r="B3130" s="80" t="s">
        <v>2700</v>
      </c>
      <c r="C3130" s="89" t="s">
        <v>1009</v>
      </c>
    </row>
    <row r="3131" spans="1:3" ht="15">
      <c r="A3131" s="81" t="s">
        <v>358</v>
      </c>
      <c r="B3131" s="80" t="s">
        <v>2480</v>
      </c>
      <c r="C3131" s="89" t="s">
        <v>1009</v>
      </c>
    </row>
    <row r="3132" spans="1:3" ht="15">
      <c r="A3132" s="81" t="s">
        <v>358</v>
      </c>
      <c r="B3132" s="80" t="s">
        <v>2481</v>
      </c>
      <c r="C3132" s="89" t="s">
        <v>1009</v>
      </c>
    </row>
    <row r="3133" spans="1:3" ht="15">
      <c r="A3133" s="81" t="s">
        <v>358</v>
      </c>
      <c r="B3133" s="80" t="s">
        <v>2701</v>
      </c>
      <c r="C3133" s="89" t="s">
        <v>1009</v>
      </c>
    </row>
    <row r="3134" spans="1:3" ht="15">
      <c r="A3134" s="81" t="s">
        <v>358</v>
      </c>
      <c r="B3134" s="80" t="s">
        <v>2702</v>
      </c>
      <c r="C3134" s="89" t="s">
        <v>1009</v>
      </c>
    </row>
    <row r="3135" spans="1:3" ht="15">
      <c r="A3135" s="81" t="s">
        <v>358</v>
      </c>
      <c r="B3135" s="80" t="s">
        <v>2483</v>
      </c>
      <c r="C3135" s="89" t="s">
        <v>1009</v>
      </c>
    </row>
    <row r="3136" spans="1:3" ht="15">
      <c r="A3136" s="81" t="s">
        <v>358</v>
      </c>
      <c r="B3136" s="80" t="s">
        <v>2484</v>
      </c>
      <c r="C3136" s="89" t="s">
        <v>1009</v>
      </c>
    </row>
    <row r="3137" spans="1:3" ht="15">
      <c r="A3137" s="81" t="s">
        <v>358</v>
      </c>
      <c r="B3137" s="80" t="s">
        <v>2703</v>
      </c>
      <c r="C3137" s="89" t="s">
        <v>1009</v>
      </c>
    </row>
    <row r="3138" spans="1:3" ht="15">
      <c r="A3138" s="81" t="s">
        <v>358</v>
      </c>
      <c r="B3138" s="80" t="s">
        <v>2485</v>
      </c>
      <c r="C3138" s="89" t="s">
        <v>1009</v>
      </c>
    </row>
    <row r="3139" spans="1:3" ht="15">
      <c r="A3139" s="81" t="s">
        <v>358</v>
      </c>
      <c r="B3139" s="80" t="s">
        <v>2693</v>
      </c>
      <c r="C3139" s="89" t="s">
        <v>1009</v>
      </c>
    </row>
    <row r="3140" spans="1:3" ht="15">
      <c r="A3140" s="81" t="s">
        <v>358</v>
      </c>
      <c r="B3140" s="80" t="s">
        <v>2486</v>
      </c>
      <c r="C3140" s="89" t="s">
        <v>1009</v>
      </c>
    </row>
    <row r="3141" spans="1:3" ht="15">
      <c r="A3141" s="81" t="s">
        <v>358</v>
      </c>
      <c r="B3141" s="80" t="s">
        <v>2704</v>
      </c>
      <c r="C3141" s="89" t="s">
        <v>1009</v>
      </c>
    </row>
    <row r="3142" spans="1:3" ht="15">
      <c r="A3142" s="81" t="s">
        <v>358</v>
      </c>
      <c r="B3142" s="80" t="s">
        <v>2691</v>
      </c>
      <c r="C3142" s="89" t="s">
        <v>1009</v>
      </c>
    </row>
    <row r="3143" spans="1:3" ht="15">
      <c r="A3143" s="81" t="s">
        <v>358</v>
      </c>
      <c r="B3143" s="80" t="s">
        <v>2692</v>
      </c>
      <c r="C3143" s="89" t="s">
        <v>1009</v>
      </c>
    </row>
    <row r="3144" spans="1:3" ht="15">
      <c r="A3144" s="81" t="s">
        <v>358</v>
      </c>
      <c r="B3144" s="80" t="s">
        <v>2477</v>
      </c>
      <c r="C3144" s="89" t="s">
        <v>1009</v>
      </c>
    </row>
    <row r="3145" spans="1:3" ht="15">
      <c r="A3145" s="81" t="s">
        <v>358</v>
      </c>
      <c r="B3145" s="80" t="s">
        <v>2705</v>
      </c>
      <c r="C3145" s="89" t="s">
        <v>1009</v>
      </c>
    </row>
    <row r="3146" spans="1:3" ht="15">
      <c r="A3146" s="81" t="s">
        <v>358</v>
      </c>
      <c r="B3146" s="80" t="s">
        <v>2706</v>
      </c>
      <c r="C3146" s="89" t="s">
        <v>1009</v>
      </c>
    </row>
    <row r="3147" spans="1:3" ht="15">
      <c r="A3147" s="81" t="s">
        <v>358</v>
      </c>
      <c r="B3147" s="80" t="s">
        <v>2707</v>
      </c>
      <c r="C3147" s="89" t="s">
        <v>1009</v>
      </c>
    </row>
    <row r="3148" spans="1:3" ht="15">
      <c r="A3148" s="81" t="s">
        <v>358</v>
      </c>
      <c r="B3148" s="80" t="s">
        <v>2708</v>
      </c>
      <c r="C3148" s="89" t="s">
        <v>1009</v>
      </c>
    </row>
    <row r="3149" spans="1:3" ht="15">
      <c r="A3149" s="81" t="s">
        <v>358</v>
      </c>
      <c r="B3149" s="80" t="s">
        <v>2488</v>
      </c>
      <c r="C3149" s="89" t="s">
        <v>1009</v>
      </c>
    </row>
    <row r="3150" spans="1:3" ht="15">
      <c r="A3150" s="81" t="s">
        <v>358</v>
      </c>
      <c r="B3150" s="80" t="s">
        <v>2709</v>
      </c>
      <c r="C3150" s="89" t="s">
        <v>1009</v>
      </c>
    </row>
    <row r="3151" spans="1:3" ht="15">
      <c r="A3151" s="81" t="s">
        <v>358</v>
      </c>
      <c r="B3151" s="80" t="s">
        <v>2710</v>
      </c>
      <c r="C3151" s="89" t="s">
        <v>1009</v>
      </c>
    </row>
    <row r="3152" spans="1:3" ht="15">
      <c r="A3152" s="81" t="s">
        <v>358</v>
      </c>
      <c r="B3152" s="80" t="s">
        <v>2478</v>
      </c>
      <c r="C3152" s="89" t="s">
        <v>1009</v>
      </c>
    </row>
    <row r="3153" spans="1:3" ht="15">
      <c r="A3153" s="81" t="s">
        <v>358</v>
      </c>
      <c r="B3153" s="80" t="s">
        <v>2476</v>
      </c>
      <c r="C3153" s="89" t="s">
        <v>1009</v>
      </c>
    </row>
    <row r="3154" spans="1:3" ht="15">
      <c r="A3154" s="81" t="s">
        <v>358</v>
      </c>
      <c r="B3154" s="80" t="s">
        <v>2711</v>
      </c>
      <c r="C3154" s="89" t="s">
        <v>1009</v>
      </c>
    </row>
    <row r="3155" spans="1:3" ht="15">
      <c r="A3155" s="81" t="s">
        <v>358</v>
      </c>
      <c r="B3155" s="80" t="s">
        <v>65</v>
      </c>
      <c r="C3155" s="89" t="s">
        <v>1009</v>
      </c>
    </row>
    <row r="3156" spans="1:3" ht="15">
      <c r="A3156" s="81" t="s">
        <v>358</v>
      </c>
      <c r="B3156" s="80" t="s">
        <v>2491</v>
      </c>
      <c r="C3156" s="89" t="s">
        <v>1009</v>
      </c>
    </row>
    <row r="3157" spans="1:3" ht="15">
      <c r="A3157" s="81" t="s">
        <v>357</v>
      </c>
      <c r="B3157" s="80" t="s">
        <v>2700</v>
      </c>
      <c r="C3157" s="89" t="s">
        <v>1008</v>
      </c>
    </row>
    <row r="3158" spans="1:3" ht="15">
      <c r="A3158" s="81" t="s">
        <v>357</v>
      </c>
      <c r="B3158" s="80" t="s">
        <v>2480</v>
      </c>
      <c r="C3158" s="89" t="s">
        <v>1008</v>
      </c>
    </row>
    <row r="3159" spans="1:3" ht="15">
      <c r="A3159" s="81" t="s">
        <v>357</v>
      </c>
      <c r="B3159" s="80" t="s">
        <v>2481</v>
      </c>
      <c r="C3159" s="89" t="s">
        <v>1008</v>
      </c>
    </row>
    <row r="3160" spans="1:3" ht="15">
      <c r="A3160" s="81" t="s">
        <v>357</v>
      </c>
      <c r="B3160" s="80" t="s">
        <v>2701</v>
      </c>
      <c r="C3160" s="89" t="s">
        <v>1008</v>
      </c>
    </row>
    <row r="3161" spans="1:3" ht="15">
      <c r="A3161" s="81" t="s">
        <v>357</v>
      </c>
      <c r="B3161" s="80" t="s">
        <v>2702</v>
      </c>
      <c r="C3161" s="89" t="s">
        <v>1008</v>
      </c>
    </row>
    <row r="3162" spans="1:3" ht="15">
      <c r="A3162" s="81" t="s">
        <v>357</v>
      </c>
      <c r="B3162" s="80" t="s">
        <v>2483</v>
      </c>
      <c r="C3162" s="89" t="s">
        <v>1008</v>
      </c>
    </row>
    <row r="3163" spans="1:3" ht="15">
      <c r="A3163" s="81" t="s">
        <v>357</v>
      </c>
      <c r="B3163" s="80" t="s">
        <v>2484</v>
      </c>
      <c r="C3163" s="89" t="s">
        <v>1008</v>
      </c>
    </row>
    <row r="3164" spans="1:3" ht="15">
      <c r="A3164" s="81" t="s">
        <v>357</v>
      </c>
      <c r="B3164" s="80" t="s">
        <v>2703</v>
      </c>
      <c r="C3164" s="89" t="s">
        <v>1008</v>
      </c>
    </row>
    <row r="3165" spans="1:3" ht="15">
      <c r="A3165" s="81" t="s">
        <v>357</v>
      </c>
      <c r="B3165" s="80" t="s">
        <v>2485</v>
      </c>
      <c r="C3165" s="89" t="s">
        <v>1008</v>
      </c>
    </row>
    <row r="3166" spans="1:3" ht="15">
      <c r="A3166" s="81" t="s">
        <v>357</v>
      </c>
      <c r="B3166" s="80" t="s">
        <v>2693</v>
      </c>
      <c r="C3166" s="89" t="s">
        <v>1008</v>
      </c>
    </row>
    <row r="3167" spans="1:3" ht="15">
      <c r="A3167" s="81" t="s">
        <v>357</v>
      </c>
      <c r="B3167" s="80" t="s">
        <v>2486</v>
      </c>
      <c r="C3167" s="89" t="s">
        <v>1008</v>
      </c>
    </row>
    <row r="3168" spans="1:3" ht="15">
      <c r="A3168" s="81" t="s">
        <v>357</v>
      </c>
      <c r="B3168" s="80" t="s">
        <v>2704</v>
      </c>
      <c r="C3168" s="89" t="s">
        <v>1008</v>
      </c>
    </row>
    <row r="3169" spans="1:3" ht="15">
      <c r="A3169" s="81" t="s">
        <v>357</v>
      </c>
      <c r="B3169" s="80" t="s">
        <v>2691</v>
      </c>
      <c r="C3169" s="89" t="s">
        <v>1008</v>
      </c>
    </row>
    <row r="3170" spans="1:3" ht="15">
      <c r="A3170" s="81" t="s">
        <v>357</v>
      </c>
      <c r="B3170" s="80" t="s">
        <v>2692</v>
      </c>
      <c r="C3170" s="89" t="s">
        <v>1008</v>
      </c>
    </row>
    <row r="3171" spans="1:3" ht="15">
      <c r="A3171" s="81" t="s">
        <v>357</v>
      </c>
      <c r="B3171" s="80" t="s">
        <v>2477</v>
      </c>
      <c r="C3171" s="89" t="s">
        <v>1008</v>
      </c>
    </row>
    <row r="3172" spans="1:3" ht="15">
      <c r="A3172" s="81" t="s">
        <v>357</v>
      </c>
      <c r="B3172" s="80" t="s">
        <v>2705</v>
      </c>
      <c r="C3172" s="89" t="s">
        <v>1008</v>
      </c>
    </row>
    <row r="3173" spans="1:3" ht="15">
      <c r="A3173" s="81" t="s">
        <v>357</v>
      </c>
      <c r="B3173" s="80" t="s">
        <v>2706</v>
      </c>
      <c r="C3173" s="89" t="s">
        <v>1008</v>
      </c>
    </row>
    <row r="3174" spans="1:3" ht="15">
      <c r="A3174" s="81" t="s">
        <v>357</v>
      </c>
      <c r="B3174" s="80" t="s">
        <v>2707</v>
      </c>
      <c r="C3174" s="89" t="s">
        <v>1008</v>
      </c>
    </row>
    <row r="3175" spans="1:3" ht="15">
      <c r="A3175" s="81" t="s">
        <v>357</v>
      </c>
      <c r="B3175" s="80" t="s">
        <v>2708</v>
      </c>
      <c r="C3175" s="89" t="s">
        <v>1008</v>
      </c>
    </row>
    <row r="3176" spans="1:3" ht="15">
      <c r="A3176" s="81" t="s">
        <v>357</v>
      </c>
      <c r="B3176" s="80" t="s">
        <v>2488</v>
      </c>
      <c r="C3176" s="89" t="s">
        <v>1008</v>
      </c>
    </row>
    <row r="3177" spans="1:3" ht="15">
      <c r="A3177" s="81" t="s">
        <v>357</v>
      </c>
      <c r="B3177" s="80" t="s">
        <v>2709</v>
      </c>
      <c r="C3177" s="89" t="s">
        <v>1008</v>
      </c>
    </row>
    <row r="3178" spans="1:3" ht="15">
      <c r="A3178" s="81" t="s">
        <v>357</v>
      </c>
      <c r="B3178" s="80" t="s">
        <v>2710</v>
      </c>
      <c r="C3178" s="89" t="s">
        <v>1008</v>
      </c>
    </row>
    <row r="3179" spans="1:3" ht="15">
      <c r="A3179" s="81" t="s">
        <v>357</v>
      </c>
      <c r="B3179" s="80" t="s">
        <v>2478</v>
      </c>
      <c r="C3179" s="89" t="s">
        <v>1008</v>
      </c>
    </row>
    <row r="3180" spans="1:3" ht="15">
      <c r="A3180" s="81" t="s">
        <v>357</v>
      </c>
      <c r="B3180" s="80" t="s">
        <v>2476</v>
      </c>
      <c r="C3180" s="89" t="s">
        <v>1008</v>
      </c>
    </row>
    <row r="3181" spans="1:3" ht="15">
      <c r="A3181" s="81" t="s">
        <v>357</v>
      </c>
      <c r="B3181" s="80" t="s">
        <v>2711</v>
      </c>
      <c r="C3181" s="89" t="s">
        <v>1008</v>
      </c>
    </row>
    <row r="3182" spans="1:3" ht="15">
      <c r="A3182" s="81" t="s">
        <v>357</v>
      </c>
      <c r="B3182" s="80" t="s">
        <v>65</v>
      </c>
      <c r="C3182" s="89" t="s">
        <v>1008</v>
      </c>
    </row>
    <row r="3183" spans="1:3" ht="15">
      <c r="A3183" s="81" t="s">
        <v>357</v>
      </c>
      <c r="B3183" s="80" t="s">
        <v>2491</v>
      </c>
      <c r="C3183" s="89" t="s">
        <v>1008</v>
      </c>
    </row>
    <row r="3184" spans="1:3" ht="15">
      <c r="A3184" s="81" t="s">
        <v>356</v>
      </c>
      <c r="B3184" s="80" t="s">
        <v>2700</v>
      </c>
      <c r="C3184" s="89" t="s">
        <v>1007</v>
      </c>
    </row>
    <row r="3185" spans="1:3" ht="15">
      <c r="A3185" s="81" t="s">
        <v>356</v>
      </c>
      <c r="B3185" s="80" t="s">
        <v>2480</v>
      </c>
      <c r="C3185" s="89" t="s">
        <v>1007</v>
      </c>
    </row>
    <row r="3186" spans="1:3" ht="15">
      <c r="A3186" s="81" t="s">
        <v>356</v>
      </c>
      <c r="B3186" s="80" t="s">
        <v>2481</v>
      </c>
      <c r="C3186" s="89" t="s">
        <v>1007</v>
      </c>
    </row>
    <row r="3187" spans="1:3" ht="15">
      <c r="A3187" s="81" t="s">
        <v>356</v>
      </c>
      <c r="B3187" s="80" t="s">
        <v>2701</v>
      </c>
      <c r="C3187" s="89" t="s">
        <v>1007</v>
      </c>
    </row>
    <row r="3188" spans="1:3" ht="15">
      <c r="A3188" s="81" t="s">
        <v>356</v>
      </c>
      <c r="B3188" s="80" t="s">
        <v>2702</v>
      </c>
      <c r="C3188" s="89" t="s">
        <v>1007</v>
      </c>
    </row>
    <row r="3189" spans="1:3" ht="15">
      <c r="A3189" s="81" t="s">
        <v>356</v>
      </c>
      <c r="B3189" s="80" t="s">
        <v>2483</v>
      </c>
      <c r="C3189" s="89" t="s">
        <v>1007</v>
      </c>
    </row>
    <row r="3190" spans="1:3" ht="15">
      <c r="A3190" s="81" t="s">
        <v>356</v>
      </c>
      <c r="B3190" s="80" t="s">
        <v>2484</v>
      </c>
      <c r="C3190" s="89" t="s">
        <v>1007</v>
      </c>
    </row>
    <row r="3191" spans="1:3" ht="15">
      <c r="A3191" s="81" t="s">
        <v>356</v>
      </c>
      <c r="B3191" s="80" t="s">
        <v>2703</v>
      </c>
      <c r="C3191" s="89" t="s">
        <v>1007</v>
      </c>
    </row>
    <row r="3192" spans="1:3" ht="15">
      <c r="A3192" s="81" t="s">
        <v>356</v>
      </c>
      <c r="B3192" s="80" t="s">
        <v>2485</v>
      </c>
      <c r="C3192" s="89" t="s">
        <v>1007</v>
      </c>
    </row>
    <row r="3193" spans="1:3" ht="15">
      <c r="A3193" s="81" t="s">
        <v>356</v>
      </c>
      <c r="B3193" s="80" t="s">
        <v>2693</v>
      </c>
      <c r="C3193" s="89" t="s">
        <v>1007</v>
      </c>
    </row>
    <row r="3194" spans="1:3" ht="15">
      <c r="A3194" s="81" t="s">
        <v>356</v>
      </c>
      <c r="B3194" s="80" t="s">
        <v>2486</v>
      </c>
      <c r="C3194" s="89" t="s">
        <v>1007</v>
      </c>
    </row>
    <row r="3195" spans="1:3" ht="15">
      <c r="A3195" s="81" t="s">
        <v>356</v>
      </c>
      <c r="B3195" s="80" t="s">
        <v>2704</v>
      </c>
      <c r="C3195" s="89" t="s">
        <v>1007</v>
      </c>
    </row>
    <row r="3196" spans="1:3" ht="15">
      <c r="A3196" s="81" t="s">
        <v>356</v>
      </c>
      <c r="B3196" s="80" t="s">
        <v>2691</v>
      </c>
      <c r="C3196" s="89" t="s">
        <v>1007</v>
      </c>
    </row>
    <row r="3197" spans="1:3" ht="15">
      <c r="A3197" s="81" t="s">
        <v>356</v>
      </c>
      <c r="B3197" s="80" t="s">
        <v>2692</v>
      </c>
      <c r="C3197" s="89" t="s">
        <v>1007</v>
      </c>
    </row>
    <row r="3198" spans="1:3" ht="15">
      <c r="A3198" s="81" t="s">
        <v>356</v>
      </c>
      <c r="B3198" s="80" t="s">
        <v>2477</v>
      </c>
      <c r="C3198" s="89" t="s">
        <v>1007</v>
      </c>
    </row>
    <row r="3199" spans="1:3" ht="15">
      <c r="A3199" s="81" t="s">
        <v>356</v>
      </c>
      <c r="B3199" s="80" t="s">
        <v>2705</v>
      </c>
      <c r="C3199" s="89" t="s">
        <v>1007</v>
      </c>
    </row>
    <row r="3200" spans="1:3" ht="15">
      <c r="A3200" s="81" t="s">
        <v>356</v>
      </c>
      <c r="B3200" s="80" t="s">
        <v>2706</v>
      </c>
      <c r="C3200" s="89" t="s">
        <v>1007</v>
      </c>
    </row>
    <row r="3201" spans="1:3" ht="15">
      <c r="A3201" s="81" t="s">
        <v>356</v>
      </c>
      <c r="B3201" s="80" t="s">
        <v>2707</v>
      </c>
      <c r="C3201" s="89" t="s">
        <v>1007</v>
      </c>
    </row>
    <row r="3202" spans="1:3" ht="15">
      <c r="A3202" s="81" t="s">
        <v>356</v>
      </c>
      <c r="B3202" s="80" t="s">
        <v>2708</v>
      </c>
      <c r="C3202" s="89" t="s">
        <v>1007</v>
      </c>
    </row>
    <row r="3203" spans="1:3" ht="15">
      <c r="A3203" s="81" t="s">
        <v>356</v>
      </c>
      <c r="B3203" s="80" t="s">
        <v>2488</v>
      </c>
      <c r="C3203" s="89" t="s">
        <v>1007</v>
      </c>
    </row>
    <row r="3204" spans="1:3" ht="15">
      <c r="A3204" s="81" t="s">
        <v>356</v>
      </c>
      <c r="B3204" s="80" t="s">
        <v>2709</v>
      </c>
      <c r="C3204" s="89" t="s">
        <v>1007</v>
      </c>
    </row>
    <row r="3205" spans="1:3" ht="15">
      <c r="A3205" s="81" t="s">
        <v>356</v>
      </c>
      <c r="B3205" s="80" t="s">
        <v>2710</v>
      </c>
      <c r="C3205" s="89" t="s">
        <v>1007</v>
      </c>
    </row>
    <row r="3206" spans="1:3" ht="15">
      <c r="A3206" s="81" t="s">
        <v>356</v>
      </c>
      <c r="B3206" s="80" t="s">
        <v>2478</v>
      </c>
      <c r="C3206" s="89" t="s">
        <v>1007</v>
      </c>
    </row>
    <row r="3207" spans="1:3" ht="15">
      <c r="A3207" s="81" t="s">
        <v>356</v>
      </c>
      <c r="B3207" s="80" t="s">
        <v>2476</v>
      </c>
      <c r="C3207" s="89" t="s">
        <v>1007</v>
      </c>
    </row>
    <row r="3208" spans="1:3" ht="15">
      <c r="A3208" s="81" t="s">
        <v>356</v>
      </c>
      <c r="B3208" s="80" t="s">
        <v>2711</v>
      </c>
      <c r="C3208" s="89" t="s">
        <v>1007</v>
      </c>
    </row>
    <row r="3209" spans="1:3" ht="15">
      <c r="A3209" s="81" t="s">
        <v>356</v>
      </c>
      <c r="B3209" s="80" t="s">
        <v>65</v>
      </c>
      <c r="C3209" s="89" t="s">
        <v>1007</v>
      </c>
    </row>
    <row r="3210" spans="1:3" ht="15">
      <c r="A3210" s="81" t="s">
        <v>356</v>
      </c>
      <c r="B3210" s="80" t="s">
        <v>2491</v>
      </c>
      <c r="C3210" s="89" t="s">
        <v>1007</v>
      </c>
    </row>
    <row r="3211" spans="1:3" ht="15">
      <c r="A3211" s="81" t="s">
        <v>355</v>
      </c>
      <c r="B3211" s="80" t="s">
        <v>2700</v>
      </c>
      <c r="C3211" s="89" t="s">
        <v>1006</v>
      </c>
    </row>
    <row r="3212" spans="1:3" ht="15">
      <c r="A3212" s="81" t="s">
        <v>355</v>
      </c>
      <c r="B3212" s="80" t="s">
        <v>2480</v>
      </c>
      <c r="C3212" s="89" t="s">
        <v>1006</v>
      </c>
    </row>
    <row r="3213" spans="1:3" ht="15">
      <c r="A3213" s="81" t="s">
        <v>355</v>
      </c>
      <c r="B3213" s="80" t="s">
        <v>2481</v>
      </c>
      <c r="C3213" s="89" t="s">
        <v>1006</v>
      </c>
    </row>
    <row r="3214" spans="1:3" ht="15">
      <c r="A3214" s="81" t="s">
        <v>355</v>
      </c>
      <c r="B3214" s="80" t="s">
        <v>2701</v>
      </c>
      <c r="C3214" s="89" t="s">
        <v>1006</v>
      </c>
    </row>
    <row r="3215" spans="1:3" ht="15">
      <c r="A3215" s="81" t="s">
        <v>355</v>
      </c>
      <c r="B3215" s="80" t="s">
        <v>2702</v>
      </c>
      <c r="C3215" s="89" t="s">
        <v>1006</v>
      </c>
    </row>
    <row r="3216" spans="1:3" ht="15">
      <c r="A3216" s="81" t="s">
        <v>355</v>
      </c>
      <c r="B3216" s="80" t="s">
        <v>2483</v>
      </c>
      <c r="C3216" s="89" t="s">
        <v>1006</v>
      </c>
    </row>
    <row r="3217" spans="1:3" ht="15">
      <c r="A3217" s="81" t="s">
        <v>355</v>
      </c>
      <c r="B3217" s="80" t="s">
        <v>2484</v>
      </c>
      <c r="C3217" s="89" t="s">
        <v>1006</v>
      </c>
    </row>
    <row r="3218" spans="1:3" ht="15">
      <c r="A3218" s="81" t="s">
        <v>355</v>
      </c>
      <c r="B3218" s="80" t="s">
        <v>2703</v>
      </c>
      <c r="C3218" s="89" t="s">
        <v>1006</v>
      </c>
    </row>
    <row r="3219" spans="1:3" ht="15">
      <c r="A3219" s="81" t="s">
        <v>355</v>
      </c>
      <c r="B3219" s="80" t="s">
        <v>2485</v>
      </c>
      <c r="C3219" s="89" t="s">
        <v>1006</v>
      </c>
    </row>
    <row r="3220" spans="1:3" ht="15">
      <c r="A3220" s="81" t="s">
        <v>355</v>
      </c>
      <c r="B3220" s="80" t="s">
        <v>2693</v>
      </c>
      <c r="C3220" s="89" t="s">
        <v>1006</v>
      </c>
    </row>
    <row r="3221" spans="1:3" ht="15">
      <c r="A3221" s="81" t="s">
        <v>355</v>
      </c>
      <c r="B3221" s="80" t="s">
        <v>2486</v>
      </c>
      <c r="C3221" s="89" t="s">
        <v>1006</v>
      </c>
    </row>
    <row r="3222" spans="1:3" ht="15">
      <c r="A3222" s="81" t="s">
        <v>355</v>
      </c>
      <c r="B3222" s="80" t="s">
        <v>2704</v>
      </c>
      <c r="C3222" s="89" t="s">
        <v>1006</v>
      </c>
    </row>
    <row r="3223" spans="1:3" ht="15">
      <c r="A3223" s="81" t="s">
        <v>355</v>
      </c>
      <c r="B3223" s="80" t="s">
        <v>2691</v>
      </c>
      <c r="C3223" s="89" t="s">
        <v>1006</v>
      </c>
    </row>
    <row r="3224" spans="1:3" ht="15">
      <c r="A3224" s="81" t="s">
        <v>355</v>
      </c>
      <c r="B3224" s="80" t="s">
        <v>2692</v>
      </c>
      <c r="C3224" s="89" t="s">
        <v>1006</v>
      </c>
    </row>
    <row r="3225" spans="1:3" ht="15">
      <c r="A3225" s="81" t="s">
        <v>355</v>
      </c>
      <c r="B3225" s="80" t="s">
        <v>2477</v>
      </c>
      <c r="C3225" s="89" t="s">
        <v>1006</v>
      </c>
    </row>
    <row r="3226" spans="1:3" ht="15">
      <c r="A3226" s="81" t="s">
        <v>355</v>
      </c>
      <c r="B3226" s="80" t="s">
        <v>2705</v>
      </c>
      <c r="C3226" s="89" t="s">
        <v>1006</v>
      </c>
    </row>
    <row r="3227" spans="1:3" ht="15">
      <c r="A3227" s="81" t="s">
        <v>355</v>
      </c>
      <c r="B3227" s="80" t="s">
        <v>2706</v>
      </c>
      <c r="C3227" s="89" t="s">
        <v>1006</v>
      </c>
    </row>
    <row r="3228" spans="1:3" ht="15">
      <c r="A3228" s="81" t="s">
        <v>355</v>
      </c>
      <c r="B3228" s="80" t="s">
        <v>2707</v>
      </c>
      <c r="C3228" s="89" t="s">
        <v>1006</v>
      </c>
    </row>
    <row r="3229" spans="1:3" ht="15">
      <c r="A3229" s="81" t="s">
        <v>355</v>
      </c>
      <c r="B3229" s="80" t="s">
        <v>2708</v>
      </c>
      <c r="C3229" s="89" t="s">
        <v>1006</v>
      </c>
    </row>
    <row r="3230" spans="1:3" ht="15">
      <c r="A3230" s="81" t="s">
        <v>355</v>
      </c>
      <c r="B3230" s="80" t="s">
        <v>2488</v>
      </c>
      <c r="C3230" s="89" t="s">
        <v>1006</v>
      </c>
    </row>
    <row r="3231" spans="1:3" ht="15">
      <c r="A3231" s="81" t="s">
        <v>355</v>
      </c>
      <c r="B3231" s="80" t="s">
        <v>2709</v>
      </c>
      <c r="C3231" s="89" t="s">
        <v>1006</v>
      </c>
    </row>
    <row r="3232" spans="1:3" ht="15">
      <c r="A3232" s="81" t="s">
        <v>355</v>
      </c>
      <c r="B3232" s="80" t="s">
        <v>2710</v>
      </c>
      <c r="C3232" s="89" t="s">
        <v>1006</v>
      </c>
    </row>
    <row r="3233" spans="1:3" ht="15">
      <c r="A3233" s="81" t="s">
        <v>355</v>
      </c>
      <c r="B3233" s="80" t="s">
        <v>2478</v>
      </c>
      <c r="C3233" s="89" t="s">
        <v>1006</v>
      </c>
    </row>
    <row r="3234" spans="1:3" ht="15">
      <c r="A3234" s="81" t="s">
        <v>355</v>
      </c>
      <c r="B3234" s="80" t="s">
        <v>2476</v>
      </c>
      <c r="C3234" s="89" t="s">
        <v>1006</v>
      </c>
    </row>
    <row r="3235" spans="1:3" ht="15">
      <c r="A3235" s="81" t="s">
        <v>355</v>
      </c>
      <c r="B3235" s="80" t="s">
        <v>2711</v>
      </c>
      <c r="C3235" s="89" t="s">
        <v>1006</v>
      </c>
    </row>
    <row r="3236" spans="1:3" ht="15">
      <c r="A3236" s="81" t="s">
        <v>355</v>
      </c>
      <c r="B3236" s="80" t="s">
        <v>65</v>
      </c>
      <c r="C3236" s="89" t="s">
        <v>1006</v>
      </c>
    </row>
    <row r="3237" spans="1:3" ht="15">
      <c r="A3237" s="81" t="s">
        <v>355</v>
      </c>
      <c r="B3237" s="80" t="s">
        <v>2491</v>
      </c>
      <c r="C3237" s="89" t="s">
        <v>1006</v>
      </c>
    </row>
    <row r="3238" spans="1:3" ht="15">
      <c r="A3238" s="81" t="s">
        <v>354</v>
      </c>
      <c r="B3238" s="80" t="s">
        <v>2700</v>
      </c>
      <c r="C3238" s="89" t="s">
        <v>1005</v>
      </c>
    </row>
    <row r="3239" spans="1:3" ht="15">
      <c r="A3239" s="81" t="s">
        <v>354</v>
      </c>
      <c r="B3239" s="80" t="s">
        <v>2480</v>
      </c>
      <c r="C3239" s="89" t="s">
        <v>1005</v>
      </c>
    </row>
    <row r="3240" spans="1:3" ht="15">
      <c r="A3240" s="81" t="s">
        <v>354</v>
      </c>
      <c r="B3240" s="80" t="s">
        <v>2481</v>
      </c>
      <c r="C3240" s="89" t="s">
        <v>1005</v>
      </c>
    </row>
    <row r="3241" spans="1:3" ht="15">
      <c r="A3241" s="81" t="s">
        <v>354</v>
      </c>
      <c r="B3241" s="80" t="s">
        <v>2701</v>
      </c>
      <c r="C3241" s="89" t="s">
        <v>1005</v>
      </c>
    </row>
    <row r="3242" spans="1:3" ht="15">
      <c r="A3242" s="81" t="s">
        <v>354</v>
      </c>
      <c r="B3242" s="80" t="s">
        <v>2702</v>
      </c>
      <c r="C3242" s="89" t="s">
        <v>1005</v>
      </c>
    </row>
    <row r="3243" spans="1:3" ht="15">
      <c r="A3243" s="81" t="s">
        <v>354</v>
      </c>
      <c r="B3243" s="80" t="s">
        <v>2483</v>
      </c>
      <c r="C3243" s="89" t="s">
        <v>1005</v>
      </c>
    </row>
    <row r="3244" spans="1:3" ht="15">
      <c r="A3244" s="81" t="s">
        <v>354</v>
      </c>
      <c r="B3244" s="80" t="s">
        <v>2484</v>
      </c>
      <c r="C3244" s="89" t="s">
        <v>1005</v>
      </c>
    </row>
    <row r="3245" spans="1:3" ht="15">
      <c r="A3245" s="81" t="s">
        <v>354</v>
      </c>
      <c r="B3245" s="80" t="s">
        <v>2703</v>
      </c>
      <c r="C3245" s="89" t="s">
        <v>1005</v>
      </c>
    </row>
    <row r="3246" spans="1:3" ht="15">
      <c r="A3246" s="81" t="s">
        <v>354</v>
      </c>
      <c r="B3246" s="80" t="s">
        <v>2485</v>
      </c>
      <c r="C3246" s="89" t="s">
        <v>1005</v>
      </c>
    </row>
    <row r="3247" spans="1:3" ht="15">
      <c r="A3247" s="81" t="s">
        <v>354</v>
      </c>
      <c r="B3247" s="80" t="s">
        <v>2693</v>
      </c>
      <c r="C3247" s="89" t="s">
        <v>1005</v>
      </c>
    </row>
    <row r="3248" spans="1:3" ht="15">
      <c r="A3248" s="81" t="s">
        <v>354</v>
      </c>
      <c r="B3248" s="80" t="s">
        <v>2486</v>
      </c>
      <c r="C3248" s="89" t="s">
        <v>1005</v>
      </c>
    </row>
    <row r="3249" spans="1:3" ht="15">
      <c r="A3249" s="81" t="s">
        <v>354</v>
      </c>
      <c r="B3249" s="80" t="s">
        <v>2704</v>
      </c>
      <c r="C3249" s="89" t="s">
        <v>1005</v>
      </c>
    </row>
    <row r="3250" spans="1:3" ht="15">
      <c r="A3250" s="81" t="s">
        <v>354</v>
      </c>
      <c r="B3250" s="80" t="s">
        <v>2691</v>
      </c>
      <c r="C3250" s="89" t="s">
        <v>1005</v>
      </c>
    </row>
    <row r="3251" spans="1:3" ht="15">
      <c r="A3251" s="81" t="s">
        <v>354</v>
      </c>
      <c r="B3251" s="80" t="s">
        <v>2692</v>
      </c>
      <c r="C3251" s="89" t="s">
        <v>1005</v>
      </c>
    </row>
    <row r="3252" spans="1:3" ht="15">
      <c r="A3252" s="81" t="s">
        <v>354</v>
      </c>
      <c r="B3252" s="80" t="s">
        <v>2477</v>
      </c>
      <c r="C3252" s="89" t="s">
        <v>1005</v>
      </c>
    </row>
    <row r="3253" spans="1:3" ht="15">
      <c r="A3253" s="81" t="s">
        <v>354</v>
      </c>
      <c r="B3253" s="80" t="s">
        <v>2705</v>
      </c>
      <c r="C3253" s="89" t="s">
        <v>1005</v>
      </c>
    </row>
    <row r="3254" spans="1:3" ht="15">
      <c r="A3254" s="81" t="s">
        <v>354</v>
      </c>
      <c r="B3254" s="80" t="s">
        <v>2706</v>
      </c>
      <c r="C3254" s="89" t="s">
        <v>1005</v>
      </c>
    </row>
    <row r="3255" spans="1:3" ht="15">
      <c r="A3255" s="81" t="s">
        <v>354</v>
      </c>
      <c r="B3255" s="80" t="s">
        <v>2707</v>
      </c>
      <c r="C3255" s="89" t="s">
        <v>1005</v>
      </c>
    </row>
    <row r="3256" spans="1:3" ht="15">
      <c r="A3256" s="81" t="s">
        <v>354</v>
      </c>
      <c r="B3256" s="80" t="s">
        <v>2708</v>
      </c>
      <c r="C3256" s="89" t="s">
        <v>1005</v>
      </c>
    </row>
    <row r="3257" spans="1:3" ht="15">
      <c r="A3257" s="81" t="s">
        <v>354</v>
      </c>
      <c r="B3257" s="80" t="s">
        <v>2488</v>
      </c>
      <c r="C3257" s="89" t="s">
        <v>1005</v>
      </c>
    </row>
    <row r="3258" spans="1:3" ht="15">
      <c r="A3258" s="81" t="s">
        <v>354</v>
      </c>
      <c r="B3258" s="80" t="s">
        <v>2709</v>
      </c>
      <c r="C3258" s="89" t="s">
        <v>1005</v>
      </c>
    </row>
    <row r="3259" spans="1:3" ht="15">
      <c r="A3259" s="81" t="s">
        <v>354</v>
      </c>
      <c r="B3259" s="80" t="s">
        <v>2710</v>
      </c>
      <c r="C3259" s="89" t="s">
        <v>1005</v>
      </c>
    </row>
    <row r="3260" spans="1:3" ht="15">
      <c r="A3260" s="81" t="s">
        <v>354</v>
      </c>
      <c r="B3260" s="80" t="s">
        <v>2478</v>
      </c>
      <c r="C3260" s="89" t="s">
        <v>1005</v>
      </c>
    </row>
    <row r="3261" spans="1:3" ht="15">
      <c r="A3261" s="81" t="s">
        <v>354</v>
      </c>
      <c r="B3261" s="80" t="s">
        <v>2476</v>
      </c>
      <c r="C3261" s="89" t="s">
        <v>1005</v>
      </c>
    </row>
    <row r="3262" spans="1:3" ht="15">
      <c r="A3262" s="81" t="s">
        <v>354</v>
      </c>
      <c r="B3262" s="80" t="s">
        <v>2711</v>
      </c>
      <c r="C3262" s="89" t="s">
        <v>1005</v>
      </c>
    </row>
    <row r="3263" spans="1:3" ht="15">
      <c r="A3263" s="81" t="s">
        <v>354</v>
      </c>
      <c r="B3263" s="80" t="s">
        <v>65</v>
      </c>
      <c r="C3263" s="89" t="s">
        <v>1005</v>
      </c>
    </row>
    <row r="3264" spans="1:3" ht="15">
      <c r="A3264" s="81" t="s">
        <v>354</v>
      </c>
      <c r="B3264" s="80" t="s">
        <v>2491</v>
      </c>
      <c r="C3264" s="89" t="s">
        <v>1005</v>
      </c>
    </row>
    <row r="3265" spans="1:3" ht="15">
      <c r="A3265" s="81" t="s">
        <v>353</v>
      </c>
      <c r="B3265" s="80" t="s">
        <v>495</v>
      </c>
      <c r="C3265" s="89" t="s">
        <v>1004</v>
      </c>
    </row>
    <row r="3266" spans="1:3" ht="15">
      <c r="A3266" s="81" t="s">
        <v>353</v>
      </c>
      <c r="B3266" s="80" t="s">
        <v>2970</v>
      </c>
      <c r="C3266" s="89" t="s">
        <v>1004</v>
      </c>
    </row>
    <row r="3267" spans="1:3" ht="15">
      <c r="A3267" s="81" t="s">
        <v>353</v>
      </c>
      <c r="B3267" s="80" t="s">
        <v>2693</v>
      </c>
      <c r="C3267" s="89" t="s">
        <v>1004</v>
      </c>
    </row>
    <row r="3268" spans="1:3" ht="15">
      <c r="A3268" s="81" t="s">
        <v>353</v>
      </c>
      <c r="B3268" s="80" t="s">
        <v>2917</v>
      </c>
      <c r="C3268" s="89" t="s">
        <v>1004</v>
      </c>
    </row>
    <row r="3269" spans="1:3" ht="15">
      <c r="A3269" s="81" t="s">
        <v>353</v>
      </c>
      <c r="B3269" s="80" t="s">
        <v>2971</v>
      </c>
      <c r="C3269" s="89" t="s">
        <v>1004</v>
      </c>
    </row>
    <row r="3270" spans="1:3" ht="15">
      <c r="A3270" s="81" t="s">
        <v>353</v>
      </c>
      <c r="B3270" s="80" t="s">
        <v>2972</v>
      </c>
      <c r="C3270" s="89" t="s">
        <v>1004</v>
      </c>
    </row>
    <row r="3271" spans="1:3" ht="15">
      <c r="A3271" s="81" t="s">
        <v>353</v>
      </c>
      <c r="B3271" s="80" t="s">
        <v>2973</v>
      </c>
      <c r="C3271" s="89" t="s">
        <v>1004</v>
      </c>
    </row>
    <row r="3272" spans="1:3" ht="15">
      <c r="A3272" s="81" t="s">
        <v>353</v>
      </c>
      <c r="B3272" s="80" t="s">
        <v>2839</v>
      </c>
      <c r="C3272" s="89" t="s">
        <v>1004</v>
      </c>
    </row>
    <row r="3273" spans="1:3" ht="15">
      <c r="A3273" s="81" t="s">
        <v>353</v>
      </c>
      <c r="B3273" s="80" t="s">
        <v>2691</v>
      </c>
      <c r="C3273" s="89" t="s">
        <v>1004</v>
      </c>
    </row>
    <row r="3274" spans="1:3" ht="15">
      <c r="A3274" s="81" t="s">
        <v>353</v>
      </c>
      <c r="B3274" s="80" t="s">
        <v>2692</v>
      </c>
      <c r="C3274" s="89" t="s">
        <v>1004</v>
      </c>
    </row>
    <row r="3275" spans="1:3" ht="15">
      <c r="A3275" s="81" t="s">
        <v>352</v>
      </c>
      <c r="B3275" s="80" t="s">
        <v>2974</v>
      </c>
      <c r="C3275" s="89" t="s">
        <v>1003</v>
      </c>
    </row>
    <row r="3276" spans="1:3" ht="15">
      <c r="A3276" s="81" t="s">
        <v>352</v>
      </c>
      <c r="B3276" s="80" t="s">
        <v>2975</v>
      </c>
      <c r="C3276" s="89" t="s">
        <v>1003</v>
      </c>
    </row>
    <row r="3277" spans="1:3" ht="15">
      <c r="A3277" s="81" t="s">
        <v>352</v>
      </c>
      <c r="B3277" s="80" t="s">
        <v>2691</v>
      </c>
      <c r="C3277" s="89" t="s">
        <v>1003</v>
      </c>
    </row>
    <row r="3278" spans="1:3" ht="15">
      <c r="A3278" s="81" t="s">
        <v>352</v>
      </c>
      <c r="B3278" s="80" t="s">
        <v>2692</v>
      </c>
      <c r="C3278" s="89" t="s">
        <v>1003</v>
      </c>
    </row>
    <row r="3279" spans="1:3" ht="15">
      <c r="A3279" s="81" t="s">
        <v>352</v>
      </c>
      <c r="B3279" s="80" t="s">
        <v>2520</v>
      </c>
      <c r="C3279" s="89" t="s">
        <v>1003</v>
      </c>
    </row>
    <row r="3280" spans="1:3" ht="15">
      <c r="A3280" s="81" t="s">
        <v>352</v>
      </c>
      <c r="B3280" s="80" t="s">
        <v>2527</v>
      </c>
      <c r="C3280" s="89" t="s">
        <v>1003</v>
      </c>
    </row>
    <row r="3281" spans="1:3" ht="15">
      <c r="A3281" s="81" t="s">
        <v>352</v>
      </c>
      <c r="B3281" s="80" t="s">
        <v>2476</v>
      </c>
      <c r="C3281" s="89" t="s">
        <v>1003</v>
      </c>
    </row>
    <row r="3282" spans="1:3" ht="15">
      <c r="A3282" s="81" t="s">
        <v>352</v>
      </c>
      <c r="B3282" s="80" t="s">
        <v>2532</v>
      </c>
      <c r="C3282" s="89" t="s">
        <v>1003</v>
      </c>
    </row>
    <row r="3283" spans="1:3" ht="15">
      <c r="A3283" s="81" t="s">
        <v>352</v>
      </c>
      <c r="B3283" s="80" t="s">
        <v>2976</v>
      </c>
      <c r="C3283" s="89" t="s">
        <v>1003</v>
      </c>
    </row>
    <row r="3284" spans="1:3" ht="15">
      <c r="A3284" s="81" t="s">
        <v>352</v>
      </c>
      <c r="B3284" s="80" t="s">
        <v>2523</v>
      </c>
      <c r="C3284" s="89" t="s">
        <v>1003</v>
      </c>
    </row>
    <row r="3285" spans="1:3" ht="15">
      <c r="A3285" s="81" t="s">
        <v>352</v>
      </c>
      <c r="B3285" s="80" t="s">
        <v>2528</v>
      </c>
      <c r="C3285" s="89" t="s">
        <v>1003</v>
      </c>
    </row>
    <row r="3286" spans="1:3" ht="15">
      <c r="A3286" s="81" t="s">
        <v>352</v>
      </c>
      <c r="B3286" s="80" t="s">
        <v>2977</v>
      </c>
      <c r="C3286" s="89" t="s">
        <v>1003</v>
      </c>
    </row>
    <row r="3287" spans="1:3" ht="15">
      <c r="A3287" s="81" t="s">
        <v>352</v>
      </c>
      <c r="B3287" s="80" t="s">
        <v>2710</v>
      </c>
      <c r="C3287" s="89" t="s">
        <v>1003</v>
      </c>
    </row>
    <row r="3288" spans="1:3" ht="15">
      <c r="A3288" s="81" t="s">
        <v>352</v>
      </c>
      <c r="B3288" s="80" t="s">
        <v>2978</v>
      </c>
      <c r="C3288" s="89" t="s">
        <v>1003</v>
      </c>
    </row>
    <row r="3289" spans="1:3" ht="15">
      <c r="A3289" s="81" t="s">
        <v>352</v>
      </c>
      <c r="B3289" s="80" t="s">
        <v>2529</v>
      </c>
      <c r="C3289" s="89" t="s">
        <v>1003</v>
      </c>
    </row>
    <row r="3290" spans="1:3" ht="15">
      <c r="A3290" s="81" t="s">
        <v>352</v>
      </c>
      <c r="B3290" s="80" t="s">
        <v>2530</v>
      </c>
      <c r="C3290" s="89" t="s">
        <v>1003</v>
      </c>
    </row>
    <row r="3291" spans="1:3" ht="15">
      <c r="A3291" s="81" t="s">
        <v>350</v>
      </c>
      <c r="B3291" s="80" t="s">
        <v>2700</v>
      </c>
      <c r="C3291" s="89" t="s">
        <v>1001</v>
      </c>
    </row>
    <row r="3292" spans="1:3" ht="15">
      <c r="A3292" s="81" t="s">
        <v>350</v>
      </c>
      <c r="B3292" s="80" t="s">
        <v>2480</v>
      </c>
      <c r="C3292" s="89" t="s">
        <v>1001</v>
      </c>
    </row>
    <row r="3293" spans="1:3" ht="15">
      <c r="A3293" s="81" t="s">
        <v>350</v>
      </c>
      <c r="B3293" s="80" t="s">
        <v>2481</v>
      </c>
      <c r="C3293" s="89" t="s">
        <v>1001</v>
      </c>
    </row>
    <row r="3294" spans="1:3" ht="15">
      <c r="A3294" s="81" t="s">
        <v>350</v>
      </c>
      <c r="B3294" s="80" t="s">
        <v>2701</v>
      </c>
      <c r="C3294" s="89" t="s">
        <v>1001</v>
      </c>
    </row>
    <row r="3295" spans="1:3" ht="15">
      <c r="A3295" s="81" t="s">
        <v>350</v>
      </c>
      <c r="B3295" s="80" t="s">
        <v>2702</v>
      </c>
      <c r="C3295" s="89" t="s">
        <v>1001</v>
      </c>
    </row>
    <row r="3296" spans="1:3" ht="15">
      <c r="A3296" s="81" t="s">
        <v>350</v>
      </c>
      <c r="B3296" s="80" t="s">
        <v>2483</v>
      </c>
      <c r="C3296" s="89" t="s">
        <v>1001</v>
      </c>
    </row>
    <row r="3297" spans="1:3" ht="15">
      <c r="A3297" s="81" t="s">
        <v>350</v>
      </c>
      <c r="B3297" s="80" t="s">
        <v>2484</v>
      </c>
      <c r="C3297" s="89" t="s">
        <v>1001</v>
      </c>
    </row>
    <row r="3298" spans="1:3" ht="15">
      <c r="A3298" s="81" t="s">
        <v>350</v>
      </c>
      <c r="B3298" s="80" t="s">
        <v>2703</v>
      </c>
      <c r="C3298" s="89" t="s">
        <v>1001</v>
      </c>
    </row>
    <row r="3299" spans="1:3" ht="15">
      <c r="A3299" s="81" t="s">
        <v>350</v>
      </c>
      <c r="B3299" s="80" t="s">
        <v>2485</v>
      </c>
      <c r="C3299" s="89" t="s">
        <v>1001</v>
      </c>
    </row>
    <row r="3300" spans="1:3" ht="15">
      <c r="A3300" s="81" t="s">
        <v>350</v>
      </c>
      <c r="B3300" s="80" t="s">
        <v>2693</v>
      </c>
      <c r="C3300" s="89" t="s">
        <v>1001</v>
      </c>
    </row>
    <row r="3301" spans="1:3" ht="15">
      <c r="A3301" s="81" t="s">
        <v>350</v>
      </c>
      <c r="B3301" s="80" t="s">
        <v>2486</v>
      </c>
      <c r="C3301" s="89" t="s">
        <v>1001</v>
      </c>
    </row>
    <row r="3302" spans="1:3" ht="15">
      <c r="A3302" s="81" t="s">
        <v>350</v>
      </c>
      <c r="B3302" s="80" t="s">
        <v>2704</v>
      </c>
      <c r="C3302" s="89" t="s">
        <v>1001</v>
      </c>
    </row>
    <row r="3303" spans="1:3" ht="15">
      <c r="A3303" s="81" t="s">
        <v>350</v>
      </c>
      <c r="B3303" s="80" t="s">
        <v>2691</v>
      </c>
      <c r="C3303" s="89" t="s">
        <v>1001</v>
      </c>
    </row>
    <row r="3304" spans="1:3" ht="15">
      <c r="A3304" s="81" t="s">
        <v>350</v>
      </c>
      <c r="B3304" s="80" t="s">
        <v>2692</v>
      </c>
      <c r="C3304" s="89" t="s">
        <v>1001</v>
      </c>
    </row>
    <row r="3305" spans="1:3" ht="15">
      <c r="A3305" s="81" t="s">
        <v>350</v>
      </c>
      <c r="B3305" s="80" t="s">
        <v>2477</v>
      </c>
      <c r="C3305" s="89" t="s">
        <v>1001</v>
      </c>
    </row>
    <row r="3306" spans="1:3" ht="15">
      <c r="A3306" s="81" t="s">
        <v>350</v>
      </c>
      <c r="B3306" s="80" t="s">
        <v>2705</v>
      </c>
      <c r="C3306" s="89" t="s">
        <v>1001</v>
      </c>
    </row>
    <row r="3307" spans="1:3" ht="15">
      <c r="A3307" s="81" t="s">
        <v>350</v>
      </c>
      <c r="B3307" s="80" t="s">
        <v>2706</v>
      </c>
      <c r="C3307" s="89" t="s">
        <v>1001</v>
      </c>
    </row>
    <row r="3308" spans="1:3" ht="15">
      <c r="A3308" s="81" t="s">
        <v>350</v>
      </c>
      <c r="B3308" s="80" t="s">
        <v>2707</v>
      </c>
      <c r="C3308" s="89" t="s">
        <v>1001</v>
      </c>
    </row>
    <row r="3309" spans="1:3" ht="15">
      <c r="A3309" s="81" t="s">
        <v>350</v>
      </c>
      <c r="B3309" s="80" t="s">
        <v>2708</v>
      </c>
      <c r="C3309" s="89" t="s">
        <v>1001</v>
      </c>
    </row>
    <row r="3310" spans="1:3" ht="15">
      <c r="A3310" s="81" t="s">
        <v>350</v>
      </c>
      <c r="B3310" s="80" t="s">
        <v>2488</v>
      </c>
      <c r="C3310" s="89" t="s">
        <v>1001</v>
      </c>
    </row>
    <row r="3311" spans="1:3" ht="15">
      <c r="A3311" s="81" t="s">
        <v>350</v>
      </c>
      <c r="B3311" s="80" t="s">
        <v>2709</v>
      </c>
      <c r="C3311" s="89" t="s">
        <v>1001</v>
      </c>
    </row>
    <row r="3312" spans="1:3" ht="15">
      <c r="A3312" s="81" t="s">
        <v>350</v>
      </c>
      <c r="B3312" s="80" t="s">
        <v>2710</v>
      </c>
      <c r="C3312" s="89" t="s">
        <v>1001</v>
      </c>
    </row>
    <row r="3313" spans="1:3" ht="15">
      <c r="A3313" s="81" t="s">
        <v>350</v>
      </c>
      <c r="B3313" s="80" t="s">
        <v>2478</v>
      </c>
      <c r="C3313" s="89" t="s">
        <v>1001</v>
      </c>
    </row>
    <row r="3314" spans="1:3" ht="15">
      <c r="A3314" s="81" t="s">
        <v>350</v>
      </c>
      <c r="B3314" s="80" t="s">
        <v>2476</v>
      </c>
      <c r="C3314" s="89" t="s">
        <v>1001</v>
      </c>
    </row>
    <row r="3315" spans="1:3" ht="15">
      <c r="A3315" s="81" t="s">
        <v>350</v>
      </c>
      <c r="B3315" s="80" t="s">
        <v>2711</v>
      </c>
      <c r="C3315" s="89" t="s">
        <v>1001</v>
      </c>
    </row>
    <row r="3316" spans="1:3" ht="15">
      <c r="A3316" s="81" t="s">
        <v>350</v>
      </c>
      <c r="B3316" s="80" t="s">
        <v>65</v>
      </c>
      <c r="C3316" s="89" t="s">
        <v>1001</v>
      </c>
    </row>
    <row r="3317" spans="1:3" ht="15">
      <c r="A3317" s="81" t="s">
        <v>350</v>
      </c>
      <c r="B3317" s="80" t="s">
        <v>2491</v>
      </c>
      <c r="C3317" s="89" t="s">
        <v>1001</v>
      </c>
    </row>
    <row r="3318" spans="1:3" ht="15">
      <c r="A3318" s="81" t="s">
        <v>349</v>
      </c>
      <c r="B3318" s="80" t="s">
        <v>2979</v>
      </c>
      <c r="C3318" s="89" t="s">
        <v>1000</v>
      </c>
    </row>
    <row r="3319" spans="1:3" ht="15">
      <c r="A3319" s="81" t="s">
        <v>349</v>
      </c>
      <c r="B3319" s="80" t="s">
        <v>2980</v>
      </c>
      <c r="C3319" s="89" t="s">
        <v>1000</v>
      </c>
    </row>
    <row r="3320" spans="1:3" ht="15">
      <c r="A3320" s="81" t="s">
        <v>349</v>
      </c>
      <c r="B3320" s="80" t="s">
        <v>2743</v>
      </c>
      <c r="C3320" s="89" t="s">
        <v>1000</v>
      </c>
    </row>
    <row r="3321" spans="1:3" ht="15">
      <c r="A3321" s="81" t="s">
        <v>349</v>
      </c>
      <c r="B3321" s="80" t="s">
        <v>2691</v>
      </c>
      <c r="C3321" s="89" t="s">
        <v>1000</v>
      </c>
    </row>
    <row r="3322" spans="1:3" ht="15">
      <c r="A3322" s="81" t="s">
        <v>349</v>
      </c>
      <c r="B3322" s="80" t="s">
        <v>2692</v>
      </c>
      <c r="C3322" s="89" t="s">
        <v>1000</v>
      </c>
    </row>
    <row r="3323" spans="1:3" ht="15">
      <c r="A3323" s="81" t="s">
        <v>349</v>
      </c>
      <c r="B3323" s="80" t="s">
        <v>2981</v>
      </c>
      <c r="C3323" s="89" t="s">
        <v>1000</v>
      </c>
    </row>
    <row r="3324" spans="1:3" ht="15">
      <c r="A3324" s="81" t="s">
        <v>348</v>
      </c>
      <c r="B3324" s="80" t="s">
        <v>2700</v>
      </c>
      <c r="C3324" s="89" t="s">
        <v>999</v>
      </c>
    </row>
    <row r="3325" spans="1:3" ht="15">
      <c r="A3325" s="81" t="s">
        <v>348</v>
      </c>
      <c r="B3325" s="80" t="s">
        <v>2480</v>
      </c>
      <c r="C3325" s="89" t="s">
        <v>999</v>
      </c>
    </row>
    <row r="3326" spans="1:3" ht="15">
      <c r="A3326" s="81" t="s">
        <v>348</v>
      </c>
      <c r="B3326" s="80" t="s">
        <v>2481</v>
      </c>
      <c r="C3326" s="89" t="s">
        <v>999</v>
      </c>
    </row>
    <row r="3327" spans="1:3" ht="15">
      <c r="A3327" s="81" t="s">
        <v>348</v>
      </c>
      <c r="B3327" s="80" t="s">
        <v>2701</v>
      </c>
      <c r="C3327" s="89" t="s">
        <v>999</v>
      </c>
    </row>
    <row r="3328" spans="1:3" ht="15">
      <c r="A3328" s="81" t="s">
        <v>348</v>
      </c>
      <c r="B3328" s="80" t="s">
        <v>2702</v>
      </c>
      <c r="C3328" s="89" t="s">
        <v>999</v>
      </c>
    </row>
    <row r="3329" spans="1:3" ht="15">
      <c r="A3329" s="81" t="s">
        <v>348</v>
      </c>
      <c r="B3329" s="80" t="s">
        <v>2483</v>
      </c>
      <c r="C3329" s="89" t="s">
        <v>999</v>
      </c>
    </row>
    <row r="3330" spans="1:3" ht="15">
      <c r="A3330" s="81" t="s">
        <v>348</v>
      </c>
      <c r="B3330" s="80" t="s">
        <v>2484</v>
      </c>
      <c r="C3330" s="89" t="s">
        <v>999</v>
      </c>
    </row>
    <row r="3331" spans="1:3" ht="15">
      <c r="A3331" s="81" t="s">
        <v>348</v>
      </c>
      <c r="B3331" s="80" t="s">
        <v>2703</v>
      </c>
      <c r="C3331" s="89" t="s">
        <v>999</v>
      </c>
    </row>
    <row r="3332" spans="1:3" ht="15">
      <c r="A3332" s="81" t="s">
        <v>348</v>
      </c>
      <c r="B3332" s="80" t="s">
        <v>2485</v>
      </c>
      <c r="C3332" s="89" t="s">
        <v>999</v>
      </c>
    </row>
    <row r="3333" spans="1:3" ht="15">
      <c r="A3333" s="81" t="s">
        <v>348</v>
      </c>
      <c r="B3333" s="80" t="s">
        <v>2693</v>
      </c>
      <c r="C3333" s="89" t="s">
        <v>999</v>
      </c>
    </row>
    <row r="3334" spans="1:3" ht="15">
      <c r="A3334" s="81" t="s">
        <v>348</v>
      </c>
      <c r="B3334" s="80" t="s">
        <v>2486</v>
      </c>
      <c r="C3334" s="89" t="s">
        <v>999</v>
      </c>
    </row>
    <row r="3335" spans="1:3" ht="15">
      <c r="A3335" s="81" t="s">
        <v>348</v>
      </c>
      <c r="B3335" s="80" t="s">
        <v>2704</v>
      </c>
      <c r="C3335" s="89" t="s">
        <v>999</v>
      </c>
    </row>
    <row r="3336" spans="1:3" ht="15">
      <c r="A3336" s="81" t="s">
        <v>348</v>
      </c>
      <c r="B3336" s="80" t="s">
        <v>2691</v>
      </c>
      <c r="C3336" s="89" t="s">
        <v>999</v>
      </c>
    </row>
    <row r="3337" spans="1:3" ht="15">
      <c r="A3337" s="81" t="s">
        <v>348</v>
      </c>
      <c r="B3337" s="80" t="s">
        <v>2692</v>
      </c>
      <c r="C3337" s="89" t="s">
        <v>999</v>
      </c>
    </row>
    <row r="3338" spans="1:3" ht="15">
      <c r="A3338" s="81" t="s">
        <v>348</v>
      </c>
      <c r="B3338" s="80" t="s">
        <v>2477</v>
      </c>
      <c r="C3338" s="89" t="s">
        <v>999</v>
      </c>
    </row>
    <row r="3339" spans="1:3" ht="15">
      <c r="A3339" s="81" t="s">
        <v>348</v>
      </c>
      <c r="B3339" s="80" t="s">
        <v>2705</v>
      </c>
      <c r="C3339" s="89" t="s">
        <v>999</v>
      </c>
    </row>
    <row r="3340" spans="1:3" ht="15">
      <c r="A3340" s="81" t="s">
        <v>348</v>
      </c>
      <c r="B3340" s="80" t="s">
        <v>2706</v>
      </c>
      <c r="C3340" s="89" t="s">
        <v>999</v>
      </c>
    </row>
    <row r="3341" spans="1:3" ht="15">
      <c r="A3341" s="81" t="s">
        <v>348</v>
      </c>
      <c r="B3341" s="80" t="s">
        <v>2707</v>
      </c>
      <c r="C3341" s="89" t="s">
        <v>999</v>
      </c>
    </row>
    <row r="3342" spans="1:3" ht="15">
      <c r="A3342" s="81" t="s">
        <v>348</v>
      </c>
      <c r="B3342" s="80" t="s">
        <v>2708</v>
      </c>
      <c r="C3342" s="89" t="s">
        <v>999</v>
      </c>
    </row>
    <row r="3343" spans="1:3" ht="15">
      <c r="A3343" s="81" t="s">
        <v>348</v>
      </c>
      <c r="B3343" s="80" t="s">
        <v>2488</v>
      </c>
      <c r="C3343" s="89" t="s">
        <v>999</v>
      </c>
    </row>
    <row r="3344" spans="1:3" ht="15">
      <c r="A3344" s="81" t="s">
        <v>348</v>
      </c>
      <c r="B3344" s="80" t="s">
        <v>2709</v>
      </c>
      <c r="C3344" s="89" t="s">
        <v>999</v>
      </c>
    </row>
    <row r="3345" spans="1:3" ht="15">
      <c r="A3345" s="81" t="s">
        <v>348</v>
      </c>
      <c r="B3345" s="80" t="s">
        <v>2710</v>
      </c>
      <c r="C3345" s="89" t="s">
        <v>999</v>
      </c>
    </row>
    <row r="3346" spans="1:3" ht="15">
      <c r="A3346" s="81" t="s">
        <v>348</v>
      </c>
      <c r="B3346" s="80" t="s">
        <v>2478</v>
      </c>
      <c r="C3346" s="89" t="s">
        <v>999</v>
      </c>
    </row>
    <row r="3347" spans="1:3" ht="15">
      <c r="A3347" s="81" t="s">
        <v>348</v>
      </c>
      <c r="B3347" s="80" t="s">
        <v>2476</v>
      </c>
      <c r="C3347" s="89" t="s">
        <v>999</v>
      </c>
    </row>
    <row r="3348" spans="1:3" ht="15">
      <c r="A3348" s="81" t="s">
        <v>348</v>
      </c>
      <c r="B3348" s="80" t="s">
        <v>2711</v>
      </c>
      <c r="C3348" s="89" t="s">
        <v>999</v>
      </c>
    </row>
    <row r="3349" spans="1:3" ht="15">
      <c r="A3349" s="81" t="s">
        <v>348</v>
      </c>
      <c r="B3349" s="80" t="s">
        <v>65</v>
      </c>
      <c r="C3349" s="89" t="s">
        <v>999</v>
      </c>
    </row>
    <row r="3350" spans="1:3" ht="15">
      <c r="A3350" s="81" t="s">
        <v>348</v>
      </c>
      <c r="B3350" s="80" t="s">
        <v>2491</v>
      </c>
      <c r="C3350" s="89" t="s">
        <v>999</v>
      </c>
    </row>
    <row r="3351" spans="1:3" ht="15">
      <c r="A3351" s="81" t="s">
        <v>347</v>
      </c>
      <c r="B3351" s="80" t="s">
        <v>2700</v>
      </c>
      <c r="C3351" s="89" t="s">
        <v>998</v>
      </c>
    </row>
    <row r="3352" spans="1:3" ht="15">
      <c r="A3352" s="81" t="s">
        <v>347</v>
      </c>
      <c r="B3352" s="80" t="s">
        <v>2480</v>
      </c>
      <c r="C3352" s="89" t="s">
        <v>998</v>
      </c>
    </row>
    <row r="3353" spans="1:3" ht="15">
      <c r="A3353" s="81" t="s">
        <v>347</v>
      </c>
      <c r="B3353" s="80" t="s">
        <v>2481</v>
      </c>
      <c r="C3353" s="89" t="s">
        <v>998</v>
      </c>
    </row>
    <row r="3354" spans="1:3" ht="15">
      <c r="A3354" s="81" t="s">
        <v>347</v>
      </c>
      <c r="B3354" s="80" t="s">
        <v>2701</v>
      </c>
      <c r="C3354" s="89" t="s">
        <v>998</v>
      </c>
    </row>
    <row r="3355" spans="1:3" ht="15">
      <c r="A3355" s="81" t="s">
        <v>347</v>
      </c>
      <c r="B3355" s="80" t="s">
        <v>2702</v>
      </c>
      <c r="C3355" s="89" t="s">
        <v>998</v>
      </c>
    </row>
    <row r="3356" spans="1:3" ht="15">
      <c r="A3356" s="81" t="s">
        <v>347</v>
      </c>
      <c r="B3356" s="80" t="s">
        <v>2483</v>
      </c>
      <c r="C3356" s="89" t="s">
        <v>998</v>
      </c>
    </row>
    <row r="3357" spans="1:3" ht="15">
      <c r="A3357" s="81" t="s">
        <v>347</v>
      </c>
      <c r="B3357" s="80" t="s">
        <v>2484</v>
      </c>
      <c r="C3357" s="89" t="s">
        <v>998</v>
      </c>
    </row>
    <row r="3358" spans="1:3" ht="15">
      <c r="A3358" s="81" t="s">
        <v>347</v>
      </c>
      <c r="B3358" s="80" t="s">
        <v>2703</v>
      </c>
      <c r="C3358" s="89" t="s">
        <v>998</v>
      </c>
    </row>
    <row r="3359" spans="1:3" ht="15">
      <c r="A3359" s="81" t="s">
        <v>347</v>
      </c>
      <c r="B3359" s="80" t="s">
        <v>2485</v>
      </c>
      <c r="C3359" s="89" t="s">
        <v>998</v>
      </c>
    </row>
    <row r="3360" spans="1:3" ht="15">
      <c r="A3360" s="81" t="s">
        <v>347</v>
      </c>
      <c r="B3360" s="80" t="s">
        <v>2693</v>
      </c>
      <c r="C3360" s="89" t="s">
        <v>998</v>
      </c>
    </row>
    <row r="3361" spans="1:3" ht="15">
      <c r="A3361" s="81" t="s">
        <v>347</v>
      </c>
      <c r="B3361" s="80" t="s">
        <v>2486</v>
      </c>
      <c r="C3361" s="89" t="s">
        <v>998</v>
      </c>
    </row>
    <row r="3362" spans="1:3" ht="15">
      <c r="A3362" s="81" t="s">
        <v>347</v>
      </c>
      <c r="B3362" s="80" t="s">
        <v>2704</v>
      </c>
      <c r="C3362" s="89" t="s">
        <v>998</v>
      </c>
    </row>
    <row r="3363" spans="1:3" ht="15">
      <c r="A3363" s="81" t="s">
        <v>347</v>
      </c>
      <c r="B3363" s="80" t="s">
        <v>2691</v>
      </c>
      <c r="C3363" s="89" t="s">
        <v>998</v>
      </c>
    </row>
    <row r="3364" spans="1:3" ht="15">
      <c r="A3364" s="81" t="s">
        <v>347</v>
      </c>
      <c r="B3364" s="80" t="s">
        <v>2692</v>
      </c>
      <c r="C3364" s="89" t="s">
        <v>998</v>
      </c>
    </row>
    <row r="3365" spans="1:3" ht="15">
      <c r="A3365" s="81" t="s">
        <v>347</v>
      </c>
      <c r="B3365" s="80" t="s">
        <v>2477</v>
      </c>
      <c r="C3365" s="89" t="s">
        <v>998</v>
      </c>
    </row>
    <row r="3366" spans="1:3" ht="15">
      <c r="A3366" s="81" t="s">
        <v>347</v>
      </c>
      <c r="B3366" s="80" t="s">
        <v>2705</v>
      </c>
      <c r="C3366" s="89" t="s">
        <v>998</v>
      </c>
    </row>
    <row r="3367" spans="1:3" ht="15">
      <c r="A3367" s="81" t="s">
        <v>347</v>
      </c>
      <c r="B3367" s="80" t="s">
        <v>2706</v>
      </c>
      <c r="C3367" s="89" t="s">
        <v>998</v>
      </c>
    </row>
    <row r="3368" spans="1:3" ht="15">
      <c r="A3368" s="81" t="s">
        <v>347</v>
      </c>
      <c r="B3368" s="80" t="s">
        <v>2707</v>
      </c>
      <c r="C3368" s="89" t="s">
        <v>998</v>
      </c>
    </row>
    <row r="3369" spans="1:3" ht="15">
      <c r="A3369" s="81" t="s">
        <v>347</v>
      </c>
      <c r="B3369" s="80" t="s">
        <v>2708</v>
      </c>
      <c r="C3369" s="89" t="s">
        <v>998</v>
      </c>
    </row>
    <row r="3370" spans="1:3" ht="15">
      <c r="A3370" s="81" t="s">
        <v>347</v>
      </c>
      <c r="B3370" s="80" t="s">
        <v>2488</v>
      </c>
      <c r="C3370" s="89" t="s">
        <v>998</v>
      </c>
    </row>
    <row r="3371" spans="1:3" ht="15">
      <c r="A3371" s="81" t="s">
        <v>347</v>
      </c>
      <c r="B3371" s="80" t="s">
        <v>2709</v>
      </c>
      <c r="C3371" s="89" t="s">
        <v>998</v>
      </c>
    </row>
    <row r="3372" spans="1:3" ht="15">
      <c r="A3372" s="81" t="s">
        <v>347</v>
      </c>
      <c r="B3372" s="80" t="s">
        <v>2710</v>
      </c>
      <c r="C3372" s="89" t="s">
        <v>998</v>
      </c>
    </row>
    <row r="3373" spans="1:3" ht="15">
      <c r="A3373" s="81" t="s">
        <v>347</v>
      </c>
      <c r="B3373" s="80" t="s">
        <v>2478</v>
      </c>
      <c r="C3373" s="89" t="s">
        <v>998</v>
      </c>
    </row>
    <row r="3374" spans="1:3" ht="15">
      <c r="A3374" s="81" t="s">
        <v>347</v>
      </c>
      <c r="B3374" s="80" t="s">
        <v>2476</v>
      </c>
      <c r="C3374" s="89" t="s">
        <v>998</v>
      </c>
    </row>
    <row r="3375" spans="1:3" ht="15">
      <c r="A3375" s="81" t="s">
        <v>347</v>
      </c>
      <c r="B3375" s="80" t="s">
        <v>2711</v>
      </c>
      <c r="C3375" s="89" t="s">
        <v>998</v>
      </c>
    </row>
    <row r="3376" spans="1:3" ht="15">
      <c r="A3376" s="81" t="s">
        <v>347</v>
      </c>
      <c r="B3376" s="80" t="s">
        <v>65</v>
      </c>
      <c r="C3376" s="89" t="s">
        <v>998</v>
      </c>
    </row>
    <row r="3377" spans="1:3" ht="15">
      <c r="A3377" s="81" t="s">
        <v>347</v>
      </c>
      <c r="B3377" s="80" t="s">
        <v>2491</v>
      </c>
      <c r="C3377" s="89" t="s">
        <v>998</v>
      </c>
    </row>
    <row r="3378" spans="1:3" ht="15">
      <c r="A3378" s="81" t="s">
        <v>346</v>
      </c>
      <c r="B3378" s="80" t="s">
        <v>495</v>
      </c>
      <c r="C3378" s="89" t="s">
        <v>997</v>
      </c>
    </row>
    <row r="3379" spans="1:3" ht="15">
      <c r="A3379" s="81" t="s">
        <v>346</v>
      </c>
      <c r="B3379" s="80" t="s">
        <v>2982</v>
      </c>
      <c r="C3379" s="89" t="s">
        <v>997</v>
      </c>
    </row>
    <row r="3380" spans="1:3" ht="15">
      <c r="A3380" s="81" t="s">
        <v>346</v>
      </c>
      <c r="B3380" s="80" t="s">
        <v>2983</v>
      </c>
      <c r="C3380" s="89" t="s">
        <v>997</v>
      </c>
    </row>
    <row r="3381" spans="1:3" ht="15">
      <c r="A3381" s="81" t="s">
        <v>346</v>
      </c>
      <c r="B3381" s="80" t="s">
        <v>2984</v>
      </c>
      <c r="C3381" s="89" t="s">
        <v>997</v>
      </c>
    </row>
    <row r="3382" spans="1:3" ht="15">
      <c r="A3382" s="81" t="s">
        <v>346</v>
      </c>
      <c r="B3382" s="80" t="s">
        <v>2985</v>
      </c>
      <c r="C3382" s="89" t="s">
        <v>997</v>
      </c>
    </row>
    <row r="3383" spans="1:3" ht="15">
      <c r="A3383" s="81" t="s">
        <v>346</v>
      </c>
      <c r="B3383" s="80" t="s">
        <v>2986</v>
      </c>
      <c r="C3383" s="89" t="s">
        <v>997</v>
      </c>
    </row>
    <row r="3384" spans="1:3" ht="15">
      <c r="A3384" s="81" t="s">
        <v>346</v>
      </c>
      <c r="B3384" s="80" t="s">
        <v>2987</v>
      </c>
      <c r="C3384" s="89" t="s">
        <v>997</v>
      </c>
    </row>
    <row r="3385" spans="1:3" ht="15">
      <c r="A3385" s="81" t="s">
        <v>346</v>
      </c>
      <c r="B3385" s="80" t="s">
        <v>2988</v>
      </c>
      <c r="C3385" s="89" t="s">
        <v>997</v>
      </c>
    </row>
    <row r="3386" spans="1:3" ht="15">
      <c r="A3386" s="81" t="s">
        <v>346</v>
      </c>
      <c r="B3386" s="80" t="s">
        <v>2989</v>
      </c>
      <c r="C3386" s="89" t="s">
        <v>997</v>
      </c>
    </row>
    <row r="3387" spans="1:3" ht="15">
      <c r="A3387" s="81" t="s">
        <v>346</v>
      </c>
      <c r="B3387" s="80" t="s">
        <v>2990</v>
      </c>
      <c r="C3387" s="89" t="s">
        <v>997</v>
      </c>
    </row>
    <row r="3388" spans="1:3" ht="15">
      <c r="A3388" s="81" t="s">
        <v>346</v>
      </c>
      <c r="B3388" s="80" t="s">
        <v>2691</v>
      </c>
      <c r="C3388" s="89" t="s">
        <v>997</v>
      </c>
    </row>
    <row r="3389" spans="1:3" ht="15">
      <c r="A3389" s="81" t="s">
        <v>346</v>
      </c>
      <c r="B3389" s="80" t="s">
        <v>2692</v>
      </c>
      <c r="C3389" s="89" t="s">
        <v>997</v>
      </c>
    </row>
    <row r="3390" spans="1:3" ht="15">
      <c r="A3390" s="81" t="s">
        <v>345</v>
      </c>
      <c r="B3390" s="80" t="s">
        <v>2700</v>
      </c>
      <c r="C3390" s="89" t="s">
        <v>996</v>
      </c>
    </row>
    <row r="3391" spans="1:3" ht="15">
      <c r="A3391" s="81" t="s">
        <v>345</v>
      </c>
      <c r="B3391" s="80" t="s">
        <v>2480</v>
      </c>
      <c r="C3391" s="89" t="s">
        <v>996</v>
      </c>
    </row>
    <row r="3392" spans="1:3" ht="15">
      <c r="A3392" s="81" t="s">
        <v>345</v>
      </c>
      <c r="B3392" s="80" t="s">
        <v>2481</v>
      </c>
      <c r="C3392" s="89" t="s">
        <v>996</v>
      </c>
    </row>
    <row r="3393" spans="1:3" ht="15">
      <c r="A3393" s="81" t="s">
        <v>345</v>
      </c>
      <c r="B3393" s="80" t="s">
        <v>2701</v>
      </c>
      <c r="C3393" s="89" t="s">
        <v>996</v>
      </c>
    </row>
    <row r="3394" spans="1:3" ht="15">
      <c r="A3394" s="81" t="s">
        <v>345</v>
      </c>
      <c r="B3394" s="80" t="s">
        <v>2702</v>
      </c>
      <c r="C3394" s="89" t="s">
        <v>996</v>
      </c>
    </row>
    <row r="3395" spans="1:3" ht="15">
      <c r="A3395" s="81" t="s">
        <v>345</v>
      </c>
      <c r="B3395" s="80" t="s">
        <v>2483</v>
      </c>
      <c r="C3395" s="89" t="s">
        <v>996</v>
      </c>
    </row>
    <row r="3396" spans="1:3" ht="15">
      <c r="A3396" s="81" t="s">
        <v>345</v>
      </c>
      <c r="B3396" s="80" t="s">
        <v>2484</v>
      </c>
      <c r="C3396" s="89" t="s">
        <v>996</v>
      </c>
    </row>
    <row r="3397" spans="1:3" ht="15">
      <c r="A3397" s="81" t="s">
        <v>345</v>
      </c>
      <c r="B3397" s="80" t="s">
        <v>2703</v>
      </c>
      <c r="C3397" s="89" t="s">
        <v>996</v>
      </c>
    </row>
    <row r="3398" spans="1:3" ht="15">
      <c r="A3398" s="81" t="s">
        <v>345</v>
      </c>
      <c r="B3398" s="80" t="s">
        <v>2485</v>
      </c>
      <c r="C3398" s="89" t="s">
        <v>996</v>
      </c>
    </row>
    <row r="3399" spans="1:3" ht="15">
      <c r="A3399" s="81" t="s">
        <v>345</v>
      </c>
      <c r="B3399" s="80" t="s">
        <v>2693</v>
      </c>
      <c r="C3399" s="89" t="s">
        <v>996</v>
      </c>
    </row>
    <row r="3400" spans="1:3" ht="15">
      <c r="A3400" s="81" t="s">
        <v>345</v>
      </c>
      <c r="B3400" s="80" t="s">
        <v>2486</v>
      </c>
      <c r="C3400" s="89" t="s">
        <v>996</v>
      </c>
    </row>
    <row r="3401" spans="1:3" ht="15">
      <c r="A3401" s="81" t="s">
        <v>345</v>
      </c>
      <c r="B3401" s="80" t="s">
        <v>2704</v>
      </c>
      <c r="C3401" s="89" t="s">
        <v>996</v>
      </c>
    </row>
    <row r="3402" spans="1:3" ht="15">
      <c r="A3402" s="81" t="s">
        <v>345</v>
      </c>
      <c r="B3402" s="80" t="s">
        <v>2691</v>
      </c>
      <c r="C3402" s="89" t="s">
        <v>996</v>
      </c>
    </row>
    <row r="3403" spans="1:3" ht="15">
      <c r="A3403" s="81" t="s">
        <v>345</v>
      </c>
      <c r="B3403" s="80" t="s">
        <v>2692</v>
      </c>
      <c r="C3403" s="89" t="s">
        <v>996</v>
      </c>
    </row>
    <row r="3404" spans="1:3" ht="15">
      <c r="A3404" s="81" t="s">
        <v>345</v>
      </c>
      <c r="B3404" s="80" t="s">
        <v>2477</v>
      </c>
      <c r="C3404" s="89" t="s">
        <v>996</v>
      </c>
    </row>
    <row r="3405" spans="1:3" ht="15">
      <c r="A3405" s="81" t="s">
        <v>345</v>
      </c>
      <c r="B3405" s="80" t="s">
        <v>2705</v>
      </c>
      <c r="C3405" s="89" t="s">
        <v>996</v>
      </c>
    </row>
    <row r="3406" spans="1:3" ht="15">
      <c r="A3406" s="81" t="s">
        <v>345</v>
      </c>
      <c r="B3406" s="80" t="s">
        <v>2706</v>
      </c>
      <c r="C3406" s="89" t="s">
        <v>996</v>
      </c>
    </row>
    <row r="3407" spans="1:3" ht="15">
      <c r="A3407" s="81" t="s">
        <v>345</v>
      </c>
      <c r="B3407" s="80" t="s">
        <v>2707</v>
      </c>
      <c r="C3407" s="89" t="s">
        <v>996</v>
      </c>
    </row>
    <row r="3408" spans="1:3" ht="15">
      <c r="A3408" s="81" t="s">
        <v>345</v>
      </c>
      <c r="B3408" s="80" t="s">
        <v>2708</v>
      </c>
      <c r="C3408" s="89" t="s">
        <v>996</v>
      </c>
    </row>
    <row r="3409" spans="1:3" ht="15">
      <c r="A3409" s="81" t="s">
        <v>345</v>
      </c>
      <c r="B3409" s="80" t="s">
        <v>2488</v>
      </c>
      <c r="C3409" s="89" t="s">
        <v>996</v>
      </c>
    </row>
    <row r="3410" spans="1:3" ht="15">
      <c r="A3410" s="81" t="s">
        <v>345</v>
      </c>
      <c r="B3410" s="80" t="s">
        <v>2709</v>
      </c>
      <c r="C3410" s="89" t="s">
        <v>996</v>
      </c>
    </row>
    <row r="3411" spans="1:3" ht="15">
      <c r="A3411" s="81" t="s">
        <v>345</v>
      </c>
      <c r="B3411" s="80" t="s">
        <v>2710</v>
      </c>
      <c r="C3411" s="89" t="s">
        <v>996</v>
      </c>
    </row>
    <row r="3412" spans="1:3" ht="15">
      <c r="A3412" s="81" t="s">
        <v>345</v>
      </c>
      <c r="B3412" s="80" t="s">
        <v>2478</v>
      </c>
      <c r="C3412" s="89" t="s">
        <v>996</v>
      </c>
    </row>
    <row r="3413" spans="1:3" ht="15">
      <c r="A3413" s="81" t="s">
        <v>345</v>
      </c>
      <c r="B3413" s="80" t="s">
        <v>2476</v>
      </c>
      <c r="C3413" s="89" t="s">
        <v>996</v>
      </c>
    </row>
    <row r="3414" spans="1:3" ht="15">
      <c r="A3414" s="81" t="s">
        <v>345</v>
      </c>
      <c r="B3414" s="80" t="s">
        <v>2711</v>
      </c>
      <c r="C3414" s="89" t="s">
        <v>996</v>
      </c>
    </row>
    <row r="3415" spans="1:3" ht="15">
      <c r="A3415" s="81" t="s">
        <v>345</v>
      </c>
      <c r="B3415" s="80" t="s">
        <v>65</v>
      </c>
      <c r="C3415" s="89" t="s">
        <v>996</v>
      </c>
    </row>
    <row r="3416" spans="1:3" ht="15">
      <c r="A3416" s="81" t="s">
        <v>345</v>
      </c>
      <c r="B3416" s="80" t="s">
        <v>2491</v>
      </c>
      <c r="C3416" s="89" t="s">
        <v>996</v>
      </c>
    </row>
    <row r="3417" spans="1:3" ht="15">
      <c r="A3417" s="81" t="s">
        <v>344</v>
      </c>
      <c r="B3417" s="80" t="s">
        <v>2700</v>
      </c>
      <c r="C3417" s="89" t="s">
        <v>995</v>
      </c>
    </row>
    <row r="3418" spans="1:3" ht="15">
      <c r="A3418" s="81" t="s">
        <v>344</v>
      </c>
      <c r="B3418" s="80" t="s">
        <v>2480</v>
      </c>
      <c r="C3418" s="89" t="s">
        <v>995</v>
      </c>
    </row>
    <row r="3419" spans="1:3" ht="15">
      <c r="A3419" s="81" t="s">
        <v>344</v>
      </c>
      <c r="B3419" s="80" t="s">
        <v>2481</v>
      </c>
      <c r="C3419" s="89" t="s">
        <v>995</v>
      </c>
    </row>
    <row r="3420" spans="1:3" ht="15">
      <c r="A3420" s="81" t="s">
        <v>344</v>
      </c>
      <c r="B3420" s="80" t="s">
        <v>2701</v>
      </c>
      <c r="C3420" s="89" t="s">
        <v>995</v>
      </c>
    </row>
    <row r="3421" spans="1:3" ht="15">
      <c r="A3421" s="81" t="s">
        <v>344</v>
      </c>
      <c r="B3421" s="80" t="s">
        <v>2702</v>
      </c>
      <c r="C3421" s="89" t="s">
        <v>995</v>
      </c>
    </row>
    <row r="3422" spans="1:3" ht="15">
      <c r="A3422" s="81" t="s">
        <v>344</v>
      </c>
      <c r="B3422" s="80" t="s">
        <v>2483</v>
      </c>
      <c r="C3422" s="89" t="s">
        <v>995</v>
      </c>
    </row>
    <row r="3423" spans="1:3" ht="15">
      <c r="A3423" s="81" t="s">
        <v>344</v>
      </c>
      <c r="B3423" s="80" t="s">
        <v>2484</v>
      </c>
      <c r="C3423" s="89" t="s">
        <v>995</v>
      </c>
    </row>
    <row r="3424" spans="1:3" ht="15">
      <c r="A3424" s="81" t="s">
        <v>344</v>
      </c>
      <c r="B3424" s="80" t="s">
        <v>2703</v>
      </c>
      <c r="C3424" s="89" t="s">
        <v>995</v>
      </c>
    </row>
    <row r="3425" spans="1:3" ht="15">
      <c r="A3425" s="81" t="s">
        <v>344</v>
      </c>
      <c r="B3425" s="80" t="s">
        <v>2485</v>
      </c>
      <c r="C3425" s="89" t="s">
        <v>995</v>
      </c>
    </row>
    <row r="3426" spans="1:3" ht="15">
      <c r="A3426" s="81" t="s">
        <v>344</v>
      </c>
      <c r="B3426" s="80" t="s">
        <v>2693</v>
      </c>
      <c r="C3426" s="89" t="s">
        <v>995</v>
      </c>
    </row>
    <row r="3427" spans="1:3" ht="15">
      <c r="A3427" s="81" t="s">
        <v>344</v>
      </c>
      <c r="B3427" s="80" t="s">
        <v>2486</v>
      </c>
      <c r="C3427" s="89" t="s">
        <v>995</v>
      </c>
    </row>
    <row r="3428" spans="1:3" ht="15">
      <c r="A3428" s="81" t="s">
        <v>344</v>
      </c>
      <c r="B3428" s="80" t="s">
        <v>2704</v>
      </c>
      <c r="C3428" s="89" t="s">
        <v>995</v>
      </c>
    </row>
    <row r="3429" spans="1:3" ht="15">
      <c r="A3429" s="81" t="s">
        <v>344</v>
      </c>
      <c r="B3429" s="80" t="s">
        <v>2691</v>
      </c>
      <c r="C3429" s="89" t="s">
        <v>995</v>
      </c>
    </row>
    <row r="3430" spans="1:3" ht="15">
      <c r="A3430" s="81" t="s">
        <v>344</v>
      </c>
      <c r="B3430" s="80" t="s">
        <v>2692</v>
      </c>
      <c r="C3430" s="89" t="s">
        <v>995</v>
      </c>
    </row>
    <row r="3431" spans="1:3" ht="15">
      <c r="A3431" s="81" t="s">
        <v>344</v>
      </c>
      <c r="B3431" s="80" t="s">
        <v>2477</v>
      </c>
      <c r="C3431" s="89" t="s">
        <v>995</v>
      </c>
    </row>
    <row r="3432" spans="1:3" ht="15">
      <c r="A3432" s="81" t="s">
        <v>344</v>
      </c>
      <c r="B3432" s="80" t="s">
        <v>2705</v>
      </c>
      <c r="C3432" s="89" t="s">
        <v>995</v>
      </c>
    </row>
    <row r="3433" spans="1:3" ht="15">
      <c r="A3433" s="81" t="s">
        <v>344</v>
      </c>
      <c r="B3433" s="80" t="s">
        <v>2706</v>
      </c>
      <c r="C3433" s="89" t="s">
        <v>995</v>
      </c>
    </row>
    <row r="3434" spans="1:3" ht="15">
      <c r="A3434" s="81" t="s">
        <v>344</v>
      </c>
      <c r="B3434" s="80" t="s">
        <v>2707</v>
      </c>
      <c r="C3434" s="89" t="s">
        <v>995</v>
      </c>
    </row>
    <row r="3435" spans="1:3" ht="15">
      <c r="A3435" s="81" t="s">
        <v>344</v>
      </c>
      <c r="B3435" s="80" t="s">
        <v>2708</v>
      </c>
      <c r="C3435" s="89" t="s">
        <v>995</v>
      </c>
    </row>
    <row r="3436" spans="1:3" ht="15">
      <c r="A3436" s="81" t="s">
        <v>344</v>
      </c>
      <c r="B3436" s="80" t="s">
        <v>2488</v>
      </c>
      <c r="C3436" s="89" t="s">
        <v>995</v>
      </c>
    </row>
    <row r="3437" spans="1:3" ht="15">
      <c r="A3437" s="81" t="s">
        <v>344</v>
      </c>
      <c r="B3437" s="80" t="s">
        <v>2709</v>
      </c>
      <c r="C3437" s="89" t="s">
        <v>995</v>
      </c>
    </row>
    <row r="3438" spans="1:3" ht="15">
      <c r="A3438" s="81" t="s">
        <v>344</v>
      </c>
      <c r="B3438" s="80" t="s">
        <v>2710</v>
      </c>
      <c r="C3438" s="89" t="s">
        <v>995</v>
      </c>
    </row>
    <row r="3439" spans="1:3" ht="15">
      <c r="A3439" s="81" t="s">
        <v>344</v>
      </c>
      <c r="B3439" s="80" t="s">
        <v>2478</v>
      </c>
      <c r="C3439" s="89" t="s">
        <v>995</v>
      </c>
    </row>
    <row r="3440" spans="1:3" ht="15">
      <c r="A3440" s="81" t="s">
        <v>344</v>
      </c>
      <c r="B3440" s="80" t="s">
        <v>2476</v>
      </c>
      <c r="C3440" s="89" t="s">
        <v>995</v>
      </c>
    </row>
    <row r="3441" spans="1:3" ht="15">
      <c r="A3441" s="81" t="s">
        <v>344</v>
      </c>
      <c r="B3441" s="80" t="s">
        <v>2711</v>
      </c>
      <c r="C3441" s="89" t="s">
        <v>995</v>
      </c>
    </row>
    <row r="3442" spans="1:3" ht="15">
      <c r="A3442" s="81" t="s">
        <v>344</v>
      </c>
      <c r="B3442" s="80" t="s">
        <v>65</v>
      </c>
      <c r="C3442" s="89" t="s">
        <v>995</v>
      </c>
    </row>
    <row r="3443" spans="1:3" ht="15">
      <c r="A3443" s="81" t="s">
        <v>344</v>
      </c>
      <c r="B3443" s="80" t="s">
        <v>2491</v>
      </c>
      <c r="C3443" s="89" t="s">
        <v>995</v>
      </c>
    </row>
    <row r="3444" spans="1:3" ht="15">
      <c r="A3444" s="81" t="s">
        <v>343</v>
      </c>
      <c r="B3444" s="80" t="s">
        <v>2700</v>
      </c>
      <c r="C3444" s="89" t="s">
        <v>994</v>
      </c>
    </row>
    <row r="3445" spans="1:3" ht="15">
      <c r="A3445" s="81" t="s">
        <v>343</v>
      </c>
      <c r="B3445" s="80" t="s">
        <v>2480</v>
      </c>
      <c r="C3445" s="89" t="s">
        <v>994</v>
      </c>
    </row>
    <row r="3446" spans="1:3" ht="15">
      <c r="A3446" s="81" t="s">
        <v>343</v>
      </c>
      <c r="B3446" s="80" t="s">
        <v>2481</v>
      </c>
      <c r="C3446" s="89" t="s">
        <v>994</v>
      </c>
    </row>
    <row r="3447" spans="1:3" ht="15">
      <c r="A3447" s="81" t="s">
        <v>343</v>
      </c>
      <c r="B3447" s="80" t="s">
        <v>2701</v>
      </c>
      <c r="C3447" s="89" t="s">
        <v>994</v>
      </c>
    </row>
    <row r="3448" spans="1:3" ht="15">
      <c r="A3448" s="81" t="s">
        <v>343</v>
      </c>
      <c r="B3448" s="80" t="s">
        <v>2702</v>
      </c>
      <c r="C3448" s="89" t="s">
        <v>994</v>
      </c>
    </row>
    <row r="3449" spans="1:3" ht="15">
      <c r="A3449" s="81" t="s">
        <v>343</v>
      </c>
      <c r="B3449" s="80" t="s">
        <v>2483</v>
      </c>
      <c r="C3449" s="89" t="s">
        <v>994</v>
      </c>
    </row>
    <row r="3450" spans="1:3" ht="15">
      <c r="A3450" s="81" t="s">
        <v>343</v>
      </c>
      <c r="B3450" s="80" t="s">
        <v>2484</v>
      </c>
      <c r="C3450" s="89" t="s">
        <v>994</v>
      </c>
    </row>
    <row r="3451" spans="1:3" ht="15">
      <c r="A3451" s="81" t="s">
        <v>343</v>
      </c>
      <c r="B3451" s="80" t="s">
        <v>2703</v>
      </c>
      <c r="C3451" s="89" t="s">
        <v>994</v>
      </c>
    </row>
    <row r="3452" spans="1:3" ht="15">
      <c r="A3452" s="81" t="s">
        <v>343</v>
      </c>
      <c r="B3452" s="80" t="s">
        <v>2485</v>
      </c>
      <c r="C3452" s="89" t="s">
        <v>994</v>
      </c>
    </row>
    <row r="3453" spans="1:3" ht="15">
      <c r="A3453" s="81" t="s">
        <v>343</v>
      </c>
      <c r="B3453" s="80" t="s">
        <v>2693</v>
      </c>
      <c r="C3453" s="89" t="s">
        <v>994</v>
      </c>
    </row>
    <row r="3454" spans="1:3" ht="15">
      <c r="A3454" s="81" t="s">
        <v>343</v>
      </c>
      <c r="B3454" s="80" t="s">
        <v>2486</v>
      </c>
      <c r="C3454" s="89" t="s">
        <v>994</v>
      </c>
    </row>
    <row r="3455" spans="1:3" ht="15">
      <c r="A3455" s="81" t="s">
        <v>343</v>
      </c>
      <c r="B3455" s="80" t="s">
        <v>2704</v>
      </c>
      <c r="C3455" s="89" t="s">
        <v>994</v>
      </c>
    </row>
    <row r="3456" spans="1:3" ht="15">
      <c r="A3456" s="81" t="s">
        <v>343</v>
      </c>
      <c r="B3456" s="80" t="s">
        <v>2691</v>
      </c>
      <c r="C3456" s="89" t="s">
        <v>994</v>
      </c>
    </row>
    <row r="3457" spans="1:3" ht="15">
      <c r="A3457" s="81" t="s">
        <v>343</v>
      </c>
      <c r="B3457" s="80" t="s">
        <v>2692</v>
      </c>
      <c r="C3457" s="89" t="s">
        <v>994</v>
      </c>
    </row>
    <row r="3458" spans="1:3" ht="15">
      <c r="A3458" s="81" t="s">
        <v>343</v>
      </c>
      <c r="B3458" s="80" t="s">
        <v>2477</v>
      </c>
      <c r="C3458" s="89" t="s">
        <v>994</v>
      </c>
    </row>
    <row r="3459" spans="1:3" ht="15">
      <c r="A3459" s="81" t="s">
        <v>343</v>
      </c>
      <c r="B3459" s="80" t="s">
        <v>2705</v>
      </c>
      <c r="C3459" s="89" t="s">
        <v>994</v>
      </c>
    </row>
    <row r="3460" spans="1:3" ht="15">
      <c r="A3460" s="81" t="s">
        <v>343</v>
      </c>
      <c r="B3460" s="80" t="s">
        <v>2706</v>
      </c>
      <c r="C3460" s="89" t="s">
        <v>994</v>
      </c>
    </row>
    <row r="3461" spans="1:3" ht="15">
      <c r="A3461" s="81" t="s">
        <v>343</v>
      </c>
      <c r="B3461" s="80" t="s">
        <v>2707</v>
      </c>
      <c r="C3461" s="89" t="s">
        <v>994</v>
      </c>
    </row>
    <row r="3462" spans="1:3" ht="15">
      <c r="A3462" s="81" t="s">
        <v>343</v>
      </c>
      <c r="B3462" s="80" t="s">
        <v>2708</v>
      </c>
      <c r="C3462" s="89" t="s">
        <v>994</v>
      </c>
    </row>
    <row r="3463" spans="1:3" ht="15">
      <c r="A3463" s="81" t="s">
        <v>343</v>
      </c>
      <c r="B3463" s="80" t="s">
        <v>2488</v>
      </c>
      <c r="C3463" s="89" t="s">
        <v>994</v>
      </c>
    </row>
    <row r="3464" spans="1:3" ht="15">
      <c r="A3464" s="81" t="s">
        <v>343</v>
      </c>
      <c r="B3464" s="80" t="s">
        <v>2709</v>
      </c>
      <c r="C3464" s="89" t="s">
        <v>994</v>
      </c>
    </row>
    <row r="3465" spans="1:3" ht="15">
      <c r="A3465" s="81" t="s">
        <v>343</v>
      </c>
      <c r="B3465" s="80" t="s">
        <v>2710</v>
      </c>
      <c r="C3465" s="89" t="s">
        <v>994</v>
      </c>
    </row>
    <row r="3466" spans="1:3" ht="15">
      <c r="A3466" s="81" t="s">
        <v>343</v>
      </c>
      <c r="B3466" s="80" t="s">
        <v>2478</v>
      </c>
      <c r="C3466" s="89" t="s">
        <v>994</v>
      </c>
    </row>
    <row r="3467" spans="1:3" ht="15">
      <c r="A3467" s="81" t="s">
        <v>343</v>
      </c>
      <c r="B3467" s="80" t="s">
        <v>2476</v>
      </c>
      <c r="C3467" s="89" t="s">
        <v>994</v>
      </c>
    </row>
    <row r="3468" spans="1:3" ht="15">
      <c r="A3468" s="81" t="s">
        <v>343</v>
      </c>
      <c r="B3468" s="80" t="s">
        <v>2711</v>
      </c>
      <c r="C3468" s="89" t="s">
        <v>994</v>
      </c>
    </row>
    <row r="3469" spans="1:3" ht="15">
      <c r="A3469" s="81" t="s">
        <v>343</v>
      </c>
      <c r="B3469" s="80" t="s">
        <v>65</v>
      </c>
      <c r="C3469" s="89" t="s">
        <v>994</v>
      </c>
    </row>
    <row r="3470" spans="1:3" ht="15">
      <c r="A3470" s="81" t="s">
        <v>343</v>
      </c>
      <c r="B3470" s="80" t="s">
        <v>2491</v>
      </c>
      <c r="C3470" s="89" t="s">
        <v>994</v>
      </c>
    </row>
    <row r="3471" spans="1:3" ht="15">
      <c r="A3471" s="81" t="s">
        <v>342</v>
      </c>
      <c r="B3471" s="80" t="s">
        <v>2691</v>
      </c>
      <c r="C3471" s="89" t="s">
        <v>993</v>
      </c>
    </row>
    <row r="3472" spans="1:3" ht="15">
      <c r="A3472" s="81" t="s">
        <v>342</v>
      </c>
      <c r="B3472" s="80" t="s">
        <v>2692</v>
      </c>
      <c r="C3472" s="89" t="s">
        <v>993</v>
      </c>
    </row>
    <row r="3473" spans="1:3" ht="15">
      <c r="A3473" s="81" t="s">
        <v>342</v>
      </c>
      <c r="B3473" s="80" t="s">
        <v>2908</v>
      </c>
      <c r="C3473" s="89" t="s">
        <v>993</v>
      </c>
    </row>
    <row r="3474" spans="1:3" ht="15">
      <c r="A3474" s="81" t="s">
        <v>342</v>
      </c>
      <c r="B3474" s="80" t="s">
        <v>2991</v>
      </c>
      <c r="C3474" s="89" t="s">
        <v>993</v>
      </c>
    </row>
    <row r="3475" spans="1:3" ht="15">
      <c r="A3475" s="81" t="s">
        <v>342</v>
      </c>
      <c r="B3475" s="80" t="s">
        <v>2992</v>
      </c>
      <c r="C3475" s="89" t="s">
        <v>993</v>
      </c>
    </row>
    <row r="3476" spans="1:3" ht="15">
      <c r="A3476" s="81" t="s">
        <v>341</v>
      </c>
      <c r="B3476" s="80" t="s">
        <v>2993</v>
      </c>
      <c r="C3476" s="89" t="s">
        <v>992</v>
      </c>
    </row>
    <row r="3477" spans="1:3" ht="15">
      <c r="A3477" s="81" t="s">
        <v>341</v>
      </c>
      <c r="B3477" s="80" t="s">
        <v>2994</v>
      </c>
      <c r="C3477" s="89" t="s">
        <v>992</v>
      </c>
    </row>
    <row r="3478" spans="1:3" ht="15">
      <c r="A3478" s="81" t="s">
        <v>341</v>
      </c>
      <c r="B3478" s="80" t="s">
        <v>2995</v>
      </c>
      <c r="C3478" s="89" t="s">
        <v>992</v>
      </c>
    </row>
    <row r="3479" spans="1:3" ht="15">
      <c r="A3479" s="81" t="s">
        <v>341</v>
      </c>
      <c r="B3479" s="80" t="s">
        <v>2996</v>
      </c>
      <c r="C3479" s="89" t="s">
        <v>992</v>
      </c>
    </row>
    <row r="3480" spans="1:3" ht="15">
      <c r="A3480" s="81" t="s">
        <v>341</v>
      </c>
      <c r="B3480" s="80" t="s">
        <v>2997</v>
      </c>
      <c r="C3480" s="89" t="s">
        <v>992</v>
      </c>
    </row>
    <row r="3481" spans="1:3" ht="15">
      <c r="A3481" s="81" t="s">
        <v>341</v>
      </c>
      <c r="B3481" s="80" t="s">
        <v>2998</v>
      </c>
      <c r="C3481" s="89" t="s">
        <v>992</v>
      </c>
    </row>
    <row r="3482" spans="1:3" ht="15">
      <c r="A3482" s="81" t="s">
        <v>341</v>
      </c>
      <c r="B3482" s="80" t="s">
        <v>2727</v>
      </c>
      <c r="C3482" s="89" t="s">
        <v>992</v>
      </c>
    </row>
    <row r="3483" spans="1:3" ht="15">
      <c r="A3483" s="81" t="s">
        <v>341</v>
      </c>
      <c r="B3483" s="80" t="s">
        <v>2999</v>
      </c>
      <c r="C3483" s="89" t="s">
        <v>992</v>
      </c>
    </row>
    <row r="3484" spans="1:3" ht="15">
      <c r="A3484" s="81" t="s">
        <v>341</v>
      </c>
      <c r="B3484" s="80" t="s">
        <v>3000</v>
      </c>
      <c r="C3484" s="89" t="s">
        <v>992</v>
      </c>
    </row>
    <row r="3485" spans="1:3" ht="15">
      <c r="A3485" s="81" t="s">
        <v>341</v>
      </c>
      <c r="B3485" s="80" t="s">
        <v>3001</v>
      </c>
      <c r="C3485" s="89" t="s">
        <v>992</v>
      </c>
    </row>
    <row r="3486" spans="1:3" ht="15">
      <c r="A3486" s="81" t="s">
        <v>341</v>
      </c>
      <c r="B3486" s="80" t="s">
        <v>2691</v>
      </c>
      <c r="C3486" s="89" t="s">
        <v>992</v>
      </c>
    </row>
    <row r="3487" spans="1:3" ht="15">
      <c r="A3487" s="81" t="s">
        <v>341</v>
      </c>
      <c r="B3487" s="80" t="s">
        <v>2807</v>
      </c>
      <c r="C3487" s="89" t="s">
        <v>992</v>
      </c>
    </row>
    <row r="3488" spans="1:3" ht="15">
      <c r="A3488" s="81" t="s">
        <v>341</v>
      </c>
      <c r="B3488" s="80" t="s">
        <v>3002</v>
      </c>
      <c r="C3488" s="89" t="s">
        <v>992</v>
      </c>
    </row>
    <row r="3489" spans="1:3" ht="15">
      <c r="A3489" s="81" t="s">
        <v>341</v>
      </c>
      <c r="B3489" s="80" t="s">
        <v>591</v>
      </c>
      <c r="C3489" s="89" t="s">
        <v>992</v>
      </c>
    </row>
    <row r="3490" spans="1:3" ht="15">
      <c r="A3490" s="81" t="s">
        <v>341</v>
      </c>
      <c r="B3490" s="80" t="s">
        <v>594</v>
      </c>
      <c r="C3490" s="89" t="s">
        <v>992</v>
      </c>
    </row>
    <row r="3491" spans="1:3" ht="15">
      <c r="A3491" s="81" t="s">
        <v>341</v>
      </c>
      <c r="B3491" s="80" t="s">
        <v>3003</v>
      </c>
      <c r="C3491" s="89" t="s">
        <v>992</v>
      </c>
    </row>
    <row r="3492" spans="1:3" ht="15">
      <c r="A3492" s="81" t="s">
        <v>340</v>
      </c>
      <c r="B3492" s="80" t="s">
        <v>2700</v>
      </c>
      <c r="C3492" s="89" t="s">
        <v>991</v>
      </c>
    </row>
    <row r="3493" spans="1:3" ht="15">
      <c r="A3493" s="81" t="s">
        <v>340</v>
      </c>
      <c r="B3493" s="80" t="s">
        <v>2480</v>
      </c>
      <c r="C3493" s="89" t="s">
        <v>991</v>
      </c>
    </row>
    <row r="3494" spans="1:3" ht="15">
      <c r="A3494" s="81" t="s">
        <v>340</v>
      </c>
      <c r="B3494" s="80" t="s">
        <v>2481</v>
      </c>
      <c r="C3494" s="89" t="s">
        <v>991</v>
      </c>
    </row>
    <row r="3495" spans="1:3" ht="15">
      <c r="A3495" s="81" t="s">
        <v>340</v>
      </c>
      <c r="B3495" s="80" t="s">
        <v>2701</v>
      </c>
      <c r="C3495" s="89" t="s">
        <v>991</v>
      </c>
    </row>
    <row r="3496" spans="1:3" ht="15">
      <c r="A3496" s="81" t="s">
        <v>340</v>
      </c>
      <c r="B3496" s="80" t="s">
        <v>2702</v>
      </c>
      <c r="C3496" s="89" t="s">
        <v>991</v>
      </c>
    </row>
    <row r="3497" spans="1:3" ht="15">
      <c r="A3497" s="81" t="s">
        <v>340</v>
      </c>
      <c r="B3497" s="80" t="s">
        <v>2483</v>
      </c>
      <c r="C3497" s="89" t="s">
        <v>991</v>
      </c>
    </row>
    <row r="3498" spans="1:3" ht="15">
      <c r="A3498" s="81" t="s">
        <v>340</v>
      </c>
      <c r="B3498" s="80" t="s">
        <v>2484</v>
      </c>
      <c r="C3498" s="89" t="s">
        <v>991</v>
      </c>
    </row>
    <row r="3499" spans="1:3" ht="15">
      <c r="A3499" s="81" t="s">
        <v>340</v>
      </c>
      <c r="B3499" s="80" t="s">
        <v>2703</v>
      </c>
      <c r="C3499" s="89" t="s">
        <v>991</v>
      </c>
    </row>
    <row r="3500" spans="1:3" ht="15">
      <c r="A3500" s="81" t="s">
        <v>340</v>
      </c>
      <c r="B3500" s="80" t="s">
        <v>2485</v>
      </c>
      <c r="C3500" s="89" t="s">
        <v>991</v>
      </c>
    </row>
    <row r="3501" spans="1:3" ht="15">
      <c r="A3501" s="81" t="s">
        <v>340</v>
      </c>
      <c r="B3501" s="80" t="s">
        <v>2693</v>
      </c>
      <c r="C3501" s="89" t="s">
        <v>991</v>
      </c>
    </row>
    <row r="3502" spans="1:3" ht="15">
      <c r="A3502" s="81" t="s">
        <v>340</v>
      </c>
      <c r="B3502" s="80" t="s">
        <v>2486</v>
      </c>
      <c r="C3502" s="89" t="s">
        <v>991</v>
      </c>
    </row>
    <row r="3503" spans="1:3" ht="15">
      <c r="A3503" s="81" t="s">
        <v>340</v>
      </c>
      <c r="B3503" s="80" t="s">
        <v>2704</v>
      </c>
      <c r="C3503" s="89" t="s">
        <v>991</v>
      </c>
    </row>
    <row r="3504" spans="1:3" ht="15">
      <c r="A3504" s="81" t="s">
        <v>340</v>
      </c>
      <c r="B3504" s="80" t="s">
        <v>2691</v>
      </c>
      <c r="C3504" s="89" t="s">
        <v>991</v>
      </c>
    </row>
    <row r="3505" spans="1:3" ht="15">
      <c r="A3505" s="81" t="s">
        <v>340</v>
      </c>
      <c r="B3505" s="80" t="s">
        <v>2692</v>
      </c>
      <c r="C3505" s="89" t="s">
        <v>991</v>
      </c>
    </row>
    <row r="3506" spans="1:3" ht="15">
      <c r="A3506" s="81" t="s">
        <v>340</v>
      </c>
      <c r="B3506" s="80" t="s">
        <v>2477</v>
      </c>
      <c r="C3506" s="89" t="s">
        <v>991</v>
      </c>
    </row>
    <row r="3507" spans="1:3" ht="15">
      <c r="A3507" s="81" t="s">
        <v>340</v>
      </c>
      <c r="B3507" s="80" t="s">
        <v>2705</v>
      </c>
      <c r="C3507" s="89" t="s">
        <v>991</v>
      </c>
    </row>
    <row r="3508" spans="1:3" ht="15">
      <c r="A3508" s="81" t="s">
        <v>340</v>
      </c>
      <c r="B3508" s="80" t="s">
        <v>2706</v>
      </c>
      <c r="C3508" s="89" t="s">
        <v>991</v>
      </c>
    </row>
    <row r="3509" spans="1:3" ht="15">
      <c r="A3509" s="81" t="s">
        <v>340</v>
      </c>
      <c r="B3509" s="80" t="s">
        <v>2707</v>
      </c>
      <c r="C3509" s="89" t="s">
        <v>991</v>
      </c>
    </row>
    <row r="3510" spans="1:3" ht="15">
      <c r="A3510" s="81" t="s">
        <v>340</v>
      </c>
      <c r="B3510" s="80" t="s">
        <v>2708</v>
      </c>
      <c r="C3510" s="89" t="s">
        <v>991</v>
      </c>
    </row>
    <row r="3511" spans="1:3" ht="15">
      <c r="A3511" s="81" t="s">
        <v>340</v>
      </c>
      <c r="B3511" s="80" t="s">
        <v>2488</v>
      </c>
      <c r="C3511" s="89" t="s">
        <v>991</v>
      </c>
    </row>
    <row r="3512" spans="1:3" ht="15">
      <c r="A3512" s="81" t="s">
        <v>340</v>
      </c>
      <c r="B3512" s="80" t="s">
        <v>2709</v>
      </c>
      <c r="C3512" s="89" t="s">
        <v>991</v>
      </c>
    </row>
    <row r="3513" spans="1:3" ht="15">
      <c r="A3513" s="81" t="s">
        <v>340</v>
      </c>
      <c r="B3513" s="80" t="s">
        <v>2710</v>
      </c>
      <c r="C3513" s="89" t="s">
        <v>991</v>
      </c>
    </row>
    <row r="3514" spans="1:3" ht="15">
      <c r="A3514" s="81" t="s">
        <v>340</v>
      </c>
      <c r="B3514" s="80" t="s">
        <v>2478</v>
      </c>
      <c r="C3514" s="89" t="s">
        <v>991</v>
      </c>
    </row>
    <row r="3515" spans="1:3" ht="15">
      <c r="A3515" s="81" t="s">
        <v>340</v>
      </c>
      <c r="B3515" s="80" t="s">
        <v>2476</v>
      </c>
      <c r="C3515" s="89" t="s">
        <v>991</v>
      </c>
    </row>
    <row r="3516" spans="1:3" ht="15">
      <c r="A3516" s="81" t="s">
        <v>340</v>
      </c>
      <c r="B3516" s="80" t="s">
        <v>2711</v>
      </c>
      <c r="C3516" s="89" t="s">
        <v>991</v>
      </c>
    </row>
    <row r="3517" spans="1:3" ht="15">
      <c r="A3517" s="81" t="s">
        <v>340</v>
      </c>
      <c r="B3517" s="80" t="s">
        <v>65</v>
      </c>
      <c r="C3517" s="89" t="s">
        <v>991</v>
      </c>
    </row>
    <row r="3518" spans="1:3" ht="15">
      <c r="A3518" s="81" t="s">
        <v>340</v>
      </c>
      <c r="B3518" s="80" t="s">
        <v>2491</v>
      </c>
      <c r="C3518" s="89" t="s">
        <v>991</v>
      </c>
    </row>
    <row r="3519" spans="1:3" ht="15">
      <c r="A3519" s="81" t="s">
        <v>339</v>
      </c>
      <c r="B3519" s="80" t="s">
        <v>2700</v>
      </c>
      <c r="C3519" s="89" t="s">
        <v>990</v>
      </c>
    </row>
    <row r="3520" spans="1:3" ht="15">
      <c r="A3520" s="81" t="s">
        <v>339</v>
      </c>
      <c r="B3520" s="80" t="s">
        <v>2480</v>
      </c>
      <c r="C3520" s="89" t="s">
        <v>990</v>
      </c>
    </row>
    <row r="3521" spans="1:3" ht="15">
      <c r="A3521" s="81" t="s">
        <v>339</v>
      </c>
      <c r="B3521" s="80" t="s">
        <v>2481</v>
      </c>
      <c r="C3521" s="89" t="s">
        <v>990</v>
      </c>
    </row>
    <row r="3522" spans="1:3" ht="15">
      <c r="A3522" s="81" t="s">
        <v>339</v>
      </c>
      <c r="B3522" s="80" t="s">
        <v>2701</v>
      </c>
      <c r="C3522" s="89" t="s">
        <v>990</v>
      </c>
    </row>
    <row r="3523" spans="1:3" ht="15">
      <c r="A3523" s="81" t="s">
        <v>339</v>
      </c>
      <c r="B3523" s="80" t="s">
        <v>2702</v>
      </c>
      <c r="C3523" s="89" t="s">
        <v>990</v>
      </c>
    </row>
    <row r="3524" spans="1:3" ht="15">
      <c r="A3524" s="81" t="s">
        <v>339</v>
      </c>
      <c r="B3524" s="80" t="s">
        <v>2483</v>
      </c>
      <c r="C3524" s="89" t="s">
        <v>990</v>
      </c>
    </row>
    <row r="3525" spans="1:3" ht="15">
      <c r="A3525" s="81" t="s">
        <v>339</v>
      </c>
      <c r="B3525" s="80" t="s">
        <v>2484</v>
      </c>
      <c r="C3525" s="89" t="s">
        <v>990</v>
      </c>
    </row>
    <row r="3526" spans="1:3" ht="15">
      <c r="A3526" s="81" t="s">
        <v>339</v>
      </c>
      <c r="B3526" s="80" t="s">
        <v>2703</v>
      </c>
      <c r="C3526" s="89" t="s">
        <v>990</v>
      </c>
    </row>
    <row r="3527" spans="1:3" ht="15">
      <c r="A3527" s="81" t="s">
        <v>339</v>
      </c>
      <c r="B3527" s="80" t="s">
        <v>2485</v>
      </c>
      <c r="C3527" s="89" t="s">
        <v>990</v>
      </c>
    </row>
    <row r="3528" spans="1:3" ht="15">
      <c r="A3528" s="81" t="s">
        <v>339</v>
      </c>
      <c r="B3528" s="80" t="s">
        <v>2693</v>
      </c>
      <c r="C3528" s="89" t="s">
        <v>990</v>
      </c>
    </row>
    <row r="3529" spans="1:3" ht="15">
      <c r="A3529" s="81" t="s">
        <v>339</v>
      </c>
      <c r="B3529" s="80" t="s">
        <v>2486</v>
      </c>
      <c r="C3529" s="89" t="s">
        <v>990</v>
      </c>
    </row>
    <row r="3530" spans="1:3" ht="15">
      <c r="A3530" s="81" t="s">
        <v>339</v>
      </c>
      <c r="B3530" s="80" t="s">
        <v>2704</v>
      </c>
      <c r="C3530" s="89" t="s">
        <v>990</v>
      </c>
    </row>
    <row r="3531" spans="1:3" ht="15">
      <c r="A3531" s="81" t="s">
        <v>339</v>
      </c>
      <c r="B3531" s="80" t="s">
        <v>2691</v>
      </c>
      <c r="C3531" s="89" t="s">
        <v>990</v>
      </c>
    </row>
    <row r="3532" spans="1:3" ht="15">
      <c r="A3532" s="81" t="s">
        <v>339</v>
      </c>
      <c r="B3532" s="80" t="s">
        <v>2692</v>
      </c>
      <c r="C3532" s="89" t="s">
        <v>990</v>
      </c>
    </row>
    <row r="3533" spans="1:3" ht="15">
      <c r="A3533" s="81" t="s">
        <v>339</v>
      </c>
      <c r="B3533" s="80" t="s">
        <v>2477</v>
      </c>
      <c r="C3533" s="89" t="s">
        <v>990</v>
      </c>
    </row>
    <row r="3534" spans="1:3" ht="15">
      <c r="A3534" s="81" t="s">
        <v>339</v>
      </c>
      <c r="B3534" s="80" t="s">
        <v>2705</v>
      </c>
      <c r="C3534" s="89" t="s">
        <v>990</v>
      </c>
    </row>
    <row r="3535" spans="1:3" ht="15">
      <c r="A3535" s="81" t="s">
        <v>339</v>
      </c>
      <c r="B3535" s="80" t="s">
        <v>2706</v>
      </c>
      <c r="C3535" s="89" t="s">
        <v>990</v>
      </c>
    </row>
    <row r="3536" spans="1:3" ht="15">
      <c r="A3536" s="81" t="s">
        <v>339</v>
      </c>
      <c r="B3536" s="80" t="s">
        <v>2707</v>
      </c>
      <c r="C3536" s="89" t="s">
        <v>990</v>
      </c>
    </row>
    <row r="3537" spans="1:3" ht="15">
      <c r="A3537" s="81" t="s">
        <v>339</v>
      </c>
      <c r="B3537" s="80" t="s">
        <v>2708</v>
      </c>
      <c r="C3537" s="89" t="s">
        <v>990</v>
      </c>
    </row>
    <row r="3538" spans="1:3" ht="15">
      <c r="A3538" s="81" t="s">
        <v>339</v>
      </c>
      <c r="B3538" s="80" t="s">
        <v>2488</v>
      </c>
      <c r="C3538" s="89" t="s">
        <v>990</v>
      </c>
    </row>
    <row r="3539" spans="1:3" ht="15">
      <c r="A3539" s="81" t="s">
        <v>339</v>
      </c>
      <c r="B3539" s="80" t="s">
        <v>2709</v>
      </c>
      <c r="C3539" s="89" t="s">
        <v>990</v>
      </c>
    </row>
    <row r="3540" spans="1:3" ht="15">
      <c r="A3540" s="81" t="s">
        <v>339</v>
      </c>
      <c r="B3540" s="80" t="s">
        <v>2710</v>
      </c>
      <c r="C3540" s="89" t="s">
        <v>990</v>
      </c>
    </row>
    <row r="3541" spans="1:3" ht="15">
      <c r="A3541" s="81" t="s">
        <v>339</v>
      </c>
      <c r="B3541" s="80" t="s">
        <v>2478</v>
      </c>
      <c r="C3541" s="89" t="s">
        <v>990</v>
      </c>
    </row>
    <row r="3542" spans="1:3" ht="15">
      <c r="A3542" s="81" t="s">
        <v>339</v>
      </c>
      <c r="B3542" s="80" t="s">
        <v>2476</v>
      </c>
      <c r="C3542" s="89" t="s">
        <v>990</v>
      </c>
    </row>
    <row r="3543" spans="1:3" ht="15">
      <c r="A3543" s="81" t="s">
        <v>339</v>
      </c>
      <c r="B3543" s="80" t="s">
        <v>2711</v>
      </c>
      <c r="C3543" s="89" t="s">
        <v>990</v>
      </c>
    </row>
    <row r="3544" spans="1:3" ht="15">
      <c r="A3544" s="81" t="s">
        <v>339</v>
      </c>
      <c r="B3544" s="80" t="s">
        <v>65</v>
      </c>
      <c r="C3544" s="89" t="s">
        <v>990</v>
      </c>
    </row>
    <row r="3545" spans="1:3" ht="15">
      <c r="A3545" s="81" t="s">
        <v>339</v>
      </c>
      <c r="B3545" s="80" t="s">
        <v>2491</v>
      </c>
      <c r="C3545" s="89" t="s">
        <v>990</v>
      </c>
    </row>
    <row r="3546" spans="1:3" ht="15">
      <c r="A3546" s="81" t="s">
        <v>338</v>
      </c>
      <c r="B3546" s="80" t="s">
        <v>2700</v>
      </c>
      <c r="C3546" s="89" t="s">
        <v>989</v>
      </c>
    </row>
    <row r="3547" spans="1:3" ht="15">
      <c r="A3547" s="81" t="s">
        <v>338</v>
      </c>
      <c r="B3547" s="80" t="s">
        <v>2480</v>
      </c>
      <c r="C3547" s="89" t="s">
        <v>989</v>
      </c>
    </row>
    <row r="3548" spans="1:3" ht="15">
      <c r="A3548" s="81" t="s">
        <v>338</v>
      </c>
      <c r="B3548" s="80" t="s">
        <v>2481</v>
      </c>
      <c r="C3548" s="89" t="s">
        <v>989</v>
      </c>
    </row>
    <row r="3549" spans="1:3" ht="15">
      <c r="A3549" s="81" t="s">
        <v>338</v>
      </c>
      <c r="B3549" s="80" t="s">
        <v>2701</v>
      </c>
      <c r="C3549" s="89" t="s">
        <v>989</v>
      </c>
    </row>
    <row r="3550" spans="1:3" ht="15">
      <c r="A3550" s="81" t="s">
        <v>338</v>
      </c>
      <c r="B3550" s="80" t="s">
        <v>2702</v>
      </c>
      <c r="C3550" s="89" t="s">
        <v>989</v>
      </c>
    </row>
    <row r="3551" spans="1:3" ht="15">
      <c r="A3551" s="81" t="s">
        <v>338</v>
      </c>
      <c r="B3551" s="80" t="s">
        <v>2483</v>
      </c>
      <c r="C3551" s="89" t="s">
        <v>989</v>
      </c>
    </row>
    <row r="3552" spans="1:3" ht="15">
      <c r="A3552" s="81" t="s">
        <v>338</v>
      </c>
      <c r="B3552" s="80" t="s">
        <v>2484</v>
      </c>
      <c r="C3552" s="89" t="s">
        <v>989</v>
      </c>
    </row>
    <row r="3553" spans="1:3" ht="15">
      <c r="A3553" s="81" t="s">
        <v>338</v>
      </c>
      <c r="B3553" s="80" t="s">
        <v>2703</v>
      </c>
      <c r="C3553" s="89" t="s">
        <v>989</v>
      </c>
    </row>
    <row r="3554" spans="1:3" ht="15">
      <c r="A3554" s="81" t="s">
        <v>338</v>
      </c>
      <c r="B3554" s="80" t="s">
        <v>2485</v>
      </c>
      <c r="C3554" s="89" t="s">
        <v>989</v>
      </c>
    </row>
    <row r="3555" spans="1:3" ht="15">
      <c r="A3555" s="81" t="s">
        <v>338</v>
      </c>
      <c r="B3555" s="80" t="s">
        <v>2693</v>
      </c>
      <c r="C3555" s="89" t="s">
        <v>989</v>
      </c>
    </row>
    <row r="3556" spans="1:3" ht="15">
      <c r="A3556" s="81" t="s">
        <v>338</v>
      </c>
      <c r="B3556" s="80" t="s">
        <v>2486</v>
      </c>
      <c r="C3556" s="89" t="s">
        <v>989</v>
      </c>
    </row>
    <row r="3557" spans="1:3" ht="15">
      <c r="A3557" s="81" t="s">
        <v>338</v>
      </c>
      <c r="B3557" s="80" t="s">
        <v>2704</v>
      </c>
      <c r="C3557" s="89" t="s">
        <v>989</v>
      </c>
    </row>
    <row r="3558" spans="1:3" ht="15">
      <c r="A3558" s="81" t="s">
        <v>338</v>
      </c>
      <c r="B3558" s="80" t="s">
        <v>2691</v>
      </c>
      <c r="C3558" s="89" t="s">
        <v>989</v>
      </c>
    </row>
    <row r="3559" spans="1:3" ht="15">
      <c r="A3559" s="81" t="s">
        <v>338</v>
      </c>
      <c r="B3559" s="80" t="s">
        <v>2692</v>
      </c>
      <c r="C3559" s="89" t="s">
        <v>989</v>
      </c>
    </row>
    <row r="3560" spans="1:3" ht="15">
      <c r="A3560" s="81" t="s">
        <v>338</v>
      </c>
      <c r="B3560" s="80" t="s">
        <v>2477</v>
      </c>
      <c r="C3560" s="89" t="s">
        <v>989</v>
      </c>
    </row>
    <row r="3561" spans="1:3" ht="15">
      <c r="A3561" s="81" t="s">
        <v>338</v>
      </c>
      <c r="B3561" s="80" t="s">
        <v>2705</v>
      </c>
      <c r="C3561" s="89" t="s">
        <v>989</v>
      </c>
    </row>
    <row r="3562" spans="1:3" ht="15">
      <c r="A3562" s="81" t="s">
        <v>338</v>
      </c>
      <c r="B3562" s="80" t="s">
        <v>2706</v>
      </c>
      <c r="C3562" s="89" t="s">
        <v>989</v>
      </c>
    </row>
    <row r="3563" spans="1:3" ht="15">
      <c r="A3563" s="81" t="s">
        <v>338</v>
      </c>
      <c r="B3563" s="80" t="s">
        <v>2707</v>
      </c>
      <c r="C3563" s="89" t="s">
        <v>989</v>
      </c>
    </row>
    <row r="3564" spans="1:3" ht="15">
      <c r="A3564" s="81" t="s">
        <v>338</v>
      </c>
      <c r="B3564" s="80" t="s">
        <v>2708</v>
      </c>
      <c r="C3564" s="89" t="s">
        <v>989</v>
      </c>
    </row>
    <row r="3565" spans="1:3" ht="15">
      <c r="A3565" s="81" t="s">
        <v>338</v>
      </c>
      <c r="B3565" s="80" t="s">
        <v>2488</v>
      </c>
      <c r="C3565" s="89" t="s">
        <v>989</v>
      </c>
    </row>
    <row r="3566" spans="1:3" ht="15">
      <c r="A3566" s="81" t="s">
        <v>338</v>
      </c>
      <c r="B3566" s="80" t="s">
        <v>2709</v>
      </c>
      <c r="C3566" s="89" t="s">
        <v>989</v>
      </c>
    </row>
    <row r="3567" spans="1:3" ht="15">
      <c r="A3567" s="81" t="s">
        <v>338</v>
      </c>
      <c r="B3567" s="80" t="s">
        <v>2710</v>
      </c>
      <c r="C3567" s="89" t="s">
        <v>989</v>
      </c>
    </row>
    <row r="3568" spans="1:3" ht="15">
      <c r="A3568" s="81" t="s">
        <v>338</v>
      </c>
      <c r="B3568" s="80" t="s">
        <v>2478</v>
      </c>
      <c r="C3568" s="89" t="s">
        <v>989</v>
      </c>
    </row>
    <row r="3569" spans="1:3" ht="15">
      <c r="A3569" s="81" t="s">
        <v>338</v>
      </c>
      <c r="B3569" s="80" t="s">
        <v>2476</v>
      </c>
      <c r="C3569" s="89" t="s">
        <v>989</v>
      </c>
    </row>
    <row r="3570" spans="1:3" ht="15">
      <c r="A3570" s="81" t="s">
        <v>338</v>
      </c>
      <c r="B3570" s="80" t="s">
        <v>2711</v>
      </c>
      <c r="C3570" s="89" t="s">
        <v>989</v>
      </c>
    </row>
    <row r="3571" spans="1:3" ht="15">
      <c r="A3571" s="81" t="s">
        <v>338</v>
      </c>
      <c r="B3571" s="80" t="s">
        <v>65</v>
      </c>
      <c r="C3571" s="89" t="s">
        <v>989</v>
      </c>
    </row>
    <row r="3572" spans="1:3" ht="15">
      <c r="A3572" s="81" t="s">
        <v>338</v>
      </c>
      <c r="B3572" s="80" t="s">
        <v>2491</v>
      </c>
      <c r="C3572" s="89" t="s">
        <v>989</v>
      </c>
    </row>
    <row r="3573" spans="1:3" ht="15">
      <c r="A3573" s="81" t="s">
        <v>337</v>
      </c>
      <c r="B3573" s="80" t="s">
        <v>2700</v>
      </c>
      <c r="C3573" s="89" t="s">
        <v>988</v>
      </c>
    </row>
    <row r="3574" spans="1:3" ht="15">
      <c r="A3574" s="81" t="s">
        <v>337</v>
      </c>
      <c r="B3574" s="80" t="s">
        <v>2480</v>
      </c>
      <c r="C3574" s="89" t="s">
        <v>988</v>
      </c>
    </row>
    <row r="3575" spans="1:3" ht="15">
      <c r="A3575" s="81" t="s">
        <v>337</v>
      </c>
      <c r="B3575" s="80" t="s">
        <v>2481</v>
      </c>
      <c r="C3575" s="89" t="s">
        <v>988</v>
      </c>
    </row>
    <row r="3576" spans="1:3" ht="15">
      <c r="A3576" s="81" t="s">
        <v>337</v>
      </c>
      <c r="B3576" s="80" t="s">
        <v>2701</v>
      </c>
      <c r="C3576" s="89" t="s">
        <v>988</v>
      </c>
    </row>
    <row r="3577" spans="1:3" ht="15">
      <c r="A3577" s="81" t="s">
        <v>337</v>
      </c>
      <c r="B3577" s="80" t="s">
        <v>2702</v>
      </c>
      <c r="C3577" s="89" t="s">
        <v>988</v>
      </c>
    </row>
    <row r="3578" spans="1:3" ht="15">
      <c r="A3578" s="81" t="s">
        <v>337</v>
      </c>
      <c r="B3578" s="80" t="s">
        <v>2483</v>
      </c>
      <c r="C3578" s="89" t="s">
        <v>988</v>
      </c>
    </row>
    <row r="3579" spans="1:3" ht="15">
      <c r="A3579" s="81" t="s">
        <v>337</v>
      </c>
      <c r="B3579" s="80" t="s">
        <v>2484</v>
      </c>
      <c r="C3579" s="89" t="s">
        <v>988</v>
      </c>
    </row>
    <row r="3580" spans="1:3" ht="15">
      <c r="A3580" s="81" t="s">
        <v>337</v>
      </c>
      <c r="B3580" s="80" t="s">
        <v>2703</v>
      </c>
      <c r="C3580" s="89" t="s">
        <v>988</v>
      </c>
    </row>
    <row r="3581" spans="1:3" ht="15">
      <c r="A3581" s="81" t="s">
        <v>337</v>
      </c>
      <c r="B3581" s="80" t="s">
        <v>2485</v>
      </c>
      <c r="C3581" s="89" t="s">
        <v>988</v>
      </c>
    </row>
    <row r="3582" spans="1:3" ht="15">
      <c r="A3582" s="81" t="s">
        <v>337</v>
      </c>
      <c r="B3582" s="80" t="s">
        <v>2693</v>
      </c>
      <c r="C3582" s="89" t="s">
        <v>988</v>
      </c>
    </row>
    <row r="3583" spans="1:3" ht="15">
      <c r="A3583" s="81" t="s">
        <v>337</v>
      </c>
      <c r="B3583" s="80" t="s">
        <v>2486</v>
      </c>
      <c r="C3583" s="89" t="s">
        <v>988</v>
      </c>
    </row>
    <row r="3584" spans="1:3" ht="15">
      <c r="A3584" s="81" t="s">
        <v>337</v>
      </c>
      <c r="B3584" s="80" t="s">
        <v>2704</v>
      </c>
      <c r="C3584" s="89" t="s">
        <v>988</v>
      </c>
    </row>
    <row r="3585" spans="1:3" ht="15">
      <c r="A3585" s="81" t="s">
        <v>337</v>
      </c>
      <c r="B3585" s="80" t="s">
        <v>2691</v>
      </c>
      <c r="C3585" s="89" t="s">
        <v>988</v>
      </c>
    </row>
    <row r="3586" spans="1:3" ht="15">
      <c r="A3586" s="81" t="s">
        <v>337</v>
      </c>
      <c r="B3586" s="80" t="s">
        <v>2692</v>
      </c>
      <c r="C3586" s="89" t="s">
        <v>988</v>
      </c>
    </row>
    <row r="3587" spans="1:3" ht="15">
      <c r="A3587" s="81" t="s">
        <v>337</v>
      </c>
      <c r="B3587" s="80" t="s">
        <v>2477</v>
      </c>
      <c r="C3587" s="89" t="s">
        <v>988</v>
      </c>
    </row>
    <row r="3588" spans="1:3" ht="15">
      <c r="A3588" s="81" t="s">
        <v>337</v>
      </c>
      <c r="B3588" s="80" t="s">
        <v>2705</v>
      </c>
      <c r="C3588" s="89" t="s">
        <v>988</v>
      </c>
    </row>
    <row r="3589" spans="1:3" ht="15">
      <c r="A3589" s="81" t="s">
        <v>337</v>
      </c>
      <c r="B3589" s="80" t="s">
        <v>2706</v>
      </c>
      <c r="C3589" s="89" t="s">
        <v>988</v>
      </c>
    </row>
    <row r="3590" spans="1:3" ht="15">
      <c r="A3590" s="81" t="s">
        <v>337</v>
      </c>
      <c r="B3590" s="80" t="s">
        <v>2707</v>
      </c>
      <c r="C3590" s="89" t="s">
        <v>988</v>
      </c>
    </row>
    <row r="3591" spans="1:3" ht="15">
      <c r="A3591" s="81" t="s">
        <v>337</v>
      </c>
      <c r="B3591" s="80" t="s">
        <v>2708</v>
      </c>
      <c r="C3591" s="89" t="s">
        <v>988</v>
      </c>
    </row>
    <row r="3592" spans="1:3" ht="15">
      <c r="A3592" s="81" t="s">
        <v>337</v>
      </c>
      <c r="B3592" s="80" t="s">
        <v>2488</v>
      </c>
      <c r="C3592" s="89" t="s">
        <v>988</v>
      </c>
    </row>
    <row r="3593" spans="1:3" ht="15">
      <c r="A3593" s="81" t="s">
        <v>337</v>
      </c>
      <c r="B3593" s="80" t="s">
        <v>2709</v>
      </c>
      <c r="C3593" s="89" t="s">
        <v>988</v>
      </c>
    </row>
    <row r="3594" spans="1:3" ht="15">
      <c r="A3594" s="81" t="s">
        <v>337</v>
      </c>
      <c r="B3594" s="80" t="s">
        <v>2710</v>
      </c>
      <c r="C3594" s="89" t="s">
        <v>988</v>
      </c>
    </row>
    <row r="3595" spans="1:3" ht="15">
      <c r="A3595" s="81" t="s">
        <v>337</v>
      </c>
      <c r="B3595" s="80" t="s">
        <v>2478</v>
      </c>
      <c r="C3595" s="89" t="s">
        <v>988</v>
      </c>
    </row>
    <row r="3596" spans="1:3" ht="15">
      <c r="A3596" s="81" t="s">
        <v>337</v>
      </c>
      <c r="B3596" s="80" t="s">
        <v>2476</v>
      </c>
      <c r="C3596" s="89" t="s">
        <v>988</v>
      </c>
    </row>
    <row r="3597" spans="1:3" ht="15">
      <c r="A3597" s="81" t="s">
        <v>337</v>
      </c>
      <c r="B3597" s="80" t="s">
        <v>2711</v>
      </c>
      <c r="C3597" s="89" t="s">
        <v>988</v>
      </c>
    </row>
    <row r="3598" spans="1:3" ht="15">
      <c r="A3598" s="81" t="s">
        <v>337</v>
      </c>
      <c r="B3598" s="80" t="s">
        <v>65</v>
      </c>
      <c r="C3598" s="89" t="s">
        <v>988</v>
      </c>
    </row>
    <row r="3599" spans="1:3" ht="15">
      <c r="A3599" s="81" t="s">
        <v>337</v>
      </c>
      <c r="B3599" s="80" t="s">
        <v>2491</v>
      </c>
      <c r="C3599" s="89" t="s">
        <v>988</v>
      </c>
    </row>
    <row r="3600" spans="1:3" ht="15">
      <c r="A3600" s="81" t="s">
        <v>336</v>
      </c>
      <c r="B3600" s="80" t="s">
        <v>2691</v>
      </c>
      <c r="C3600" s="89" t="s">
        <v>987</v>
      </c>
    </row>
    <row r="3601" spans="1:3" ht="15">
      <c r="A3601" s="81" t="s">
        <v>336</v>
      </c>
      <c r="B3601" s="80" t="s">
        <v>2474</v>
      </c>
      <c r="C3601" s="89" t="s">
        <v>987</v>
      </c>
    </row>
    <row r="3602" spans="1:3" ht="15">
      <c r="A3602" s="81" t="s">
        <v>336</v>
      </c>
      <c r="B3602" s="80" t="s">
        <v>2845</v>
      </c>
      <c r="C3602" s="89" t="s">
        <v>987</v>
      </c>
    </row>
    <row r="3603" spans="1:3" ht="15">
      <c r="A3603" s="81" t="s">
        <v>336</v>
      </c>
      <c r="B3603" s="80" t="s">
        <v>2767</v>
      </c>
      <c r="C3603" s="89" t="s">
        <v>987</v>
      </c>
    </row>
    <row r="3604" spans="1:3" ht="15">
      <c r="A3604" s="81" t="s">
        <v>336</v>
      </c>
      <c r="B3604" s="80" t="s">
        <v>2551</v>
      </c>
      <c r="C3604" s="89" t="s">
        <v>987</v>
      </c>
    </row>
    <row r="3605" spans="1:3" ht="15">
      <c r="A3605" s="81" t="s">
        <v>336</v>
      </c>
      <c r="B3605" s="80" t="s">
        <v>3004</v>
      </c>
      <c r="C3605" s="89" t="s">
        <v>987</v>
      </c>
    </row>
    <row r="3606" spans="1:3" ht="15">
      <c r="A3606" s="81" t="s">
        <v>336</v>
      </c>
      <c r="B3606" s="80" t="s">
        <v>3005</v>
      </c>
      <c r="C3606" s="89" t="s">
        <v>987</v>
      </c>
    </row>
    <row r="3607" spans="1:3" ht="15">
      <c r="A3607" s="81" t="s">
        <v>336</v>
      </c>
      <c r="B3607" s="80" t="s">
        <v>3006</v>
      </c>
      <c r="C3607" s="89" t="s">
        <v>987</v>
      </c>
    </row>
    <row r="3608" spans="1:3" ht="15">
      <c r="A3608" s="81" t="s">
        <v>336</v>
      </c>
      <c r="B3608" s="80" t="s">
        <v>3007</v>
      </c>
      <c r="C3608" s="89" t="s">
        <v>987</v>
      </c>
    </row>
    <row r="3609" spans="1:3" ht="15">
      <c r="A3609" s="81" t="s">
        <v>336</v>
      </c>
      <c r="B3609" s="80" t="s">
        <v>2625</v>
      </c>
      <c r="C3609" s="89" t="s">
        <v>987</v>
      </c>
    </row>
    <row r="3610" spans="1:3" ht="15">
      <c r="A3610" s="81" t="s">
        <v>336</v>
      </c>
      <c r="B3610" s="80" t="s">
        <v>2626</v>
      </c>
      <c r="C3610" s="89" t="s">
        <v>987</v>
      </c>
    </row>
    <row r="3611" spans="1:3" ht="15">
      <c r="A3611" s="81" t="s">
        <v>335</v>
      </c>
      <c r="B3611" s="80" t="s">
        <v>2691</v>
      </c>
      <c r="C3611" s="89" t="s">
        <v>986</v>
      </c>
    </row>
    <row r="3612" spans="1:3" ht="15">
      <c r="A3612" s="81" t="s">
        <v>335</v>
      </c>
      <c r="B3612" s="80" t="s">
        <v>2474</v>
      </c>
      <c r="C3612" s="89" t="s">
        <v>986</v>
      </c>
    </row>
    <row r="3613" spans="1:3" ht="15">
      <c r="A3613" s="81" t="s">
        <v>335</v>
      </c>
      <c r="B3613" s="80" t="s">
        <v>2845</v>
      </c>
      <c r="C3613" s="89" t="s">
        <v>986</v>
      </c>
    </row>
    <row r="3614" spans="1:3" ht="15">
      <c r="A3614" s="81" t="s">
        <v>335</v>
      </c>
      <c r="B3614" s="80" t="s">
        <v>2767</v>
      </c>
      <c r="C3614" s="89" t="s">
        <v>986</v>
      </c>
    </row>
    <row r="3615" spans="1:3" ht="15">
      <c r="A3615" s="81" t="s">
        <v>335</v>
      </c>
      <c r="B3615" s="80" t="s">
        <v>2551</v>
      </c>
      <c r="C3615" s="89" t="s">
        <v>986</v>
      </c>
    </row>
    <row r="3616" spans="1:3" ht="15">
      <c r="A3616" s="81" t="s">
        <v>335</v>
      </c>
      <c r="B3616" s="80" t="s">
        <v>3004</v>
      </c>
      <c r="C3616" s="89" t="s">
        <v>986</v>
      </c>
    </row>
    <row r="3617" spans="1:3" ht="15">
      <c r="A3617" s="81" t="s">
        <v>335</v>
      </c>
      <c r="B3617" s="80" t="s">
        <v>3005</v>
      </c>
      <c r="C3617" s="89" t="s">
        <v>986</v>
      </c>
    </row>
    <row r="3618" spans="1:3" ht="15">
      <c r="A3618" s="81" t="s">
        <v>335</v>
      </c>
      <c r="B3618" s="80" t="s">
        <v>3006</v>
      </c>
      <c r="C3618" s="89" t="s">
        <v>986</v>
      </c>
    </row>
    <row r="3619" spans="1:3" ht="15">
      <c r="A3619" s="81" t="s">
        <v>335</v>
      </c>
      <c r="B3619" s="80" t="s">
        <v>3007</v>
      </c>
      <c r="C3619" s="89" t="s">
        <v>986</v>
      </c>
    </row>
    <row r="3620" spans="1:3" ht="15">
      <c r="A3620" s="81" t="s">
        <v>335</v>
      </c>
      <c r="B3620" s="80" t="s">
        <v>2625</v>
      </c>
      <c r="C3620" s="89" t="s">
        <v>986</v>
      </c>
    </row>
    <row r="3621" spans="1:3" ht="15">
      <c r="A3621" s="81" t="s">
        <v>335</v>
      </c>
      <c r="B3621" s="80" t="s">
        <v>2626</v>
      </c>
      <c r="C3621" s="89" t="s">
        <v>986</v>
      </c>
    </row>
    <row r="3622" spans="1:3" ht="15">
      <c r="A3622" s="81" t="s">
        <v>334</v>
      </c>
      <c r="B3622" s="80" t="s">
        <v>2700</v>
      </c>
      <c r="C3622" s="89" t="s">
        <v>985</v>
      </c>
    </row>
    <row r="3623" spans="1:3" ht="15">
      <c r="A3623" s="81" t="s">
        <v>334</v>
      </c>
      <c r="B3623" s="80" t="s">
        <v>2480</v>
      </c>
      <c r="C3623" s="89" t="s">
        <v>985</v>
      </c>
    </row>
    <row r="3624" spans="1:3" ht="15">
      <c r="A3624" s="81" t="s">
        <v>334</v>
      </c>
      <c r="B3624" s="80" t="s">
        <v>2481</v>
      </c>
      <c r="C3624" s="89" t="s">
        <v>985</v>
      </c>
    </row>
    <row r="3625" spans="1:3" ht="15">
      <c r="A3625" s="81" t="s">
        <v>334</v>
      </c>
      <c r="B3625" s="80" t="s">
        <v>2701</v>
      </c>
      <c r="C3625" s="89" t="s">
        <v>985</v>
      </c>
    </row>
    <row r="3626" spans="1:3" ht="15">
      <c r="A3626" s="81" t="s">
        <v>334</v>
      </c>
      <c r="B3626" s="80" t="s">
        <v>2702</v>
      </c>
      <c r="C3626" s="89" t="s">
        <v>985</v>
      </c>
    </row>
    <row r="3627" spans="1:3" ht="15">
      <c r="A3627" s="81" t="s">
        <v>334</v>
      </c>
      <c r="B3627" s="80" t="s">
        <v>2483</v>
      </c>
      <c r="C3627" s="89" t="s">
        <v>985</v>
      </c>
    </row>
    <row r="3628" spans="1:3" ht="15">
      <c r="A3628" s="81" t="s">
        <v>334</v>
      </c>
      <c r="B3628" s="80" t="s">
        <v>2484</v>
      </c>
      <c r="C3628" s="89" t="s">
        <v>985</v>
      </c>
    </row>
    <row r="3629" spans="1:3" ht="15">
      <c r="A3629" s="81" t="s">
        <v>334</v>
      </c>
      <c r="B3629" s="80" t="s">
        <v>2703</v>
      </c>
      <c r="C3629" s="89" t="s">
        <v>985</v>
      </c>
    </row>
    <row r="3630" spans="1:3" ht="15">
      <c r="A3630" s="81" t="s">
        <v>334</v>
      </c>
      <c r="B3630" s="80" t="s">
        <v>2485</v>
      </c>
      <c r="C3630" s="89" t="s">
        <v>985</v>
      </c>
    </row>
    <row r="3631" spans="1:3" ht="15">
      <c r="A3631" s="81" t="s">
        <v>334</v>
      </c>
      <c r="B3631" s="80" t="s">
        <v>2693</v>
      </c>
      <c r="C3631" s="89" t="s">
        <v>985</v>
      </c>
    </row>
    <row r="3632" spans="1:3" ht="15">
      <c r="A3632" s="81" t="s">
        <v>334</v>
      </c>
      <c r="B3632" s="80" t="s">
        <v>2486</v>
      </c>
      <c r="C3632" s="89" t="s">
        <v>985</v>
      </c>
    </row>
    <row r="3633" spans="1:3" ht="15">
      <c r="A3633" s="81" t="s">
        <v>334</v>
      </c>
      <c r="B3633" s="80" t="s">
        <v>2704</v>
      </c>
      <c r="C3633" s="89" t="s">
        <v>985</v>
      </c>
    </row>
    <row r="3634" spans="1:3" ht="15">
      <c r="A3634" s="81" t="s">
        <v>334</v>
      </c>
      <c r="B3634" s="80" t="s">
        <v>2691</v>
      </c>
      <c r="C3634" s="89" t="s">
        <v>985</v>
      </c>
    </row>
    <row r="3635" spans="1:3" ht="15">
      <c r="A3635" s="81" t="s">
        <v>334</v>
      </c>
      <c r="B3635" s="80" t="s">
        <v>2692</v>
      </c>
      <c r="C3635" s="89" t="s">
        <v>985</v>
      </c>
    </row>
    <row r="3636" spans="1:3" ht="15">
      <c r="A3636" s="81" t="s">
        <v>334</v>
      </c>
      <c r="B3636" s="80" t="s">
        <v>2477</v>
      </c>
      <c r="C3636" s="89" t="s">
        <v>985</v>
      </c>
    </row>
    <row r="3637" spans="1:3" ht="15">
      <c r="A3637" s="81" t="s">
        <v>334</v>
      </c>
      <c r="B3637" s="80" t="s">
        <v>2705</v>
      </c>
      <c r="C3637" s="89" t="s">
        <v>985</v>
      </c>
    </row>
    <row r="3638" spans="1:3" ht="15">
      <c r="A3638" s="81" t="s">
        <v>334</v>
      </c>
      <c r="B3638" s="80" t="s">
        <v>2706</v>
      </c>
      <c r="C3638" s="89" t="s">
        <v>985</v>
      </c>
    </row>
    <row r="3639" spans="1:3" ht="15">
      <c r="A3639" s="81" t="s">
        <v>334</v>
      </c>
      <c r="B3639" s="80" t="s">
        <v>2707</v>
      </c>
      <c r="C3639" s="89" t="s">
        <v>985</v>
      </c>
    </row>
    <row r="3640" spans="1:3" ht="15">
      <c r="A3640" s="81" t="s">
        <v>334</v>
      </c>
      <c r="B3640" s="80" t="s">
        <v>2708</v>
      </c>
      <c r="C3640" s="89" t="s">
        <v>985</v>
      </c>
    </row>
    <row r="3641" spans="1:3" ht="15">
      <c r="A3641" s="81" t="s">
        <v>334</v>
      </c>
      <c r="B3641" s="80" t="s">
        <v>2488</v>
      </c>
      <c r="C3641" s="89" t="s">
        <v>985</v>
      </c>
    </row>
    <row r="3642" spans="1:3" ht="15">
      <c r="A3642" s="81" t="s">
        <v>334</v>
      </c>
      <c r="B3642" s="80" t="s">
        <v>2709</v>
      </c>
      <c r="C3642" s="89" t="s">
        <v>985</v>
      </c>
    </row>
    <row r="3643" spans="1:3" ht="15">
      <c r="A3643" s="81" t="s">
        <v>334</v>
      </c>
      <c r="B3643" s="80" t="s">
        <v>2710</v>
      </c>
      <c r="C3643" s="89" t="s">
        <v>985</v>
      </c>
    </row>
    <row r="3644" spans="1:3" ht="15">
      <c r="A3644" s="81" t="s">
        <v>334</v>
      </c>
      <c r="B3644" s="80" t="s">
        <v>2478</v>
      </c>
      <c r="C3644" s="89" t="s">
        <v>985</v>
      </c>
    </row>
    <row r="3645" spans="1:3" ht="15">
      <c r="A3645" s="81" t="s">
        <v>334</v>
      </c>
      <c r="B3645" s="80" t="s">
        <v>2476</v>
      </c>
      <c r="C3645" s="89" t="s">
        <v>985</v>
      </c>
    </row>
    <row r="3646" spans="1:3" ht="15">
      <c r="A3646" s="81" t="s">
        <v>334</v>
      </c>
      <c r="B3646" s="80" t="s">
        <v>2711</v>
      </c>
      <c r="C3646" s="89" t="s">
        <v>985</v>
      </c>
    </row>
    <row r="3647" spans="1:3" ht="15">
      <c r="A3647" s="81" t="s">
        <v>334</v>
      </c>
      <c r="B3647" s="80" t="s">
        <v>65</v>
      </c>
      <c r="C3647" s="89" t="s">
        <v>985</v>
      </c>
    </row>
    <row r="3648" spans="1:3" ht="15">
      <c r="A3648" s="81" t="s">
        <v>334</v>
      </c>
      <c r="B3648" s="80" t="s">
        <v>2491</v>
      </c>
      <c r="C3648" s="89" t="s">
        <v>985</v>
      </c>
    </row>
    <row r="3649" spans="1:3" ht="15">
      <c r="A3649" s="81" t="s">
        <v>334</v>
      </c>
      <c r="B3649" s="80" t="s">
        <v>2691</v>
      </c>
      <c r="C3649" s="89" t="s">
        <v>984</v>
      </c>
    </row>
    <row r="3650" spans="1:3" ht="15">
      <c r="A3650" s="81" t="s">
        <v>334</v>
      </c>
      <c r="B3650" s="80" t="s">
        <v>2692</v>
      </c>
      <c r="C3650" s="89" t="s">
        <v>984</v>
      </c>
    </row>
    <row r="3651" spans="1:3" ht="15">
      <c r="A3651" s="81" t="s">
        <v>334</v>
      </c>
      <c r="B3651" s="80" t="s">
        <v>2494</v>
      </c>
      <c r="C3651" s="89" t="s">
        <v>984</v>
      </c>
    </row>
    <row r="3652" spans="1:3" ht="15">
      <c r="A3652" s="81" t="s">
        <v>334</v>
      </c>
      <c r="B3652" s="80" t="s">
        <v>2492</v>
      </c>
      <c r="C3652" s="89" t="s">
        <v>984</v>
      </c>
    </row>
    <row r="3653" spans="1:3" ht="15">
      <c r="A3653" s="81" t="s">
        <v>334</v>
      </c>
      <c r="B3653" s="80" t="s">
        <v>2495</v>
      </c>
      <c r="C3653" s="89" t="s">
        <v>984</v>
      </c>
    </row>
    <row r="3654" spans="1:3" ht="15">
      <c r="A3654" s="81" t="s">
        <v>334</v>
      </c>
      <c r="B3654" s="80" t="s">
        <v>2493</v>
      </c>
      <c r="C3654" s="89" t="s">
        <v>984</v>
      </c>
    </row>
    <row r="3655" spans="1:3" ht="15">
      <c r="A3655" s="81" t="s">
        <v>333</v>
      </c>
      <c r="B3655" s="80" t="s">
        <v>2700</v>
      </c>
      <c r="C3655" s="89" t="s">
        <v>983</v>
      </c>
    </row>
    <row r="3656" spans="1:3" ht="15">
      <c r="A3656" s="81" t="s">
        <v>333</v>
      </c>
      <c r="B3656" s="80" t="s">
        <v>2480</v>
      </c>
      <c r="C3656" s="89" t="s">
        <v>983</v>
      </c>
    </row>
    <row r="3657" spans="1:3" ht="15">
      <c r="A3657" s="81" t="s">
        <v>333</v>
      </c>
      <c r="B3657" s="80" t="s">
        <v>2481</v>
      </c>
      <c r="C3657" s="89" t="s">
        <v>983</v>
      </c>
    </row>
    <row r="3658" spans="1:3" ht="15">
      <c r="A3658" s="81" t="s">
        <v>333</v>
      </c>
      <c r="B3658" s="80" t="s">
        <v>2701</v>
      </c>
      <c r="C3658" s="89" t="s">
        <v>983</v>
      </c>
    </row>
    <row r="3659" spans="1:3" ht="15">
      <c r="A3659" s="81" t="s">
        <v>333</v>
      </c>
      <c r="B3659" s="80" t="s">
        <v>2702</v>
      </c>
      <c r="C3659" s="89" t="s">
        <v>983</v>
      </c>
    </row>
    <row r="3660" spans="1:3" ht="15">
      <c r="A3660" s="81" t="s">
        <v>333</v>
      </c>
      <c r="B3660" s="80" t="s">
        <v>2483</v>
      </c>
      <c r="C3660" s="89" t="s">
        <v>983</v>
      </c>
    </row>
    <row r="3661" spans="1:3" ht="15">
      <c r="A3661" s="81" t="s">
        <v>333</v>
      </c>
      <c r="B3661" s="80" t="s">
        <v>2484</v>
      </c>
      <c r="C3661" s="89" t="s">
        <v>983</v>
      </c>
    </row>
    <row r="3662" spans="1:3" ht="15">
      <c r="A3662" s="81" t="s">
        <v>333</v>
      </c>
      <c r="B3662" s="80" t="s">
        <v>2703</v>
      </c>
      <c r="C3662" s="89" t="s">
        <v>983</v>
      </c>
    </row>
    <row r="3663" spans="1:3" ht="15">
      <c r="A3663" s="81" t="s">
        <v>333</v>
      </c>
      <c r="B3663" s="80" t="s">
        <v>2485</v>
      </c>
      <c r="C3663" s="89" t="s">
        <v>983</v>
      </c>
    </row>
    <row r="3664" spans="1:3" ht="15">
      <c r="A3664" s="81" t="s">
        <v>333</v>
      </c>
      <c r="B3664" s="80" t="s">
        <v>2693</v>
      </c>
      <c r="C3664" s="89" t="s">
        <v>983</v>
      </c>
    </row>
    <row r="3665" spans="1:3" ht="15">
      <c r="A3665" s="81" t="s">
        <v>333</v>
      </c>
      <c r="B3665" s="80" t="s">
        <v>2486</v>
      </c>
      <c r="C3665" s="89" t="s">
        <v>983</v>
      </c>
    </row>
    <row r="3666" spans="1:3" ht="15">
      <c r="A3666" s="81" t="s">
        <v>333</v>
      </c>
      <c r="B3666" s="80" t="s">
        <v>2704</v>
      </c>
      <c r="C3666" s="89" t="s">
        <v>983</v>
      </c>
    </row>
    <row r="3667" spans="1:3" ht="15">
      <c r="A3667" s="81" t="s">
        <v>333</v>
      </c>
      <c r="B3667" s="80" t="s">
        <v>2691</v>
      </c>
      <c r="C3667" s="89" t="s">
        <v>983</v>
      </c>
    </row>
    <row r="3668" spans="1:3" ht="15">
      <c r="A3668" s="81" t="s">
        <v>333</v>
      </c>
      <c r="B3668" s="80" t="s">
        <v>2692</v>
      </c>
      <c r="C3668" s="89" t="s">
        <v>983</v>
      </c>
    </row>
    <row r="3669" spans="1:3" ht="15">
      <c r="A3669" s="81" t="s">
        <v>333</v>
      </c>
      <c r="B3669" s="80" t="s">
        <v>2477</v>
      </c>
      <c r="C3669" s="89" t="s">
        <v>983</v>
      </c>
    </row>
    <row r="3670" spans="1:3" ht="15">
      <c r="A3670" s="81" t="s">
        <v>333</v>
      </c>
      <c r="B3670" s="80" t="s">
        <v>2705</v>
      </c>
      <c r="C3670" s="89" t="s">
        <v>983</v>
      </c>
    </row>
    <row r="3671" spans="1:3" ht="15">
      <c r="A3671" s="81" t="s">
        <v>333</v>
      </c>
      <c r="B3671" s="80" t="s">
        <v>2706</v>
      </c>
      <c r="C3671" s="89" t="s">
        <v>983</v>
      </c>
    </row>
    <row r="3672" spans="1:3" ht="15">
      <c r="A3672" s="81" t="s">
        <v>333</v>
      </c>
      <c r="B3672" s="80" t="s">
        <v>2707</v>
      </c>
      <c r="C3672" s="89" t="s">
        <v>983</v>
      </c>
    </row>
    <row r="3673" spans="1:3" ht="15">
      <c r="A3673" s="81" t="s">
        <v>333</v>
      </c>
      <c r="B3673" s="80" t="s">
        <v>2708</v>
      </c>
      <c r="C3673" s="89" t="s">
        <v>983</v>
      </c>
    </row>
    <row r="3674" spans="1:3" ht="15">
      <c r="A3674" s="81" t="s">
        <v>333</v>
      </c>
      <c r="B3674" s="80" t="s">
        <v>2488</v>
      </c>
      <c r="C3674" s="89" t="s">
        <v>983</v>
      </c>
    </row>
    <row r="3675" spans="1:3" ht="15">
      <c r="A3675" s="81" t="s">
        <v>333</v>
      </c>
      <c r="B3675" s="80" t="s">
        <v>2709</v>
      </c>
      <c r="C3675" s="89" t="s">
        <v>983</v>
      </c>
    </row>
    <row r="3676" spans="1:3" ht="15">
      <c r="A3676" s="81" t="s">
        <v>333</v>
      </c>
      <c r="B3676" s="80" t="s">
        <v>2710</v>
      </c>
      <c r="C3676" s="89" t="s">
        <v>983</v>
      </c>
    </row>
    <row r="3677" spans="1:3" ht="15">
      <c r="A3677" s="81" t="s">
        <v>333</v>
      </c>
      <c r="B3677" s="80" t="s">
        <v>2478</v>
      </c>
      <c r="C3677" s="89" t="s">
        <v>983</v>
      </c>
    </row>
    <row r="3678" spans="1:3" ht="15">
      <c r="A3678" s="81" t="s">
        <v>333</v>
      </c>
      <c r="B3678" s="80" t="s">
        <v>2476</v>
      </c>
      <c r="C3678" s="89" t="s">
        <v>983</v>
      </c>
    </row>
    <row r="3679" spans="1:3" ht="15">
      <c r="A3679" s="81" t="s">
        <v>333</v>
      </c>
      <c r="B3679" s="80" t="s">
        <v>2711</v>
      </c>
      <c r="C3679" s="89" t="s">
        <v>983</v>
      </c>
    </row>
    <row r="3680" spans="1:3" ht="15">
      <c r="A3680" s="81" t="s">
        <v>333</v>
      </c>
      <c r="B3680" s="80" t="s">
        <v>65</v>
      </c>
      <c r="C3680" s="89" t="s">
        <v>983</v>
      </c>
    </row>
    <row r="3681" spans="1:3" ht="15">
      <c r="A3681" s="81" t="s">
        <v>333</v>
      </c>
      <c r="B3681" s="80" t="s">
        <v>2491</v>
      </c>
      <c r="C3681" s="89" t="s">
        <v>983</v>
      </c>
    </row>
    <row r="3682" spans="1:3" ht="15">
      <c r="A3682" s="81" t="s">
        <v>332</v>
      </c>
      <c r="B3682" s="80" t="s">
        <v>2691</v>
      </c>
      <c r="C3682" s="89" t="s">
        <v>982</v>
      </c>
    </row>
    <row r="3683" spans="1:3" ht="15">
      <c r="A3683" s="81" t="s">
        <v>332</v>
      </c>
      <c r="B3683" s="80" t="s">
        <v>2692</v>
      </c>
      <c r="C3683" s="89" t="s">
        <v>982</v>
      </c>
    </row>
    <row r="3684" spans="1:3" ht="15">
      <c r="A3684" s="81" t="s">
        <v>332</v>
      </c>
      <c r="B3684" s="80" t="s">
        <v>2494</v>
      </c>
      <c r="C3684" s="89" t="s">
        <v>982</v>
      </c>
    </row>
    <row r="3685" spans="1:3" ht="15">
      <c r="A3685" s="81" t="s">
        <v>332</v>
      </c>
      <c r="B3685" s="80" t="s">
        <v>2492</v>
      </c>
      <c r="C3685" s="89" t="s">
        <v>982</v>
      </c>
    </row>
    <row r="3686" spans="1:3" ht="15">
      <c r="A3686" s="81" t="s">
        <v>332</v>
      </c>
      <c r="B3686" s="80" t="s">
        <v>2495</v>
      </c>
      <c r="C3686" s="89" t="s">
        <v>982</v>
      </c>
    </row>
    <row r="3687" spans="1:3" ht="15">
      <c r="A3687" s="81" t="s">
        <v>332</v>
      </c>
      <c r="B3687" s="80" t="s">
        <v>2493</v>
      </c>
      <c r="C3687" s="89" t="s">
        <v>982</v>
      </c>
    </row>
    <row r="3688" spans="1:3" ht="15">
      <c r="A3688" s="81" t="s">
        <v>331</v>
      </c>
      <c r="B3688" s="80" t="s">
        <v>3008</v>
      </c>
      <c r="C3688" s="89" t="s">
        <v>981</v>
      </c>
    </row>
    <row r="3689" spans="1:3" ht="15">
      <c r="A3689" s="81" t="s">
        <v>331</v>
      </c>
      <c r="B3689" s="80" t="s">
        <v>3009</v>
      </c>
      <c r="C3689" s="89" t="s">
        <v>981</v>
      </c>
    </row>
    <row r="3690" spans="1:3" ht="15">
      <c r="A3690" s="81" t="s">
        <v>331</v>
      </c>
      <c r="B3690" s="80" t="s">
        <v>3010</v>
      </c>
      <c r="C3690" s="89" t="s">
        <v>981</v>
      </c>
    </row>
    <row r="3691" spans="1:3" ht="15">
      <c r="A3691" s="81" t="s">
        <v>331</v>
      </c>
      <c r="B3691" s="80" t="s">
        <v>2579</v>
      </c>
      <c r="C3691" s="89" t="s">
        <v>981</v>
      </c>
    </row>
    <row r="3692" spans="1:3" ht="15">
      <c r="A3692" s="81" t="s">
        <v>331</v>
      </c>
      <c r="B3692" s="80" t="s">
        <v>3011</v>
      </c>
      <c r="C3692" s="89" t="s">
        <v>981</v>
      </c>
    </row>
    <row r="3693" spans="1:3" ht="15">
      <c r="A3693" s="81" t="s">
        <v>331</v>
      </c>
      <c r="B3693" s="80" t="s">
        <v>3012</v>
      </c>
      <c r="C3693" s="89" t="s">
        <v>981</v>
      </c>
    </row>
    <row r="3694" spans="1:3" ht="15">
      <c r="A3694" s="81" t="s">
        <v>331</v>
      </c>
      <c r="B3694" s="80" t="s">
        <v>3013</v>
      </c>
      <c r="C3694" s="89" t="s">
        <v>981</v>
      </c>
    </row>
    <row r="3695" spans="1:3" ht="15">
      <c r="A3695" s="81" t="s">
        <v>331</v>
      </c>
      <c r="B3695" s="80" t="s">
        <v>1471</v>
      </c>
      <c r="C3695" s="89" t="s">
        <v>981</v>
      </c>
    </row>
    <row r="3696" spans="1:3" ht="15">
      <c r="A3696" s="81" t="s">
        <v>331</v>
      </c>
      <c r="B3696" s="80" t="s">
        <v>3014</v>
      </c>
      <c r="C3696" s="89" t="s">
        <v>981</v>
      </c>
    </row>
    <row r="3697" spans="1:3" ht="15">
      <c r="A3697" s="81" t="s">
        <v>331</v>
      </c>
      <c r="B3697" s="80" t="s">
        <v>2882</v>
      </c>
      <c r="C3697" s="89" t="s">
        <v>981</v>
      </c>
    </row>
    <row r="3698" spans="1:3" ht="15">
      <c r="A3698" s="81" t="s">
        <v>331</v>
      </c>
      <c r="B3698" s="80" t="s">
        <v>3015</v>
      </c>
      <c r="C3698" s="89" t="s">
        <v>981</v>
      </c>
    </row>
    <row r="3699" spans="1:3" ht="15">
      <c r="A3699" s="81" t="s">
        <v>331</v>
      </c>
      <c r="B3699" s="80" t="s">
        <v>3016</v>
      </c>
      <c r="C3699" s="89" t="s">
        <v>981</v>
      </c>
    </row>
    <row r="3700" spans="1:3" ht="15">
      <c r="A3700" s="81" t="s">
        <v>331</v>
      </c>
      <c r="B3700" s="80" t="s">
        <v>3017</v>
      </c>
      <c r="C3700" s="89" t="s">
        <v>981</v>
      </c>
    </row>
    <row r="3701" spans="1:3" ht="15">
      <c r="A3701" s="81" t="s">
        <v>331</v>
      </c>
      <c r="B3701" s="80" t="s">
        <v>594</v>
      </c>
      <c r="C3701" s="89" t="s">
        <v>981</v>
      </c>
    </row>
    <row r="3702" spans="1:3" ht="15">
      <c r="A3702" s="81" t="s">
        <v>330</v>
      </c>
      <c r="B3702" s="80" t="s">
        <v>2700</v>
      </c>
      <c r="C3702" s="89" t="s">
        <v>980</v>
      </c>
    </row>
    <row r="3703" spans="1:3" ht="15">
      <c r="A3703" s="81" t="s">
        <v>330</v>
      </c>
      <c r="B3703" s="80" t="s">
        <v>2480</v>
      </c>
      <c r="C3703" s="89" t="s">
        <v>980</v>
      </c>
    </row>
    <row r="3704" spans="1:3" ht="15">
      <c r="A3704" s="81" t="s">
        <v>330</v>
      </c>
      <c r="B3704" s="80" t="s">
        <v>2481</v>
      </c>
      <c r="C3704" s="89" t="s">
        <v>980</v>
      </c>
    </row>
    <row r="3705" spans="1:3" ht="15">
      <c r="A3705" s="81" t="s">
        <v>330</v>
      </c>
      <c r="B3705" s="80" t="s">
        <v>2701</v>
      </c>
      <c r="C3705" s="89" t="s">
        <v>980</v>
      </c>
    </row>
    <row r="3706" spans="1:3" ht="15">
      <c r="A3706" s="81" t="s">
        <v>330</v>
      </c>
      <c r="B3706" s="80" t="s">
        <v>2702</v>
      </c>
      <c r="C3706" s="89" t="s">
        <v>980</v>
      </c>
    </row>
    <row r="3707" spans="1:3" ht="15">
      <c r="A3707" s="81" t="s">
        <v>330</v>
      </c>
      <c r="B3707" s="80" t="s">
        <v>2483</v>
      </c>
      <c r="C3707" s="89" t="s">
        <v>980</v>
      </c>
    </row>
    <row r="3708" spans="1:3" ht="15">
      <c r="A3708" s="81" t="s">
        <v>330</v>
      </c>
      <c r="B3708" s="80" t="s">
        <v>2484</v>
      </c>
      <c r="C3708" s="89" t="s">
        <v>980</v>
      </c>
    </row>
    <row r="3709" spans="1:3" ht="15">
      <c r="A3709" s="81" t="s">
        <v>330</v>
      </c>
      <c r="B3709" s="80" t="s">
        <v>2703</v>
      </c>
      <c r="C3709" s="89" t="s">
        <v>980</v>
      </c>
    </row>
    <row r="3710" spans="1:3" ht="15">
      <c r="A3710" s="81" t="s">
        <v>330</v>
      </c>
      <c r="B3710" s="80" t="s">
        <v>2485</v>
      </c>
      <c r="C3710" s="89" t="s">
        <v>980</v>
      </c>
    </row>
    <row r="3711" spans="1:3" ht="15">
      <c r="A3711" s="81" t="s">
        <v>330</v>
      </c>
      <c r="B3711" s="80" t="s">
        <v>2693</v>
      </c>
      <c r="C3711" s="89" t="s">
        <v>980</v>
      </c>
    </row>
    <row r="3712" spans="1:3" ht="15">
      <c r="A3712" s="81" t="s">
        <v>330</v>
      </c>
      <c r="B3712" s="80" t="s">
        <v>2486</v>
      </c>
      <c r="C3712" s="89" t="s">
        <v>980</v>
      </c>
    </row>
    <row r="3713" spans="1:3" ht="15">
      <c r="A3713" s="81" t="s">
        <v>330</v>
      </c>
      <c r="B3713" s="80" t="s">
        <v>2704</v>
      </c>
      <c r="C3713" s="89" t="s">
        <v>980</v>
      </c>
    </row>
    <row r="3714" spans="1:3" ht="15">
      <c r="A3714" s="81" t="s">
        <v>330</v>
      </c>
      <c r="B3714" s="80" t="s">
        <v>2691</v>
      </c>
      <c r="C3714" s="89" t="s">
        <v>980</v>
      </c>
    </row>
    <row r="3715" spans="1:3" ht="15">
      <c r="A3715" s="81" t="s">
        <v>330</v>
      </c>
      <c r="B3715" s="80" t="s">
        <v>2692</v>
      </c>
      <c r="C3715" s="89" t="s">
        <v>980</v>
      </c>
    </row>
    <row r="3716" spans="1:3" ht="15">
      <c r="A3716" s="81" t="s">
        <v>330</v>
      </c>
      <c r="B3716" s="80" t="s">
        <v>2477</v>
      </c>
      <c r="C3716" s="89" t="s">
        <v>980</v>
      </c>
    </row>
    <row r="3717" spans="1:3" ht="15">
      <c r="A3717" s="81" t="s">
        <v>330</v>
      </c>
      <c r="B3717" s="80" t="s">
        <v>2705</v>
      </c>
      <c r="C3717" s="89" t="s">
        <v>980</v>
      </c>
    </row>
    <row r="3718" spans="1:3" ht="15">
      <c r="A3718" s="81" t="s">
        <v>330</v>
      </c>
      <c r="B3718" s="80" t="s">
        <v>2706</v>
      </c>
      <c r="C3718" s="89" t="s">
        <v>980</v>
      </c>
    </row>
    <row r="3719" spans="1:3" ht="15">
      <c r="A3719" s="81" t="s">
        <v>330</v>
      </c>
      <c r="B3719" s="80" t="s">
        <v>2707</v>
      </c>
      <c r="C3719" s="89" t="s">
        <v>980</v>
      </c>
    </row>
    <row r="3720" spans="1:3" ht="15">
      <c r="A3720" s="81" t="s">
        <v>330</v>
      </c>
      <c r="B3720" s="80" t="s">
        <v>2708</v>
      </c>
      <c r="C3720" s="89" t="s">
        <v>980</v>
      </c>
    </row>
    <row r="3721" spans="1:3" ht="15">
      <c r="A3721" s="81" t="s">
        <v>330</v>
      </c>
      <c r="B3721" s="80" t="s">
        <v>2488</v>
      </c>
      <c r="C3721" s="89" t="s">
        <v>980</v>
      </c>
    </row>
    <row r="3722" spans="1:3" ht="15">
      <c r="A3722" s="81" t="s">
        <v>330</v>
      </c>
      <c r="B3722" s="80" t="s">
        <v>2709</v>
      </c>
      <c r="C3722" s="89" t="s">
        <v>980</v>
      </c>
    </row>
    <row r="3723" spans="1:3" ht="15">
      <c r="A3723" s="81" t="s">
        <v>330</v>
      </c>
      <c r="B3723" s="80" t="s">
        <v>2710</v>
      </c>
      <c r="C3723" s="89" t="s">
        <v>980</v>
      </c>
    </row>
    <row r="3724" spans="1:3" ht="15">
      <c r="A3724" s="81" t="s">
        <v>330</v>
      </c>
      <c r="B3724" s="80" t="s">
        <v>2478</v>
      </c>
      <c r="C3724" s="89" t="s">
        <v>980</v>
      </c>
    </row>
    <row r="3725" spans="1:3" ht="15">
      <c r="A3725" s="81" t="s">
        <v>330</v>
      </c>
      <c r="B3725" s="80" t="s">
        <v>2476</v>
      </c>
      <c r="C3725" s="89" t="s">
        <v>980</v>
      </c>
    </row>
    <row r="3726" spans="1:3" ht="15">
      <c r="A3726" s="81" t="s">
        <v>330</v>
      </c>
      <c r="B3726" s="80" t="s">
        <v>2711</v>
      </c>
      <c r="C3726" s="89" t="s">
        <v>980</v>
      </c>
    </row>
    <row r="3727" spans="1:3" ht="15">
      <c r="A3727" s="81" t="s">
        <v>330</v>
      </c>
      <c r="B3727" s="80" t="s">
        <v>65</v>
      </c>
      <c r="C3727" s="89" t="s">
        <v>980</v>
      </c>
    </row>
    <row r="3728" spans="1:3" ht="15">
      <c r="A3728" s="81" t="s">
        <v>330</v>
      </c>
      <c r="B3728" s="80" t="s">
        <v>2491</v>
      </c>
      <c r="C3728" s="89" t="s">
        <v>980</v>
      </c>
    </row>
    <row r="3729" spans="1:3" ht="15">
      <c r="A3729" s="81" t="s">
        <v>329</v>
      </c>
      <c r="B3729" s="80" t="s">
        <v>2700</v>
      </c>
      <c r="C3729" s="89" t="s">
        <v>979</v>
      </c>
    </row>
    <row r="3730" spans="1:3" ht="15">
      <c r="A3730" s="81" t="s">
        <v>329</v>
      </c>
      <c r="B3730" s="80" t="s">
        <v>2480</v>
      </c>
      <c r="C3730" s="89" t="s">
        <v>979</v>
      </c>
    </row>
    <row r="3731" spans="1:3" ht="15">
      <c r="A3731" s="81" t="s">
        <v>329</v>
      </c>
      <c r="B3731" s="80" t="s">
        <v>2481</v>
      </c>
      <c r="C3731" s="89" t="s">
        <v>979</v>
      </c>
    </row>
    <row r="3732" spans="1:3" ht="15">
      <c r="A3732" s="81" t="s">
        <v>329</v>
      </c>
      <c r="B3732" s="80" t="s">
        <v>2701</v>
      </c>
      <c r="C3732" s="89" t="s">
        <v>979</v>
      </c>
    </row>
    <row r="3733" spans="1:3" ht="15">
      <c r="A3733" s="81" t="s">
        <v>329</v>
      </c>
      <c r="B3733" s="80" t="s">
        <v>2702</v>
      </c>
      <c r="C3733" s="89" t="s">
        <v>979</v>
      </c>
    </row>
    <row r="3734" spans="1:3" ht="15">
      <c r="A3734" s="81" t="s">
        <v>329</v>
      </c>
      <c r="B3734" s="80" t="s">
        <v>2483</v>
      </c>
      <c r="C3734" s="89" t="s">
        <v>979</v>
      </c>
    </row>
    <row r="3735" spans="1:3" ht="15">
      <c r="A3735" s="81" t="s">
        <v>329</v>
      </c>
      <c r="B3735" s="80" t="s">
        <v>2484</v>
      </c>
      <c r="C3735" s="89" t="s">
        <v>979</v>
      </c>
    </row>
    <row r="3736" spans="1:3" ht="15">
      <c r="A3736" s="81" t="s">
        <v>329</v>
      </c>
      <c r="B3736" s="80" t="s">
        <v>2703</v>
      </c>
      <c r="C3736" s="89" t="s">
        <v>979</v>
      </c>
    </row>
    <row r="3737" spans="1:3" ht="15">
      <c r="A3737" s="81" t="s">
        <v>329</v>
      </c>
      <c r="B3737" s="80" t="s">
        <v>2485</v>
      </c>
      <c r="C3737" s="89" t="s">
        <v>979</v>
      </c>
    </row>
    <row r="3738" spans="1:3" ht="15">
      <c r="A3738" s="81" t="s">
        <v>329</v>
      </c>
      <c r="B3738" s="80" t="s">
        <v>2693</v>
      </c>
      <c r="C3738" s="89" t="s">
        <v>979</v>
      </c>
    </row>
    <row r="3739" spans="1:3" ht="15">
      <c r="A3739" s="81" t="s">
        <v>329</v>
      </c>
      <c r="B3739" s="80" t="s">
        <v>2486</v>
      </c>
      <c r="C3739" s="89" t="s">
        <v>979</v>
      </c>
    </row>
    <row r="3740" spans="1:3" ht="15">
      <c r="A3740" s="81" t="s">
        <v>329</v>
      </c>
      <c r="B3740" s="80" t="s">
        <v>2704</v>
      </c>
      <c r="C3740" s="89" t="s">
        <v>979</v>
      </c>
    </row>
    <row r="3741" spans="1:3" ht="15">
      <c r="A3741" s="81" t="s">
        <v>329</v>
      </c>
      <c r="B3741" s="80" t="s">
        <v>2691</v>
      </c>
      <c r="C3741" s="89" t="s">
        <v>979</v>
      </c>
    </row>
    <row r="3742" spans="1:3" ht="15">
      <c r="A3742" s="81" t="s">
        <v>329</v>
      </c>
      <c r="B3742" s="80" t="s">
        <v>2692</v>
      </c>
      <c r="C3742" s="89" t="s">
        <v>979</v>
      </c>
    </row>
    <row r="3743" spans="1:3" ht="15">
      <c r="A3743" s="81" t="s">
        <v>329</v>
      </c>
      <c r="B3743" s="80" t="s">
        <v>2477</v>
      </c>
      <c r="C3743" s="89" t="s">
        <v>979</v>
      </c>
    </row>
    <row r="3744" spans="1:3" ht="15">
      <c r="A3744" s="81" t="s">
        <v>329</v>
      </c>
      <c r="B3744" s="80" t="s">
        <v>2705</v>
      </c>
      <c r="C3744" s="89" t="s">
        <v>979</v>
      </c>
    </row>
    <row r="3745" spans="1:3" ht="15">
      <c r="A3745" s="81" t="s">
        <v>329</v>
      </c>
      <c r="B3745" s="80" t="s">
        <v>2706</v>
      </c>
      <c r="C3745" s="89" t="s">
        <v>979</v>
      </c>
    </row>
    <row r="3746" spans="1:3" ht="15">
      <c r="A3746" s="81" t="s">
        <v>329</v>
      </c>
      <c r="B3746" s="80" t="s">
        <v>2707</v>
      </c>
      <c r="C3746" s="89" t="s">
        <v>979</v>
      </c>
    </row>
    <row r="3747" spans="1:3" ht="15">
      <c r="A3747" s="81" t="s">
        <v>329</v>
      </c>
      <c r="B3747" s="80" t="s">
        <v>2708</v>
      </c>
      <c r="C3747" s="89" t="s">
        <v>979</v>
      </c>
    </row>
    <row r="3748" spans="1:3" ht="15">
      <c r="A3748" s="81" t="s">
        <v>329</v>
      </c>
      <c r="B3748" s="80" t="s">
        <v>2488</v>
      </c>
      <c r="C3748" s="89" t="s">
        <v>979</v>
      </c>
    </row>
    <row r="3749" spans="1:3" ht="15">
      <c r="A3749" s="81" t="s">
        <v>329</v>
      </c>
      <c r="B3749" s="80" t="s">
        <v>2709</v>
      </c>
      <c r="C3749" s="89" t="s">
        <v>979</v>
      </c>
    </row>
    <row r="3750" spans="1:3" ht="15">
      <c r="A3750" s="81" t="s">
        <v>329</v>
      </c>
      <c r="B3750" s="80" t="s">
        <v>2710</v>
      </c>
      <c r="C3750" s="89" t="s">
        <v>979</v>
      </c>
    </row>
    <row r="3751" spans="1:3" ht="15">
      <c r="A3751" s="81" t="s">
        <v>329</v>
      </c>
      <c r="B3751" s="80" t="s">
        <v>2478</v>
      </c>
      <c r="C3751" s="89" t="s">
        <v>979</v>
      </c>
    </row>
    <row r="3752" spans="1:3" ht="15">
      <c r="A3752" s="81" t="s">
        <v>329</v>
      </c>
      <c r="B3752" s="80" t="s">
        <v>2476</v>
      </c>
      <c r="C3752" s="89" t="s">
        <v>979</v>
      </c>
    </row>
    <row r="3753" spans="1:3" ht="15">
      <c r="A3753" s="81" t="s">
        <v>329</v>
      </c>
      <c r="B3753" s="80" t="s">
        <v>2711</v>
      </c>
      <c r="C3753" s="89" t="s">
        <v>979</v>
      </c>
    </row>
    <row r="3754" spans="1:3" ht="15">
      <c r="A3754" s="81" t="s">
        <v>329</v>
      </c>
      <c r="B3754" s="80" t="s">
        <v>65</v>
      </c>
      <c r="C3754" s="89" t="s">
        <v>979</v>
      </c>
    </row>
    <row r="3755" spans="1:3" ht="15">
      <c r="A3755" s="81" t="s">
        <v>329</v>
      </c>
      <c r="B3755" s="80" t="s">
        <v>2491</v>
      </c>
      <c r="C3755" s="89" t="s">
        <v>979</v>
      </c>
    </row>
    <row r="3756" spans="1:3" ht="15">
      <c r="A3756" s="81" t="s">
        <v>328</v>
      </c>
      <c r="B3756" s="80" t="s">
        <v>2700</v>
      </c>
      <c r="C3756" s="89" t="s">
        <v>978</v>
      </c>
    </row>
    <row r="3757" spans="1:3" ht="15">
      <c r="A3757" s="81" t="s">
        <v>328</v>
      </c>
      <c r="B3757" s="80" t="s">
        <v>2480</v>
      </c>
      <c r="C3757" s="89" t="s">
        <v>978</v>
      </c>
    </row>
    <row r="3758" spans="1:3" ht="15">
      <c r="A3758" s="81" t="s">
        <v>328</v>
      </c>
      <c r="B3758" s="80" t="s">
        <v>2481</v>
      </c>
      <c r="C3758" s="89" t="s">
        <v>978</v>
      </c>
    </row>
    <row r="3759" spans="1:3" ht="15">
      <c r="A3759" s="81" t="s">
        <v>328</v>
      </c>
      <c r="B3759" s="80" t="s">
        <v>2701</v>
      </c>
      <c r="C3759" s="89" t="s">
        <v>978</v>
      </c>
    </row>
    <row r="3760" spans="1:3" ht="15">
      <c r="A3760" s="81" t="s">
        <v>328</v>
      </c>
      <c r="B3760" s="80" t="s">
        <v>2702</v>
      </c>
      <c r="C3760" s="89" t="s">
        <v>978</v>
      </c>
    </row>
    <row r="3761" spans="1:3" ht="15">
      <c r="A3761" s="81" t="s">
        <v>328</v>
      </c>
      <c r="B3761" s="80" t="s">
        <v>2483</v>
      </c>
      <c r="C3761" s="89" t="s">
        <v>978</v>
      </c>
    </row>
    <row r="3762" spans="1:3" ht="15">
      <c r="A3762" s="81" t="s">
        <v>328</v>
      </c>
      <c r="B3762" s="80" t="s">
        <v>2484</v>
      </c>
      <c r="C3762" s="89" t="s">
        <v>978</v>
      </c>
    </row>
    <row r="3763" spans="1:3" ht="15">
      <c r="A3763" s="81" t="s">
        <v>328</v>
      </c>
      <c r="B3763" s="80" t="s">
        <v>2703</v>
      </c>
      <c r="C3763" s="89" t="s">
        <v>978</v>
      </c>
    </row>
    <row r="3764" spans="1:3" ht="15">
      <c r="A3764" s="81" t="s">
        <v>328</v>
      </c>
      <c r="B3764" s="80" t="s">
        <v>2485</v>
      </c>
      <c r="C3764" s="89" t="s">
        <v>978</v>
      </c>
    </row>
    <row r="3765" spans="1:3" ht="15">
      <c r="A3765" s="81" t="s">
        <v>328</v>
      </c>
      <c r="B3765" s="80" t="s">
        <v>2693</v>
      </c>
      <c r="C3765" s="89" t="s">
        <v>978</v>
      </c>
    </row>
    <row r="3766" spans="1:3" ht="15">
      <c r="A3766" s="81" t="s">
        <v>328</v>
      </c>
      <c r="B3766" s="80" t="s">
        <v>2486</v>
      </c>
      <c r="C3766" s="89" t="s">
        <v>978</v>
      </c>
    </row>
    <row r="3767" spans="1:3" ht="15">
      <c r="A3767" s="81" t="s">
        <v>328</v>
      </c>
      <c r="B3767" s="80" t="s">
        <v>2704</v>
      </c>
      <c r="C3767" s="89" t="s">
        <v>978</v>
      </c>
    </row>
    <row r="3768" spans="1:3" ht="15">
      <c r="A3768" s="81" t="s">
        <v>328</v>
      </c>
      <c r="B3768" s="80" t="s">
        <v>2691</v>
      </c>
      <c r="C3768" s="89" t="s">
        <v>978</v>
      </c>
    </row>
    <row r="3769" spans="1:3" ht="15">
      <c r="A3769" s="81" t="s">
        <v>328</v>
      </c>
      <c r="B3769" s="80" t="s">
        <v>2692</v>
      </c>
      <c r="C3769" s="89" t="s">
        <v>978</v>
      </c>
    </row>
    <row r="3770" spans="1:3" ht="15">
      <c r="A3770" s="81" t="s">
        <v>328</v>
      </c>
      <c r="B3770" s="80" t="s">
        <v>2477</v>
      </c>
      <c r="C3770" s="89" t="s">
        <v>978</v>
      </c>
    </row>
    <row r="3771" spans="1:3" ht="15">
      <c r="A3771" s="81" t="s">
        <v>328</v>
      </c>
      <c r="B3771" s="80" t="s">
        <v>2705</v>
      </c>
      <c r="C3771" s="89" t="s">
        <v>978</v>
      </c>
    </row>
    <row r="3772" spans="1:3" ht="15">
      <c r="A3772" s="81" t="s">
        <v>328</v>
      </c>
      <c r="B3772" s="80" t="s">
        <v>2706</v>
      </c>
      <c r="C3772" s="89" t="s">
        <v>978</v>
      </c>
    </row>
    <row r="3773" spans="1:3" ht="15">
      <c r="A3773" s="81" t="s">
        <v>328</v>
      </c>
      <c r="B3773" s="80" t="s">
        <v>2707</v>
      </c>
      <c r="C3773" s="89" t="s">
        <v>978</v>
      </c>
    </row>
    <row r="3774" spans="1:3" ht="15">
      <c r="A3774" s="81" t="s">
        <v>328</v>
      </c>
      <c r="B3774" s="80" t="s">
        <v>2708</v>
      </c>
      <c r="C3774" s="89" t="s">
        <v>978</v>
      </c>
    </row>
    <row r="3775" spans="1:3" ht="15">
      <c r="A3775" s="81" t="s">
        <v>328</v>
      </c>
      <c r="B3775" s="80" t="s">
        <v>2488</v>
      </c>
      <c r="C3775" s="89" t="s">
        <v>978</v>
      </c>
    </row>
    <row r="3776" spans="1:3" ht="15">
      <c r="A3776" s="81" t="s">
        <v>328</v>
      </c>
      <c r="B3776" s="80" t="s">
        <v>2709</v>
      </c>
      <c r="C3776" s="89" t="s">
        <v>978</v>
      </c>
    </row>
    <row r="3777" spans="1:3" ht="15">
      <c r="A3777" s="81" t="s">
        <v>328</v>
      </c>
      <c r="B3777" s="80" t="s">
        <v>2710</v>
      </c>
      <c r="C3777" s="89" t="s">
        <v>978</v>
      </c>
    </row>
    <row r="3778" spans="1:3" ht="15">
      <c r="A3778" s="81" t="s">
        <v>328</v>
      </c>
      <c r="B3778" s="80" t="s">
        <v>2478</v>
      </c>
      <c r="C3778" s="89" t="s">
        <v>978</v>
      </c>
    </row>
    <row r="3779" spans="1:3" ht="15">
      <c r="A3779" s="81" t="s">
        <v>328</v>
      </c>
      <c r="B3779" s="80" t="s">
        <v>2476</v>
      </c>
      <c r="C3779" s="89" t="s">
        <v>978</v>
      </c>
    </row>
    <row r="3780" spans="1:3" ht="15">
      <c r="A3780" s="81" t="s">
        <v>328</v>
      </c>
      <c r="B3780" s="80" t="s">
        <v>2711</v>
      </c>
      <c r="C3780" s="89" t="s">
        <v>978</v>
      </c>
    </row>
    <row r="3781" spans="1:3" ht="15">
      <c r="A3781" s="81" t="s">
        <v>328</v>
      </c>
      <c r="B3781" s="80" t="s">
        <v>65</v>
      </c>
      <c r="C3781" s="89" t="s">
        <v>978</v>
      </c>
    </row>
    <row r="3782" spans="1:3" ht="15">
      <c r="A3782" s="81" t="s">
        <v>328</v>
      </c>
      <c r="B3782" s="80" t="s">
        <v>2491</v>
      </c>
      <c r="C3782" s="89" t="s">
        <v>978</v>
      </c>
    </row>
    <row r="3783" spans="1:3" ht="15">
      <c r="A3783" s="81" t="s">
        <v>327</v>
      </c>
      <c r="B3783" s="80" t="s">
        <v>2700</v>
      </c>
      <c r="C3783" s="89" t="s">
        <v>977</v>
      </c>
    </row>
    <row r="3784" spans="1:3" ht="15">
      <c r="A3784" s="81" t="s">
        <v>327</v>
      </c>
      <c r="B3784" s="80" t="s">
        <v>2480</v>
      </c>
      <c r="C3784" s="89" t="s">
        <v>977</v>
      </c>
    </row>
    <row r="3785" spans="1:3" ht="15">
      <c r="A3785" s="81" t="s">
        <v>327</v>
      </c>
      <c r="B3785" s="80" t="s">
        <v>2481</v>
      </c>
      <c r="C3785" s="89" t="s">
        <v>977</v>
      </c>
    </row>
    <row r="3786" spans="1:3" ht="15">
      <c r="A3786" s="81" t="s">
        <v>327</v>
      </c>
      <c r="B3786" s="80" t="s">
        <v>2701</v>
      </c>
      <c r="C3786" s="89" t="s">
        <v>977</v>
      </c>
    </row>
    <row r="3787" spans="1:3" ht="15">
      <c r="A3787" s="81" t="s">
        <v>327</v>
      </c>
      <c r="B3787" s="80" t="s">
        <v>2702</v>
      </c>
      <c r="C3787" s="89" t="s">
        <v>977</v>
      </c>
    </row>
    <row r="3788" spans="1:3" ht="15">
      <c r="A3788" s="81" t="s">
        <v>327</v>
      </c>
      <c r="B3788" s="80" t="s">
        <v>2483</v>
      </c>
      <c r="C3788" s="89" t="s">
        <v>977</v>
      </c>
    </row>
    <row r="3789" spans="1:3" ht="15">
      <c r="A3789" s="81" t="s">
        <v>327</v>
      </c>
      <c r="B3789" s="80" t="s">
        <v>2484</v>
      </c>
      <c r="C3789" s="89" t="s">
        <v>977</v>
      </c>
    </row>
    <row r="3790" spans="1:3" ht="15">
      <c r="A3790" s="81" t="s">
        <v>327</v>
      </c>
      <c r="B3790" s="80" t="s">
        <v>2703</v>
      </c>
      <c r="C3790" s="89" t="s">
        <v>977</v>
      </c>
    </row>
    <row r="3791" spans="1:3" ht="15">
      <c r="A3791" s="81" t="s">
        <v>327</v>
      </c>
      <c r="B3791" s="80" t="s">
        <v>2485</v>
      </c>
      <c r="C3791" s="89" t="s">
        <v>977</v>
      </c>
    </row>
    <row r="3792" spans="1:3" ht="15">
      <c r="A3792" s="81" t="s">
        <v>327</v>
      </c>
      <c r="B3792" s="80" t="s">
        <v>2693</v>
      </c>
      <c r="C3792" s="89" t="s">
        <v>977</v>
      </c>
    </row>
    <row r="3793" spans="1:3" ht="15">
      <c r="A3793" s="81" t="s">
        <v>327</v>
      </c>
      <c r="B3793" s="80" t="s">
        <v>2486</v>
      </c>
      <c r="C3793" s="89" t="s">
        <v>977</v>
      </c>
    </row>
    <row r="3794" spans="1:3" ht="15">
      <c r="A3794" s="81" t="s">
        <v>327</v>
      </c>
      <c r="B3794" s="80" t="s">
        <v>2704</v>
      </c>
      <c r="C3794" s="89" t="s">
        <v>977</v>
      </c>
    </row>
    <row r="3795" spans="1:3" ht="15">
      <c r="A3795" s="81" t="s">
        <v>327</v>
      </c>
      <c r="B3795" s="80" t="s">
        <v>2691</v>
      </c>
      <c r="C3795" s="89" t="s">
        <v>977</v>
      </c>
    </row>
    <row r="3796" spans="1:3" ht="15">
      <c r="A3796" s="81" t="s">
        <v>327</v>
      </c>
      <c r="B3796" s="80" t="s">
        <v>2692</v>
      </c>
      <c r="C3796" s="89" t="s">
        <v>977</v>
      </c>
    </row>
    <row r="3797" spans="1:3" ht="15">
      <c r="A3797" s="81" t="s">
        <v>327</v>
      </c>
      <c r="B3797" s="80" t="s">
        <v>2477</v>
      </c>
      <c r="C3797" s="89" t="s">
        <v>977</v>
      </c>
    </row>
    <row r="3798" spans="1:3" ht="15">
      <c r="A3798" s="81" t="s">
        <v>327</v>
      </c>
      <c r="B3798" s="80" t="s">
        <v>2705</v>
      </c>
      <c r="C3798" s="89" t="s">
        <v>977</v>
      </c>
    </row>
    <row r="3799" spans="1:3" ht="15">
      <c r="A3799" s="81" t="s">
        <v>327</v>
      </c>
      <c r="B3799" s="80" t="s">
        <v>2706</v>
      </c>
      <c r="C3799" s="89" t="s">
        <v>977</v>
      </c>
    </row>
    <row r="3800" spans="1:3" ht="15">
      <c r="A3800" s="81" t="s">
        <v>327</v>
      </c>
      <c r="B3800" s="80" t="s">
        <v>2707</v>
      </c>
      <c r="C3800" s="89" t="s">
        <v>977</v>
      </c>
    </row>
    <row r="3801" spans="1:3" ht="15">
      <c r="A3801" s="81" t="s">
        <v>327</v>
      </c>
      <c r="B3801" s="80" t="s">
        <v>2708</v>
      </c>
      <c r="C3801" s="89" t="s">
        <v>977</v>
      </c>
    </row>
    <row r="3802" spans="1:3" ht="15">
      <c r="A3802" s="81" t="s">
        <v>327</v>
      </c>
      <c r="B3802" s="80" t="s">
        <v>2488</v>
      </c>
      <c r="C3802" s="89" t="s">
        <v>977</v>
      </c>
    </row>
    <row r="3803" spans="1:3" ht="15">
      <c r="A3803" s="81" t="s">
        <v>327</v>
      </c>
      <c r="B3803" s="80" t="s">
        <v>2709</v>
      </c>
      <c r="C3803" s="89" t="s">
        <v>977</v>
      </c>
    </row>
    <row r="3804" spans="1:3" ht="15">
      <c r="A3804" s="81" t="s">
        <v>327</v>
      </c>
      <c r="B3804" s="80" t="s">
        <v>2710</v>
      </c>
      <c r="C3804" s="89" t="s">
        <v>977</v>
      </c>
    </row>
    <row r="3805" spans="1:3" ht="15">
      <c r="A3805" s="81" t="s">
        <v>327</v>
      </c>
      <c r="B3805" s="80" t="s">
        <v>2478</v>
      </c>
      <c r="C3805" s="89" t="s">
        <v>977</v>
      </c>
    </row>
    <row r="3806" spans="1:3" ht="15">
      <c r="A3806" s="81" t="s">
        <v>327</v>
      </c>
      <c r="B3806" s="80" t="s">
        <v>2476</v>
      </c>
      <c r="C3806" s="89" t="s">
        <v>977</v>
      </c>
    </row>
    <row r="3807" spans="1:3" ht="15">
      <c r="A3807" s="81" t="s">
        <v>327</v>
      </c>
      <c r="B3807" s="80" t="s">
        <v>2711</v>
      </c>
      <c r="C3807" s="89" t="s">
        <v>977</v>
      </c>
    </row>
    <row r="3808" spans="1:3" ht="15">
      <c r="A3808" s="81" t="s">
        <v>327</v>
      </c>
      <c r="B3808" s="80" t="s">
        <v>65</v>
      </c>
      <c r="C3808" s="89" t="s">
        <v>977</v>
      </c>
    </row>
    <row r="3809" spans="1:3" ht="15">
      <c r="A3809" s="81" t="s">
        <v>327</v>
      </c>
      <c r="B3809" s="80" t="s">
        <v>2491</v>
      </c>
      <c r="C3809" s="89" t="s">
        <v>977</v>
      </c>
    </row>
    <row r="3810" spans="1:3" ht="15">
      <c r="A3810" s="81" t="s">
        <v>326</v>
      </c>
      <c r="B3810" s="80" t="s">
        <v>2700</v>
      </c>
      <c r="C3810" s="89" t="s">
        <v>976</v>
      </c>
    </row>
    <row r="3811" spans="1:3" ht="15">
      <c r="A3811" s="81" t="s">
        <v>326</v>
      </c>
      <c r="B3811" s="80" t="s">
        <v>2480</v>
      </c>
      <c r="C3811" s="89" t="s">
        <v>976</v>
      </c>
    </row>
    <row r="3812" spans="1:3" ht="15">
      <c r="A3812" s="81" t="s">
        <v>326</v>
      </c>
      <c r="B3812" s="80" t="s">
        <v>2481</v>
      </c>
      <c r="C3812" s="89" t="s">
        <v>976</v>
      </c>
    </row>
    <row r="3813" spans="1:3" ht="15">
      <c r="A3813" s="81" t="s">
        <v>326</v>
      </c>
      <c r="B3813" s="80" t="s">
        <v>2701</v>
      </c>
      <c r="C3813" s="89" t="s">
        <v>976</v>
      </c>
    </row>
    <row r="3814" spans="1:3" ht="15">
      <c r="A3814" s="81" t="s">
        <v>326</v>
      </c>
      <c r="B3814" s="80" t="s">
        <v>2702</v>
      </c>
      <c r="C3814" s="89" t="s">
        <v>976</v>
      </c>
    </row>
    <row r="3815" spans="1:3" ht="15">
      <c r="A3815" s="81" t="s">
        <v>326</v>
      </c>
      <c r="B3815" s="80" t="s">
        <v>2483</v>
      </c>
      <c r="C3815" s="89" t="s">
        <v>976</v>
      </c>
    </row>
    <row r="3816" spans="1:3" ht="15">
      <c r="A3816" s="81" t="s">
        <v>326</v>
      </c>
      <c r="B3816" s="80" t="s">
        <v>2484</v>
      </c>
      <c r="C3816" s="89" t="s">
        <v>976</v>
      </c>
    </row>
    <row r="3817" spans="1:3" ht="15">
      <c r="A3817" s="81" t="s">
        <v>326</v>
      </c>
      <c r="B3817" s="80" t="s">
        <v>2703</v>
      </c>
      <c r="C3817" s="89" t="s">
        <v>976</v>
      </c>
    </row>
    <row r="3818" spans="1:3" ht="15">
      <c r="A3818" s="81" t="s">
        <v>326</v>
      </c>
      <c r="B3818" s="80" t="s">
        <v>2485</v>
      </c>
      <c r="C3818" s="89" t="s">
        <v>976</v>
      </c>
    </row>
    <row r="3819" spans="1:3" ht="15">
      <c r="A3819" s="81" t="s">
        <v>326</v>
      </c>
      <c r="B3819" s="80" t="s">
        <v>2693</v>
      </c>
      <c r="C3819" s="89" t="s">
        <v>976</v>
      </c>
    </row>
    <row r="3820" spans="1:3" ht="15">
      <c r="A3820" s="81" t="s">
        <v>326</v>
      </c>
      <c r="B3820" s="80" t="s">
        <v>2486</v>
      </c>
      <c r="C3820" s="89" t="s">
        <v>976</v>
      </c>
    </row>
    <row r="3821" spans="1:3" ht="15">
      <c r="A3821" s="81" t="s">
        <v>326</v>
      </c>
      <c r="B3821" s="80" t="s">
        <v>2704</v>
      </c>
      <c r="C3821" s="89" t="s">
        <v>976</v>
      </c>
    </row>
    <row r="3822" spans="1:3" ht="15">
      <c r="A3822" s="81" t="s">
        <v>326</v>
      </c>
      <c r="B3822" s="80" t="s">
        <v>2691</v>
      </c>
      <c r="C3822" s="89" t="s">
        <v>976</v>
      </c>
    </row>
    <row r="3823" spans="1:3" ht="15">
      <c r="A3823" s="81" t="s">
        <v>326</v>
      </c>
      <c r="B3823" s="80" t="s">
        <v>2692</v>
      </c>
      <c r="C3823" s="89" t="s">
        <v>976</v>
      </c>
    </row>
    <row r="3824" spans="1:3" ht="15">
      <c r="A3824" s="81" t="s">
        <v>326</v>
      </c>
      <c r="B3824" s="80" t="s">
        <v>2477</v>
      </c>
      <c r="C3824" s="89" t="s">
        <v>976</v>
      </c>
    </row>
    <row r="3825" spans="1:3" ht="15">
      <c r="A3825" s="81" t="s">
        <v>326</v>
      </c>
      <c r="B3825" s="80" t="s">
        <v>2705</v>
      </c>
      <c r="C3825" s="89" t="s">
        <v>976</v>
      </c>
    </row>
    <row r="3826" spans="1:3" ht="15">
      <c r="A3826" s="81" t="s">
        <v>326</v>
      </c>
      <c r="B3826" s="80" t="s">
        <v>2706</v>
      </c>
      <c r="C3826" s="89" t="s">
        <v>976</v>
      </c>
    </row>
    <row r="3827" spans="1:3" ht="15">
      <c r="A3827" s="81" t="s">
        <v>326</v>
      </c>
      <c r="B3827" s="80" t="s">
        <v>2707</v>
      </c>
      <c r="C3827" s="89" t="s">
        <v>976</v>
      </c>
    </row>
    <row r="3828" spans="1:3" ht="15">
      <c r="A3828" s="81" t="s">
        <v>326</v>
      </c>
      <c r="B3828" s="80" t="s">
        <v>2708</v>
      </c>
      <c r="C3828" s="89" t="s">
        <v>976</v>
      </c>
    </row>
    <row r="3829" spans="1:3" ht="15">
      <c r="A3829" s="81" t="s">
        <v>326</v>
      </c>
      <c r="B3829" s="80" t="s">
        <v>2488</v>
      </c>
      <c r="C3829" s="89" t="s">
        <v>976</v>
      </c>
    </row>
    <row r="3830" spans="1:3" ht="15">
      <c r="A3830" s="81" t="s">
        <v>326</v>
      </c>
      <c r="B3830" s="80" t="s">
        <v>2709</v>
      </c>
      <c r="C3830" s="89" t="s">
        <v>976</v>
      </c>
    </row>
    <row r="3831" spans="1:3" ht="15">
      <c r="A3831" s="81" t="s">
        <v>326</v>
      </c>
      <c r="B3831" s="80" t="s">
        <v>2710</v>
      </c>
      <c r="C3831" s="89" t="s">
        <v>976</v>
      </c>
    </row>
    <row r="3832" spans="1:3" ht="15">
      <c r="A3832" s="81" t="s">
        <v>326</v>
      </c>
      <c r="B3832" s="80" t="s">
        <v>2478</v>
      </c>
      <c r="C3832" s="89" t="s">
        <v>976</v>
      </c>
    </row>
    <row r="3833" spans="1:3" ht="15">
      <c r="A3833" s="81" t="s">
        <v>326</v>
      </c>
      <c r="B3833" s="80" t="s">
        <v>2476</v>
      </c>
      <c r="C3833" s="89" t="s">
        <v>976</v>
      </c>
    </row>
    <row r="3834" spans="1:3" ht="15">
      <c r="A3834" s="81" t="s">
        <v>326</v>
      </c>
      <c r="B3834" s="80" t="s">
        <v>2711</v>
      </c>
      <c r="C3834" s="89" t="s">
        <v>976</v>
      </c>
    </row>
    <row r="3835" spans="1:3" ht="15">
      <c r="A3835" s="81" t="s">
        <v>326</v>
      </c>
      <c r="B3835" s="80" t="s">
        <v>65</v>
      </c>
      <c r="C3835" s="89" t="s">
        <v>976</v>
      </c>
    </row>
    <row r="3836" spans="1:3" ht="15">
      <c r="A3836" s="81" t="s">
        <v>326</v>
      </c>
      <c r="B3836" s="80" t="s">
        <v>2491</v>
      </c>
      <c r="C3836" s="89" t="s">
        <v>976</v>
      </c>
    </row>
    <row r="3837" spans="1:3" ht="15">
      <c r="A3837" s="81" t="s">
        <v>325</v>
      </c>
      <c r="B3837" s="80" t="s">
        <v>2974</v>
      </c>
      <c r="C3837" s="89" t="s">
        <v>975</v>
      </c>
    </row>
    <row r="3838" spans="1:3" ht="15">
      <c r="A3838" s="81" t="s">
        <v>325</v>
      </c>
      <c r="B3838" s="80" t="s">
        <v>2975</v>
      </c>
      <c r="C3838" s="89" t="s">
        <v>975</v>
      </c>
    </row>
    <row r="3839" spans="1:3" ht="15">
      <c r="A3839" s="81" t="s">
        <v>325</v>
      </c>
      <c r="B3839" s="80" t="s">
        <v>2691</v>
      </c>
      <c r="C3839" s="89" t="s">
        <v>975</v>
      </c>
    </row>
    <row r="3840" spans="1:3" ht="15">
      <c r="A3840" s="81" t="s">
        <v>325</v>
      </c>
      <c r="B3840" s="80" t="s">
        <v>2692</v>
      </c>
      <c r="C3840" s="89" t="s">
        <v>975</v>
      </c>
    </row>
    <row r="3841" spans="1:3" ht="15">
      <c r="A3841" s="81" t="s">
        <v>325</v>
      </c>
      <c r="B3841" s="80" t="s">
        <v>2520</v>
      </c>
      <c r="C3841" s="89" t="s">
        <v>975</v>
      </c>
    </row>
    <row r="3842" spans="1:3" ht="15">
      <c r="A3842" s="81" t="s">
        <v>325</v>
      </c>
      <c r="B3842" s="80" t="s">
        <v>2527</v>
      </c>
      <c r="C3842" s="89" t="s">
        <v>975</v>
      </c>
    </row>
    <row r="3843" spans="1:3" ht="15">
      <c r="A3843" s="81" t="s">
        <v>325</v>
      </c>
      <c r="B3843" s="80" t="s">
        <v>2476</v>
      </c>
      <c r="C3843" s="89" t="s">
        <v>975</v>
      </c>
    </row>
    <row r="3844" spans="1:3" ht="15">
      <c r="A3844" s="81" t="s">
        <v>325</v>
      </c>
      <c r="B3844" s="80" t="s">
        <v>2532</v>
      </c>
      <c r="C3844" s="89" t="s">
        <v>975</v>
      </c>
    </row>
    <row r="3845" spans="1:3" ht="15">
      <c r="A3845" s="81" t="s">
        <v>325</v>
      </c>
      <c r="B3845" s="80" t="s">
        <v>2976</v>
      </c>
      <c r="C3845" s="89" t="s">
        <v>975</v>
      </c>
    </row>
    <row r="3846" spans="1:3" ht="15">
      <c r="A3846" s="81" t="s">
        <v>325</v>
      </c>
      <c r="B3846" s="80" t="s">
        <v>2523</v>
      </c>
      <c r="C3846" s="89" t="s">
        <v>975</v>
      </c>
    </row>
    <row r="3847" spans="1:3" ht="15">
      <c r="A3847" s="81" t="s">
        <v>325</v>
      </c>
      <c r="B3847" s="80" t="s">
        <v>2528</v>
      </c>
      <c r="C3847" s="89" t="s">
        <v>975</v>
      </c>
    </row>
    <row r="3848" spans="1:3" ht="15">
      <c r="A3848" s="81" t="s">
        <v>325</v>
      </c>
      <c r="B3848" s="80" t="s">
        <v>2977</v>
      </c>
      <c r="C3848" s="89" t="s">
        <v>975</v>
      </c>
    </row>
    <row r="3849" spans="1:3" ht="15">
      <c r="A3849" s="81" t="s">
        <v>325</v>
      </c>
      <c r="B3849" s="80" t="s">
        <v>2710</v>
      </c>
      <c r="C3849" s="89" t="s">
        <v>975</v>
      </c>
    </row>
    <row r="3850" spans="1:3" ht="15">
      <c r="A3850" s="81" t="s">
        <v>325</v>
      </c>
      <c r="B3850" s="80" t="s">
        <v>2978</v>
      </c>
      <c r="C3850" s="89" t="s">
        <v>975</v>
      </c>
    </row>
    <row r="3851" spans="1:3" ht="15">
      <c r="A3851" s="81" t="s">
        <v>325</v>
      </c>
      <c r="B3851" s="80" t="s">
        <v>2529</v>
      </c>
      <c r="C3851" s="89" t="s">
        <v>975</v>
      </c>
    </row>
    <row r="3852" spans="1:3" ht="15">
      <c r="A3852" s="81" t="s">
        <v>325</v>
      </c>
      <c r="B3852" s="80" t="s">
        <v>2530</v>
      </c>
      <c r="C3852" s="89" t="s">
        <v>975</v>
      </c>
    </row>
    <row r="3853" spans="1:3" ht="15">
      <c r="A3853" s="81" t="s">
        <v>324</v>
      </c>
      <c r="B3853" s="80" t="s">
        <v>2700</v>
      </c>
      <c r="C3853" s="89" t="s">
        <v>974</v>
      </c>
    </row>
    <row r="3854" spans="1:3" ht="15">
      <c r="A3854" s="81" t="s">
        <v>324</v>
      </c>
      <c r="B3854" s="80" t="s">
        <v>2480</v>
      </c>
      <c r="C3854" s="89" t="s">
        <v>974</v>
      </c>
    </row>
    <row r="3855" spans="1:3" ht="15">
      <c r="A3855" s="81" t="s">
        <v>324</v>
      </c>
      <c r="B3855" s="80" t="s">
        <v>2481</v>
      </c>
      <c r="C3855" s="89" t="s">
        <v>974</v>
      </c>
    </row>
    <row r="3856" spans="1:3" ht="15">
      <c r="A3856" s="81" t="s">
        <v>324</v>
      </c>
      <c r="B3856" s="80" t="s">
        <v>2701</v>
      </c>
      <c r="C3856" s="89" t="s">
        <v>974</v>
      </c>
    </row>
    <row r="3857" spans="1:3" ht="15">
      <c r="A3857" s="81" t="s">
        <v>324</v>
      </c>
      <c r="B3857" s="80" t="s">
        <v>2702</v>
      </c>
      <c r="C3857" s="89" t="s">
        <v>974</v>
      </c>
    </row>
    <row r="3858" spans="1:3" ht="15">
      <c r="A3858" s="81" t="s">
        <v>324</v>
      </c>
      <c r="B3858" s="80" t="s">
        <v>2483</v>
      </c>
      <c r="C3858" s="89" t="s">
        <v>974</v>
      </c>
    </row>
    <row r="3859" spans="1:3" ht="15">
      <c r="A3859" s="81" t="s">
        <v>324</v>
      </c>
      <c r="B3859" s="80" t="s">
        <v>2484</v>
      </c>
      <c r="C3859" s="89" t="s">
        <v>974</v>
      </c>
    </row>
    <row r="3860" spans="1:3" ht="15">
      <c r="A3860" s="81" t="s">
        <v>324</v>
      </c>
      <c r="B3860" s="80" t="s">
        <v>2703</v>
      </c>
      <c r="C3860" s="89" t="s">
        <v>974</v>
      </c>
    </row>
    <row r="3861" spans="1:3" ht="15">
      <c r="A3861" s="81" t="s">
        <v>324</v>
      </c>
      <c r="B3861" s="80" t="s">
        <v>2485</v>
      </c>
      <c r="C3861" s="89" t="s">
        <v>974</v>
      </c>
    </row>
    <row r="3862" spans="1:3" ht="15">
      <c r="A3862" s="81" t="s">
        <v>324</v>
      </c>
      <c r="B3862" s="80" t="s">
        <v>2693</v>
      </c>
      <c r="C3862" s="89" t="s">
        <v>974</v>
      </c>
    </row>
    <row r="3863" spans="1:3" ht="15">
      <c r="A3863" s="81" t="s">
        <v>324</v>
      </c>
      <c r="B3863" s="80" t="s">
        <v>2486</v>
      </c>
      <c r="C3863" s="89" t="s">
        <v>974</v>
      </c>
    </row>
    <row r="3864" spans="1:3" ht="15">
      <c r="A3864" s="81" t="s">
        <v>324</v>
      </c>
      <c r="B3864" s="80" t="s">
        <v>2704</v>
      </c>
      <c r="C3864" s="89" t="s">
        <v>974</v>
      </c>
    </row>
    <row r="3865" spans="1:3" ht="15">
      <c r="A3865" s="81" t="s">
        <v>324</v>
      </c>
      <c r="B3865" s="80" t="s">
        <v>2691</v>
      </c>
      <c r="C3865" s="89" t="s">
        <v>974</v>
      </c>
    </row>
    <row r="3866" spans="1:3" ht="15">
      <c r="A3866" s="81" t="s">
        <v>324</v>
      </c>
      <c r="B3866" s="80" t="s">
        <v>2692</v>
      </c>
      <c r="C3866" s="89" t="s">
        <v>974</v>
      </c>
    </row>
    <row r="3867" spans="1:3" ht="15">
      <c r="A3867" s="81" t="s">
        <v>324</v>
      </c>
      <c r="B3867" s="80" t="s">
        <v>2477</v>
      </c>
      <c r="C3867" s="89" t="s">
        <v>974</v>
      </c>
    </row>
    <row r="3868" spans="1:3" ht="15">
      <c r="A3868" s="81" t="s">
        <v>324</v>
      </c>
      <c r="B3868" s="80" t="s">
        <v>2705</v>
      </c>
      <c r="C3868" s="89" t="s">
        <v>974</v>
      </c>
    </row>
    <row r="3869" spans="1:3" ht="15">
      <c r="A3869" s="81" t="s">
        <v>324</v>
      </c>
      <c r="B3869" s="80" t="s">
        <v>2706</v>
      </c>
      <c r="C3869" s="89" t="s">
        <v>974</v>
      </c>
    </row>
    <row r="3870" spans="1:3" ht="15">
      <c r="A3870" s="81" t="s">
        <v>324</v>
      </c>
      <c r="B3870" s="80" t="s">
        <v>2707</v>
      </c>
      <c r="C3870" s="89" t="s">
        <v>974</v>
      </c>
    </row>
    <row r="3871" spans="1:3" ht="15">
      <c r="A3871" s="81" t="s">
        <v>324</v>
      </c>
      <c r="B3871" s="80" t="s">
        <v>2708</v>
      </c>
      <c r="C3871" s="89" t="s">
        <v>974</v>
      </c>
    </row>
    <row r="3872" spans="1:3" ht="15">
      <c r="A3872" s="81" t="s">
        <v>324</v>
      </c>
      <c r="B3872" s="80" t="s">
        <v>2488</v>
      </c>
      <c r="C3872" s="89" t="s">
        <v>974</v>
      </c>
    </row>
    <row r="3873" spans="1:3" ht="15">
      <c r="A3873" s="81" t="s">
        <v>324</v>
      </c>
      <c r="B3873" s="80" t="s">
        <v>2709</v>
      </c>
      <c r="C3873" s="89" t="s">
        <v>974</v>
      </c>
    </row>
    <row r="3874" spans="1:3" ht="15">
      <c r="A3874" s="81" t="s">
        <v>324</v>
      </c>
      <c r="B3874" s="80" t="s">
        <v>2710</v>
      </c>
      <c r="C3874" s="89" t="s">
        <v>974</v>
      </c>
    </row>
    <row r="3875" spans="1:3" ht="15">
      <c r="A3875" s="81" t="s">
        <v>324</v>
      </c>
      <c r="B3875" s="80" t="s">
        <v>2478</v>
      </c>
      <c r="C3875" s="89" t="s">
        <v>974</v>
      </c>
    </row>
    <row r="3876" spans="1:3" ht="15">
      <c r="A3876" s="81" t="s">
        <v>324</v>
      </c>
      <c r="B3876" s="80" t="s">
        <v>2476</v>
      </c>
      <c r="C3876" s="89" t="s">
        <v>974</v>
      </c>
    </row>
    <row r="3877" spans="1:3" ht="15">
      <c r="A3877" s="81" t="s">
        <v>324</v>
      </c>
      <c r="B3877" s="80" t="s">
        <v>2711</v>
      </c>
      <c r="C3877" s="89" t="s">
        <v>974</v>
      </c>
    </row>
    <row r="3878" spans="1:3" ht="15">
      <c r="A3878" s="81" t="s">
        <v>324</v>
      </c>
      <c r="B3878" s="80" t="s">
        <v>65</v>
      </c>
      <c r="C3878" s="89" t="s">
        <v>974</v>
      </c>
    </row>
    <row r="3879" spans="1:3" ht="15">
      <c r="A3879" s="81" t="s">
        <v>324</v>
      </c>
      <c r="B3879" s="80" t="s">
        <v>2491</v>
      </c>
      <c r="C3879" s="89" t="s">
        <v>974</v>
      </c>
    </row>
    <row r="3880" spans="1:3" ht="15">
      <c r="A3880" s="81" t="s">
        <v>323</v>
      </c>
      <c r="B3880" s="80" t="s">
        <v>2700</v>
      </c>
      <c r="C3880" s="89" t="s">
        <v>973</v>
      </c>
    </row>
    <row r="3881" spans="1:3" ht="15">
      <c r="A3881" s="81" t="s">
        <v>323</v>
      </c>
      <c r="B3881" s="80" t="s">
        <v>2480</v>
      </c>
      <c r="C3881" s="89" t="s">
        <v>973</v>
      </c>
    </row>
    <row r="3882" spans="1:3" ht="15">
      <c r="A3882" s="81" t="s">
        <v>323</v>
      </c>
      <c r="B3882" s="80" t="s">
        <v>2481</v>
      </c>
      <c r="C3882" s="89" t="s">
        <v>973</v>
      </c>
    </row>
    <row r="3883" spans="1:3" ht="15">
      <c r="A3883" s="81" t="s">
        <v>323</v>
      </c>
      <c r="B3883" s="80" t="s">
        <v>2701</v>
      </c>
      <c r="C3883" s="89" t="s">
        <v>973</v>
      </c>
    </row>
    <row r="3884" spans="1:3" ht="15">
      <c r="A3884" s="81" t="s">
        <v>323</v>
      </c>
      <c r="B3884" s="80" t="s">
        <v>2702</v>
      </c>
      <c r="C3884" s="89" t="s">
        <v>973</v>
      </c>
    </row>
    <row r="3885" spans="1:3" ht="15">
      <c r="A3885" s="81" t="s">
        <v>323</v>
      </c>
      <c r="B3885" s="80" t="s">
        <v>2483</v>
      </c>
      <c r="C3885" s="89" t="s">
        <v>973</v>
      </c>
    </row>
    <row r="3886" spans="1:3" ht="15">
      <c r="A3886" s="81" t="s">
        <v>323</v>
      </c>
      <c r="B3886" s="80" t="s">
        <v>2484</v>
      </c>
      <c r="C3886" s="89" t="s">
        <v>973</v>
      </c>
    </row>
    <row r="3887" spans="1:3" ht="15">
      <c r="A3887" s="81" t="s">
        <v>323</v>
      </c>
      <c r="B3887" s="80" t="s">
        <v>2703</v>
      </c>
      <c r="C3887" s="89" t="s">
        <v>973</v>
      </c>
    </row>
    <row r="3888" spans="1:3" ht="15">
      <c r="A3888" s="81" t="s">
        <v>323</v>
      </c>
      <c r="B3888" s="80" t="s">
        <v>2485</v>
      </c>
      <c r="C3888" s="89" t="s">
        <v>973</v>
      </c>
    </row>
    <row r="3889" spans="1:3" ht="15">
      <c r="A3889" s="81" t="s">
        <v>323</v>
      </c>
      <c r="B3889" s="80" t="s">
        <v>2693</v>
      </c>
      <c r="C3889" s="89" t="s">
        <v>973</v>
      </c>
    </row>
    <row r="3890" spans="1:3" ht="15">
      <c r="A3890" s="81" t="s">
        <v>323</v>
      </c>
      <c r="B3890" s="80" t="s">
        <v>2486</v>
      </c>
      <c r="C3890" s="89" t="s">
        <v>973</v>
      </c>
    </row>
    <row r="3891" spans="1:3" ht="15">
      <c r="A3891" s="81" t="s">
        <v>323</v>
      </c>
      <c r="B3891" s="80" t="s">
        <v>2704</v>
      </c>
      <c r="C3891" s="89" t="s">
        <v>973</v>
      </c>
    </row>
    <row r="3892" spans="1:3" ht="15">
      <c r="A3892" s="81" t="s">
        <v>323</v>
      </c>
      <c r="B3892" s="80" t="s">
        <v>2691</v>
      </c>
      <c r="C3892" s="89" t="s">
        <v>973</v>
      </c>
    </row>
    <row r="3893" spans="1:3" ht="15">
      <c r="A3893" s="81" t="s">
        <v>323</v>
      </c>
      <c r="B3893" s="80" t="s">
        <v>2692</v>
      </c>
      <c r="C3893" s="89" t="s">
        <v>973</v>
      </c>
    </row>
    <row r="3894" spans="1:3" ht="15">
      <c r="A3894" s="81" t="s">
        <v>323</v>
      </c>
      <c r="B3894" s="80" t="s">
        <v>2477</v>
      </c>
      <c r="C3894" s="89" t="s">
        <v>973</v>
      </c>
    </row>
    <row r="3895" spans="1:3" ht="15">
      <c r="A3895" s="81" t="s">
        <v>323</v>
      </c>
      <c r="B3895" s="80" t="s">
        <v>2705</v>
      </c>
      <c r="C3895" s="89" t="s">
        <v>973</v>
      </c>
    </row>
    <row r="3896" spans="1:3" ht="15">
      <c r="A3896" s="81" t="s">
        <v>323</v>
      </c>
      <c r="B3896" s="80" t="s">
        <v>2706</v>
      </c>
      <c r="C3896" s="89" t="s">
        <v>973</v>
      </c>
    </row>
    <row r="3897" spans="1:3" ht="15">
      <c r="A3897" s="81" t="s">
        <v>323</v>
      </c>
      <c r="B3897" s="80" t="s">
        <v>2707</v>
      </c>
      <c r="C3897" s="89" t="s">
        <v>973</v>
      </c>
    </row>
    <row r="3898" spans="1:3" ht="15">
      <c r="A3898" s="81" t="s">
        <v>323</v>
      </c>
      <c r="B3898" s="80" t="s">
        <v>2708</v>
      </c>
      <c r="C3898" s="89" t="s">
        <v>973</v>
      </c>
    </row>
    <row r="3899" spans="1:3" ht="15">
      <c r="A3899" s="81" t="s">
        <v>323</v>
      </c>
      <c r="B3899" s="80" t="s">
        <v>2488</v>
      </c>
      <c r="C3899" s="89" t="s">
        <v>973</v>
      </c>
    </row>
    <row r="3900" spans="1:3" ht="15">
      <c r="A3900" s="81" t="s">
        <v>323</v>
      </c>
      <c r="B3900" s="80" t="s">
        <v>2709</v>
      </c>
      <c r="C3900" s="89" t="s">
        <v>973</v>
      </c>
    </row>
    <row r="3901" spans="1:3" ht="15">
      <c r="A3901" s="81" t="s">
        <v>323</v>
      </c>
      <c r="B3901" s="80" t="s">
        <v>2710</v>
      </c>
      <c r="C3901" s="89" t="s">
        <v>973</v>
      </c>
    </row>
    <row r="3902" spans="1:3" ht="15">
      <c r="A3902" s="81" t="s">
        <v>323</v>
      </c>
      <c r="B3902" s="80" t="s">
        <v>2478</v>
      </c>
      <c r="C3902" s="89" t="s">
        <v>973</v>
      </c>
    </row>
    <row r="3903" spans="1:3" ht="15">
      <c r="A3903" s="81" t="s">
        <v>323</v>
      </c>
      <c r="B3903" s="80" t="s">
        <v>2476</v>
      </c>
      <c r="C3903" s="89" t="s">
        <v>973</v>
      </c>
    </row>
    <row r="3904" spans="1:3" ht="15">
      <c r="A3904" s="81" t="s">
        <v>323</v>
      </c>
      <c r="B3904" s="80" t="s">
        <v>2711</v>
      </c>
      <c r="C3904" s="89" t="s">
        <v>973</v>
      </c>
    </row>
    <row r="3905" spans="1:3" ht="15">
      <c r="A3905" s="81" t="s">
        <v>323</v>
      </c>
      <c r="B3905" s="80" t="s">
        <v>65</v>
      </c>
      <c r="C3905" s="89" t="s">
        <v>973</v>
      </c>
    </row>
    <row r="3906" spans="1:3" ht="15">
      <c r="A3906" s="81" t="s">
        <v>323</v>
      </c>
      <c r="B3906" s="80" t="s">
        <v>2491</v>
      </c>
      <c r="C3906" s="89" t="s">
        <v>973</v>
      </c>
    </row>
    <row r="3907" spans="1:3" ht="15">
      <c r="A3907" s="81" t="s">
        <v>323</v>
      </c>
      <c r="B3907" s="80" t="s">
        <v>2691</v>
      </c>
      <c r="C3907" s="89" t="s">
        <v>972</v>
      </c>
    </row>
    <row r="3908" spans="1:3" ht="15">
      <c r="A3908" s="81" t="s">
        <v>323</v>
      </c>
      <c r="B3908" s="80" t="s">
        <v>2692</v>
      </c>
      <c r="C3908" s="89" t="s">
        <v>972</v>
      </c>
    </row>
    <row r="3909" spans="1:3" ht="15">
      <c r="A3909" s="81" t="s">
        <v>323</v>
      </c>
      <c r="B3909" s="80" t="s">
        <v>2494</v>
      </c>
      <c r="C3909" s="89" t="s">
        <v>972</v>
      </c>
    </row>
    <row r="3910" spans="1:3" ht="15">
      <c r="A3910" s="81" t="s">
        <v>323</v>
      </c>
      <c r="B3910" s="80" t="s">
        <v>2492</v>
      </c>
      <c r="C3910" s="89" t="s">
        <v>972</v>
      </c>
    </row>
    <row r="3911" spans="1:3" ht="15">
      <c r="A3911" s="81" t="s">
        <v>323</v>
      </c>
      <c r="B3911" s="80" t="s">
        <v>2495</v>
      </c>
      <c r="C3911" s="89" t="s">
        <v>972</v>
      </c>
    </row>
    <row r="3912" spans="1:3" ht="15">
      <c r="A3912" s="81" t="s">
        <v>323</v>
      </c>
      <c r="B3912" s="80" t="s">
        <v>2493</v>
      </c>
      <c r="C3912" s="89" t="s">
        <v>972</v>
      </c>
    </row>
    <row r="3913" spans="1:3" ht="15">
      <c r="A3913" s="81" t="s">
        <v>322</v>
      </c>
      <c r="B3913" s="80" t="s">
        <v>2691</v>
      </c>
      <c r="C3913" s="89" t="s">
        <v>971</v>
      </c>
    </row>
    <row r="3914" spans="1:3" ht="15">
      <c r="A3914" s="81" t="s">
        <v>322</v>
      </c>
      <c r="B3914" s="80" t="s">
        <v>3018</v>
      </c>
      <c r="C3914" s="89" t="s">
        <v>971</v>
      </c>
    </row>
    <row r="3915" spans="1:3" ht="15">
      <c r="A3915" s="81" t="s">
        <v>322</v>
      </c>
      <c r="B3915" s="80" t="s">
        <v>2578</v>
      </c>
      <c r="C3915" s="89" t="s">
        <v>971</v>
      </c>
    </row>
    <row r="3916" spans="1:3" ht="15">
      <c r="A3916" s="81" t="s">
        <v>322</v>
      </c>
      <c r="B3916" s="80" t="s">
        <v>3019</v>
      </c>
      <c r="C3916" s="89" t="s">
        <v>971</v>
      </c>
    </row>
    <row r="3917" spans="1:3" ht="15">
      <c r="A3917" s="81" t="s">
        <v>322</v>
      </c>
      <c r="B3917" s="80" t="s">
        <v>3020</v>
      </c>
      <c r="C3917" s="89" t="s">
        <v>971</v>
      </c>
    </row>
    <row r="3918" spans="1:3" ht="15">
      <c r="A3918" s="81" t="s">
        <v>322</v>
      </c>
      <c r="B3918" s="80" t="s">
        <v>3021</v>
      </c>
      <c r="C3918" s="89" t="s">
        <v>971</v>
      </c>
    </row>
    <row r="3919" spans="1:3" ht="15">
      <c r="A3919" s="81" t="s">
        <v>322</v>
      </c>
      <c r="B3919" s="80" t="s">
        <v>3022</v>
      </c>
      <c r="C3919" s="89" t="s">
        <v>971</v>
      </c>
    </row>
    <row r="3920" spans="1:3" ht="15">
      <c r="A3920" s="81" t="s">
        <v>322</v>
      </c>
      <c r="B3920" s="80" t="s">
        <v>3023</v>
      </c>
      <c r="C3920" s="89" t="s">
        <v>971</v>
      </c>
    </row>
    <row r="3921" spans="1:3" ht="15">
      <c r="A3921" s="81" t="s">
        <v>322</v>
      </c>
      <c r="B3921" s="80" t="s">
        <v>3024</v>
      </c>
      <c r="C3921" s="89" t="s">
        <v>971</v>
      </c>
    </row>
    <row r="3922" spans="1:3" ht="15">
      <c r="A3922" s="81" t="s">
        <v>322</v>
      </c>
      <c r="B3922" s="80" t="s">
        <v>1178</v>
      </c>
      <c r="C3922" s="89" t="s">
        <v>971</v>
      </c>
    </row>
    <row r="3923" spans="1:3" ht="15">
      <c r="A3923" s="81" t="s">
        <v>322</v>
      </c>
      <c r="B3923" s="80" t="s">
        <v>2767</v>
      </c>
      <c r="C3923" s="89" t="s">
        <v>971</v>
      </c>
    </row>
    <row r="3924" spans="1:3" ht="15">
      <c r="A3924" s="81" t="s">
        <v>322</v>
      </c>
      <c r="B3924" s="80" t="s">
        <v>3025</v>
      </c>
      <c r="C3924" s="89" t="s">
        <v>971</v>
      </c>
    </row>
    <row r="3925" spans="1:3" ht="15">
      <c r="A3925" s="81" t="s">
        <v>322</v>
      </c>
      <c r="B3925" s="80" t="s">
        <v>3026</v>
      </c>
      <c r="C3925" s="89" t="s">
        <v>971</v>
      </c>
    </row>
    <row r="3926" spans="1:3" ht="15">
      <c r="A3926" s="81" t="s">
        <v>322</v>
      </c>
      <c r="B3926" s="80" t="s">
        <v>2839</v>
      </c>
      <c r="C3926" s="89" t="s">
        <v>971</v>
      </c>
    </row>
    <row r="3927" spans="1:3" ht="15">
      <c r="A3927" s="81" t="s">
        <v>322</v>
      </c>
      <c r="B3927" s="80" t="s">
        <v>3027</v>
      </c>
      <c r="C3927" s="89" t="s">
        <v>971</v>
      </c>
    </row>
    <row r="3928" spans="1:3" ht="15">
      <c r="A3928" s="81" t="s">
        <v>322</v>
      </c>
      <c r="B3928" s="80" t="s">
        <v>3028</v>
      </c>
      <c r="C3928" s="89" t="s">
        <v>971</v>
      </c>
    </row>
    <row r="3929" spans="1:3" ht="15">
      <c r="A3929" s="81" t="s">
        <v>321</v>
      </c>
      <c r="B3929" s="80" t="s">
        <v>2974</v>
      </c>
      <c r="C3929" s="89" t="s">
        <v>970</v>
      </c>
    </row>
    <row r="3930" spans="1:3" ht="15">
      <c r="A3930" s="81" t="s">
        <v>321</v>
      </c>
      <c r="B3930" s="80" t="s">
        <v>2975</v>
      </c>
      <c r="C3930" s="89" t="s">
        <v>970</v>
      </c>
    </row>
    <row r="3931" spans="1:3" ht="15">
      <c r="A3931" s="81" t="s">
        <v>321</v>
      </c>
      <c r="B3931" s="80" t="s">
        <v>2691</v>
      </c>
      <c r="C3931" s="89" t="s">
        <v>970</v>
      </c>
    </row>
    <row r="3932" spans="1:3" ht="15">
      <c r="A3932" s="81" t="s">
        <v>321</v>
      </c>
      <c r="B3932" s="80" t="s">
        <v>2692</v>
      </c>
      <c r="C3932" s="89" t="s">
        <v>970</v>
      </c>
    </row>
    <row r="3933" spans="1:3" ht="15">
      <c r="A3933" s="81" t="s">
        <v>321</v>
      </c>
      <c r="B3933" s="80" t="s">
        <v>2520</v>
      </c>
      <c r="C3933" s="89" t="s">
        <v>970</v>
      </c>
    </row>
    <row r="3934" spans="1:3" ht="15">
      <c r="A3934" s="81" t="s">
        <v>321</v>
      </c>
      <c r="B3934" s="80" t="s">
        <v>2527</v>
      </c>
      <c r="C3934" s="89" t="s">
        <v>970</v>
      </c>
    </row>
    <row r="3935" spans="1:3" ht="15">
      <c r="A3935" s="81" t="s">
        <v>321</v>
      </c>
      <c r="B3935" s="80" t="s">
        <v>2476</v>
      </c>
      <c r="C3935" s="89" t="s">
        <v>970</v>
      </c>
    </row>
    <row r="3936" spans="1:3" ht="15">
      <c r="A3936" s="81" t="s">
        <v>321</v>
      </c>
      <c r="B3936" s="80" t="s">
        <v>2532</v>
      </c>
      <c r="C3936" s="89" t="s">
        <v>970</v>
      </c>
    </row>
    <row r="3937" spans="1:3" ht="15">
      <c r="A3937" s="81" t="s">
        <v>321</v>
      </c>
      <c r="B3937" s="80" t="s">
        <v>2976</v>
      </c>
      <c r="C3937" s="89" t="s">
        <v>970</v>
      </c>
    </row>
    <row r="3938" spans="1:3" ht="15">
      <c r="A3938" s="81" t="s">
        <v>321</v>
      </c>
      <c r="B3938" s="80" t="s">
        <v>2523</v>
      </c>
      <c r="C3938" s="89" t="s">
        <v>970</v>
      </c>
    </row>
    <row r="3939" spans="1:3" ht="15">
      <c r="A3939" s="81" t="s">
        <v>321</v>
      </c>
      <c r="B3939" s="80" t="s">
        <v>2528</v>
      </c>
      <c r="C3939" s="89" t="s">
        <v>970</v>
      </c>
    </row>
    <row r="3940" spans="1:3" ht="15">
      <c r="A3940" s="81" t="s">
        <v>321</v>
      </c>
      <c r="B3940" s="80" t="s">
        <v>2977</v>
      </c>
      <c r="C3940" s="89" t="s">
        <v>970</v>
      </c>
    </row>
    <row r="3941" spans="1:3" ht="15">
      <c r="A3941" s="81" t="s">
        <v>321</v>
      </c>
      <c r="B3941" s="80" t="s">
        <v>2710</v>
      </c>
      <c r="C3941" s="89" t="s">
        <v>970</v>
      </c>
    </row>
    <row r="3942" spans="1:3" ht="15">
      <c r="A3942" s="81" t="s">
        <v>321</v>
      </c>
      <c r="B3942" s="80" t="s">
        <v>2978</v>
      </c>
      <c r="C3942" s="89" t="s">
        <v>970</v>
      </c>
    </row>
    <row r="3943" spans="1:3" ht="15">
      <c r="A3943" s="81" t="s">
        <v>321</v>
      </c>
      <c r="B3943" s="80" t="s">
        <v>2529</v>
      </c>
      <c r="C3943" s="89" t="s">
        <v>970</v>
      </c>
    </row>
    <row r="3944" spans="1:3" ht="15">
      <c r="A3944" s="81" t="s">
        <v>321</v>
      </c>
      <c r="B3944" s="80" t="s">
        <v>2530</v>
      </c>
      <c r="C3944" s="89" t="s">
        <v>970</v>
      </c>
    </row>
    <row r="3945" spans="1:3" ht="15">
      <c r="A3945" s="81" t="s">
        <v>320</v>
      </c>
      <c r="B3945" s="80" t="s">
        <v>2713</v>
      </c>
      <c r="C3945" s="89" t="s">
        <v>969</v>
      </c>
    </row>
    <row r="3946" spans="1:3" ht="15">
      <c r="A3946" s="81" t="s">
        <v>320</v>
      </c>
      <c r="B3946" s="80" t="s">
        <v>2691</v>
      </c>
      <c r="C3946" s="89" t="s">
        <v>969</v>
      </c>
    </row>
    <row r="3947" spans="1:3" ht="15">
      <c r="A3947" s="81" t="s">
        <v>320</v>
      </c>
      <c r="B3947" s="80" t="s">
        <v>3029</v>
      </c>
      <c r="C3947" s="89" t="s">
        <v>969</v>
      </c>
    </row>
    <row r="3948" spans="1:3" ht="15">
      <c r="A3948" s="81" t="s">
        <v>320</v>
      </c>
      <c r="B3948" s="80" t="s">
        <v>2693</v>
      </c>
      <c r="C3948" s="89" t="s">
        <v>969</v>
      </c>
    </row>
    <row r="3949" spans="1:3" ht="15">
      <c r="A3949" s="81" t="s">
        <v>320</v>
      </c>
      <c r="B3949" s="80" t="s">
        <v>2852</v>
      </c>
      <c r="C3949" s="89" t="s">
        <v>969</v>
      </c>
    </row>
    <row r="3950" spans="1:3" ht="15">
      <c r="A3950" s="81" t="s">
        <v>320</v>
      </c>
      <c r="B3950" s="80" t="s">
        <v>3030</v>
      </c>
      <c r="C3950" s="89" t="s">
        <v>969</v>
      </c>
    </row>
    <row r="3951" spans="1:3" ht="15">
      <c r="A3951" s="81" t="s">
        <v>320</v>
      </c>
      <c r="B3951" s="80" t="s">
        <v>2497</v>
      </c>
      <c r="C3951" s="89" t="s">
        <v>969</v>
      </c>
    </row>
    <row r="3952" spans="1:3" ht="15">
      <c r="A3952" s="81" t="s">
        <v>320</v>
      </c>
      <c r="B3952" s="80" t="s">
        <v>3031</v>
      </c>
      <c r="C3952" s="89" t="s">
        <v>969</v>
      </c>
    </row>
    <row r="3953" spans="1:3" ht="15">
      <c r="A3953" s="81" t="s">
        <v>320</v>
      </c>
      <c r="B3953" s="80" t="s">
        <v>3032</v>
      </c>
      <c r="C3953" s="89" t="s">
        <v>969</v>
      </c>
    </row>
    <row r="3954" spans="1:3" ht="15">
      <c r="A3954" s="81" t="s">
        <v>320</v>
      </c>
      <c r="B3954" s="80" t="s">
        <v>3033</v>
      </c>
      <c r="C3954" s="89" t="s">
        <v>969</v>
      </c>
    </row>
    <row r="3955" spans="1:3" ht="15">
      <c r="A3955" s="81" t="s">
        <v>320</v>
      </c>
      <c r="B3955" s="80" t="s">
        <v>3034</v>
      </c>
      <c r="C3955" s="89" t="s">
        <v>969</v>
      </c>
    </row>
    <row r="3956" spans="1:3" ht="15">
      <c r="A3956" s="81" t="s">
        <v>320</v>
      </c>
      <c r="B3956" s="80" t="s">
        <v>3035</v>
      </c>
      <c r="C3956" s="89" t="s">
        <v>969</v>
      </c>
    </row>
    <row r="3957" spans="1:3" ht="15">
      <c r="A3957" s="81" t="s">
        <v>320</v>
      </c>
      <c r="B3957" s="80" t="s">
        <v>3006</v>
      </c>
      <c r="C3957" s="89" t="s">
        <v>969</v>
      </c>
    </row>
    <row r="3958" spans="1:3" ht="15">
      <c r="A3958" s="81" t="s">
        <v>479</v>
      </c>
      <c r="B3958" s="80" t="s">
        <v>2700</v>
      </c>
      <c r="C3958" s="89" t="s">
        <v>1134</v>
      </c>
    </row>
    <row r="3959" spans="1:3" ht="15">
      <c r="A3959" s="81" t="s">
        <v>479</v>
      </c>
      <c r="B3959" s="80" t="s">
        <v>2480</v>
      </c>
      <c r="C3959" s="89" t="s">
        <v>1134</v>
      </c>
    </row>
    <row r="3960" spans="1:3" ht="15">
      <c r="A3960" s="81" t="s">
        <v>479</v>
      </c>
      <c r="B3960" s="80" t="s">
        <v>2481</v>
      </c>
      <c r="C3960" s="89" t="s">
        <v>1134</v>
      </c>
    </row>
    <row r="3961" spans="1:3" ht="15">
      <c r="A3961" s="81" t="s">
        <v>479</v>
      </c>
      <c r="B3961" s="80" t="s">
        <v>2701</v>
      </c>
      <c r="C3961" s="89" t="s">
        <v>1134</v>
      </c>
    </row>
    <row r="3962" spans="1:3" ht="15">
      <c r="A3962" s="81" t="s">
        <v>479</v>
      </c>
      <c r="B3962" s="80" t="s">
        <v>2702</v>
      </c>
      <c r="C3962" s="89" t="s">
        <v>1134</v>
      </c>
    </row>
    <row r="3963" spans="1:3" ht="15">
      <c r="A3963" s="81" t="s">
        <v>479</v>
      </c>
      <c r="B3963" s="80" t="s">
        <v>2483</v>
      </c>
      <c r="C3963" s="89" t="s">
        <v>1134</v>
      </c>
    </row>
    <row r="3964" spans="1:3" ht="15">
      <c r="A3964" s="81" t="s">
        <v>479</v>
      </c>
      <c r="B3964" s="80" t="s">
        <v>2484</v>
      </c>
      <c r="C3964" s="89" t="s">
        <v>1134</v>
      </c>
    </row>
    <row r="3965" spans="1:3" ht="15">
      <c r="A3965" s="81" t="s">
        <v>479</v>
      </c>
      <c r="B3965" s="80" t="s">
        <v>2703</v>
      </c>
      <c r="C3965" s="89" t="s">
        <v>1134</v>
      </c>
    </row>
    <row r="3966" spans="1:3" ht="15">
      <c r="A3966" s="81" t="s">
        <v>479</v>
      </c>
      <c r="B3966" s="80" t="s">
        <v>2485</v>
      </c>
      <c r="C3966" s="89" t="s">
        <v>1134</v>
      </c>
    </row>
    <row r="3967" spans="1:3" ht="15">
      <c r="A3967" s="81" t="s">
        <v>479</v>
      </c>
      <c r="B3967" s="80" t="s">
        <v>2693</v>
      </c>
      <c r="C3967" s="89" t="s">
        <v>1134</v>
      </c>
    </row>
    <row r="3968" spans="1:3" ht="15">
      <c r="A3968" s="81" t="s">
        <v>479</v>
      </c>
      <c r="B3968" s="80" t="s">
        <v>2486</v>
      </c>
      <c r="C3968" s="89" t="s">
        <v>1134</v>
      </c>
    </row>
    <row r="3969" spans="1:3" ht="15">
      <c r="A3969" s="81" t="s">
        <v>479</v>
      </c>
      <c r="B3969" s="80" t="s">
        <v>2704</v>
      </c>
      <c r="C3969" s="89" t="s">
        <v>1134</v>
      </c>
    </row>
    <row r="3970" spans="1:3" ht="15">
      <c r="A3970" s="81" t="s">
        <v>479</v>
      </c>
      <c r="B3970" s="80" t="s">
        <v>2691</v>
      </c>
      <c r="C3970" s="89" t="s">
        <v>1134</v>
      </c>
    </row>
    <row r="3971" spans="1:3" ht="15">
      <c r="A3971" s="81" t="s">
        <v>479</v>
      </c>
      <c r="B3971" s="80" t="s">
        <v>2692</v>
      </c>
      <c r="C3971" s="89" t="s">
        <v>1134</v>
      </c>
    </row>
    <row r="3972" spans="1:3" ht="15">
      <c r="A3972" s="81" t="s">
        <v>479</v>
      </c>
      <c r="B3972" s="80" t="s">
        <v>2477</v>
      </c>
      <c r="C3972" s="89" t="s">
        <v>1134</v>
      </c>
    </row>
    <row r="3973" spans="1:3" ht="15">
      <c r="A3973" s="81" t="s">
        <v>479</v>
      </c>
      <c r="B3973" s="80" t="s">
        <v>2705</v>
      </c>
      <c r="C3973" s="89" t="s">
        <v>1134</v>
      </c>
    </row>
    <row r="3974" spans="1:3" ht="15">
      <c r="A3974" s="81" t="s">
        <v>479</v>
      </c>
      <c r="B3974" s="80" t="s">
        <v>2706</v>
      </c>
      <c r="C3974" s="89" t="s">
        <v>1134</v>
      </c>
    </row>
    <row r="3975" spans="1:3" ht="15">
      <c r="A3975" s="81" t="s">
        <v>479</v>
      </c>
      <c r="B3975" s="80" t="s">
        <v>2707</v>
      </c>
      <c r="C3975" s="89" t="s">
        <v>1134</v>
      </c>
    </row>
    <row r="3976" spans="1:3" ht="15">
      <c r="A3976" s="81" t="s">
        <v>479</v>
      </c>
      <c r="B3976" s="80" t="s">
        <v>2708</v>
      </c>
      <c r="C3976" s="89" t="s">
        <v>1134</v>
      </c>
    </row>
    <row r="3977" spans="1:3" ht="15">
      <c r="A3977" s="81" t="s">
        <v>479</v>
      </c>
      <c r="B3977" s="80" t="s">
        <v>2488</v>
      </c>
      <c r="C3977" s="89" t="s">
        <v>1134</v>
      </c>
    </row>
    <row r="3978" spans="1:3" ht="15">
      <c r="A3978" s="81" t="s">
        <v>479</v>
      </c>
      <c r="B3978" s="80" t="s">
        <v>2709</v>
      </c>
      <c r="C3978" s="89" t="s">
        <v>1134</v>
      </c>
    </row>
    <row r="3979" spans="1:3" ht="15">
      <c r="A3979" s="81" t="s">
        <v>479</v>
      </c>
      <c r="B3979" s="80" t="s">
        <v>2710</v>
      </c>
      <c r="C3979" s="89" t="s">
        <v>1134</v>
      </c>
    </row>
    <row r="3980" spans="1:3" ht="15">
      <c r="A3980" s="81" t="s">
        <v>479</v>
      </c>
      <c r="B3980" s="80" t="s">
        <v>2478</v>
      </c>
      <c r="C3980" s="89" t="s">
        <v>1134</v>
      </c>
    </row>
    <row r="3981" spans="1:3" ht="15">
      <c r="A3981" s="81" t="s">
        <v>479</v>
      </c>
      <c r="B3981" s="80" t="s">
        <v>2476</v>
      </c>
      <c r="C3981" s="89" t="s">
        <v>1134</v>
      </c>
    </row>
    <row r="3982" spans="1:3" ht="15">
      <c r="A3982" s="81" t="s">
        <v>479</v>
      </c>
      <c r="B3982" s="80" t="s">
        <v>2711</v>
      </c>
      <c r="C3982" s="89" t="s">
        <v>1134</v>
      </c>
    </row>
    <row r="3983" spans="1:3" ht="15">
      <c r="A3983" s="81" t="s">
        <v>479</v>
      </c>
      <c r="B3983" s="80" t="s">
        <v>65</v>
      </c>
      <c r="C3983" s="89" t="s">
        <v>1134</v>
      </c>
    </row>
    <row r="3984" spans="1:3" ht="15">
      <c r="A3984" s="81" t="s">
        <v>479</v>
      </c>
      <c r="B3984" s="80" t="s">
        <v>2491</v>
      </c>
      <c r="C3984" s="89" t="s">
        <v>1134</v>
      </c>
    </row>
    <row r="3985" spans="1:3" ht="15">
      <c r="A3985" s="81" t="s">
        <v>319</v>
      </c>
      <c r="B3985" s="80" t="s">
        <v>2713</v>
      </c>
      <c r="C3985" s="89" t="s">
        <v>968</v>
      </c>
    </row>
    <row r="3986" spans="1:3" ht="15">
      <c r="A3986" s="81" t="s">
        <v>319</v>
      </c>
      <c r="B3986" s="80" t="s">
        <v>3036</v>
      </c>
      <c r="C3986" s="89" t="s">
        <v>968</v>
      </c>
    </row>
    <row r="3987" spans="1:3" ht="15">
      <c r="A3987" s="81" t="s">
        <v>319</v>
      </c>
      <c r="B3987" s="80" t="s">
        <v>3037</v>
      </c>
      <c r="C3987" s="89" t="s">
        <v>968</v>
      </c>
    </row>
    <row r="3988" spans="1:3" ht="15">
      <c r="A3988" s="81" t="s">
        <v>319</v>
      </c>
      <c r="B3988" s="80" t="s">
        <v>2691</v>
      </c>
      <c r="C3988" s="89" t="s">
        <v>968</v>
      </c>
    </row>
    <row r="3989" spans="1:3" ht="15">
      <c r="A3989" s="81" t="s">
        <v>319</v>
      </c>
      <c r="B3989" s="80" t="s">
        <v>3038</v>
      </c>
      <c r="C3989" s="89" t="s">
        <v>968</v>
      </c>
    </row>
    <row r="3990" spans="1:3" ht="15">
      <c r="A3990" s="81" t="s">
        <v>318</v>
      </c>
      <c r="B3990" s="80" t="s">
        <v>2691</v>
      </c>
      <c r="C3990" s="89" t="s">
        <v>967</v>
      </c>
    </row>
    <row r="3991" spans="1:3" ht="15">
      <c r="A3991" s="81" t="s">
        <v>318</v>
      </c>
      <c r="B3991" s="80" t="s">
        <v>2692</v>
      </c>
      <c r="C3991" s="89" t="s">
        <v>967</v>
      </c>
    </row>
    <row r="3992" spans="1:3" ht="15">
      <c r="A3992" s="81" t="s">
        <v>318</v>
      </c>
      <c r="B3992" s="80" t="s">
        <v>3039</v>
      </c>
      <c r="C3992" s="89" t="s">
        <v>967</v>
      </c>
    </row>
    <row r="3993" spans="1:3" ht="15">
      <c r="A3993" s="81" t="s">
        <v>318</v>
      </c>
      <c r="B3993" s="80" t="s">
        <v>3040</v>
      </c>
      <c r="C3993" s="89" t="s">
        <v>967</v>
      </c>
    </row>
    <row r="3994" spans="1:3" ht="15">
      <c r="A3994" s="81" t="s">
        <v>318</v>
      </c>
      <c r="B3994" s="80" t="s">
        <v>3041</v>
      </c>
      <c r="C3994" s="89" t="s">
        <v>967</v>
      </c>
    </row>
    <row r="3995" spans="1:3" ht="15">
      <c r="A3995" s="81" t="s">
        <v>318</v>
      </c>
      <c r="B3995" s="80" t="s">
        <v>2492</v>
      </c>
      <c r="C3995" s="89" t="s">
        <v>967</v>
      </c>
    </row>
    <row r="3996" spans="1:3" ht="15">
      <c r="A3996" s="81" t="s">
        <v>318</v>
      </c>
      <c r="B3996" s="80" t="s">
        <v>3042</v>
      </c>
      <c r="C3996" s="89" t="s">
        <v>967</v>
      </c>
    </row>
    <row r="3997" spans="1:3" ht="15">
      <c r="A3997" s="81" t="s">
        <v>317</v>
      </c>
      <c r="B3997" s="80" t="s">
        <v>2691</v>
      </c>
      <c r="C3997" s="89" t="s">
        <v>966</v>
      </c>
    </row>
    <row r="3998" spans="1:3" ht="15">
      <c r="A3998" s="81" t="s">
        <v>317</v>
      </c>
      <c r="B3998" s="80" t="s">
        <v>2692</v>
      </c>
      <c r="C3998" s="89" t="s">
        <v>966</v>
      </c>
    </row>
    <row r="3999" spans="1:3" ht="15">
      <c r="A3999" s="81" t="s">
        <v>317</v>
      </c>
      <c r="B3999" s="80" t="s">
        <v>2627</v>
      </c>
      <c r="C3999" s="89" t="s">
        <v>966</v>
      </c>
    </row>
    <row r="4000" spans="1:3" ht="15">
      <c r="A4000" s="81" t="s">
        <v>317</v>
      </c>
      <c r="B4000" s="80" t="s">
        <v>2628</v>
      </c>
      <c r="C4000" s="89" t="s">
        <v>966</v>
      </c>
    </row>
    <row r="4001" spans="1:3" ht="15">
      <c r="A4001" s="81" t="s">
        <v>316</v>
      </c>
      <c r="B4001" s="80" t="s">
        <v>2691</v>
      </c>
      <c r="C4001" s="89" t="s">
        <v>965</v>
      </c>
    </row>
    <row r="4002" spans="1:3" ht="15">
      <c r="A4002" s="81" t="s">
        <v>316</v>
      </c>
      <c r="B4002" s="80" t="s">
        <v>2692</v>
      </c>
      <c r="C4002" s="89" t="s">
        <v>965</v>
      </c>
    </row>
    <row r="4003" spans="1:3" ht="15">
      <c r="A4003" s="81" t="s">
        <v>316</v>
      </c>
      <c r="B4003" s="80" t="s">
        <v>2627</v>
      </c>
      <c r="C4003" s="89" t="s">
        <v>965</v>
      </c>
    </row>
    <row r="4004" spans="1:3" ht="15">
      <c r="A4004" s="81" t="s">
        <v>316</v>
      </c>
      <c r="B4004" s="80" t="s">
        <v>2628</v>
      </c>
      <c r="C4004" s="89" t="s">
        <v>965</v>
      </c>
    </row>
    <row r="4005" spans="1:3" ht="15">
      <c r="A4005" s="81" t="s">
        <v>315</v>
      </c>
      <c r="B4005" s="80" t="s">
        <v>2691</v>
      </c>
      <c r="C4005" s="89" t="s">
        <v>964</v>
      </c>
    </row>
    <row r="4006" spans="1:3" ht="15">
      <c r="A4006" s="81" t="s">
        <v>315</v>
      </c>
      <c r="B4006" s="80" t="s">
        <v>3043</v>
      </c>
      <c r="C4006" s="89" t="s">
        <v>964</v>
      </c>
    </row>
    <row r="4007" spans="1:3" ht="15">
      <c r="A4007" s="81" t="s">
        <v>315</v>
      </c>
      <c r="B4007" s="80" t="s">
        <v>3044</v>
      </c>
      <c r="C4007" s="89" t="s">
        <v>964</v>
      </c>
    </row>
    <row r="4008" spans="1:3" ht="15">
      <c r="A4008" s="81" t="s">
        <v>315</v>
      </c>
      <c r="B4008" s="80" t="s">
        <v>3045</v>
      </c>
      <c r="C4008" s="89" t="s">
        <v>964</v>
      </c>
    </row>
    <row r="4009" spans="1:3" ht="15">
      <c r="A4009" s="81" t="s">
        <v>315</v>
      </c>
      <c r="B4009" s="80" t="s">
        <v>3046</v>
      </c>
      <c r="C4009" s="89" t="s">
        <v>964</v>
      </c>
    </row>
    <row r="4010" spans="1:3" ht="15">
      <c r="A4010" s="81" t="s">
        <v>315</v>
      </c>
      <c r="B4010" s="80" t="s">
        <v>2693</v>
      </c>
      <c r="C4010" s="89" t="s">
        <v>964</v>
      </c>
    </row>
    <row r="4011" spans="1:3" ht="15">
      <c r="A4011" s="81" t="s">
        <v>315</v>
      </c>
      <c r="B4011" s="80" t="s">
        <v>3047</v>
      </c>
      <c r="C4011" s="89" t="s">
        <v>964</v>
      </c>
    </row>
    <row r="4012" spans="1:3" ht="15">
      <c r="A4012" s="81" t="s">
        <v>315</v>
      </c>
      <c r="B4012" s="80" t="s">
        <v>1181</v>
      </c>
      <c r="C4012" s="89" t="s">
        <v>964</v>
      </c>
    </row>
    <row r="4013" spans="1:3" ht="15">
      <c r="A4013" s="81" t="s">
        <v>315</v>
      </c>
      <c r="B4013" s="80" t="s">
        <v>3048</v>
      </c>
      <c r="C4013" s="89" t="s">
        <v>964</v>
      </c>
    </row>
    <row r="4014" spans="1:3" ht="15">
      <c r="A4014" s="81" t="s">
        <v>315</v>
      </c>
      <c r="B4014" s="80" t="s">
        <v>3049</v>
      </c>
      <c r="C4014" s="89" t="s">
        <v>964</v>
      </c>
    </row>
    <row r="4015" spans="1:3" ht="15">
      <c r="A4015" s="81" t="s">
        <v>314</v>
      </c>
      <c r="B4015" s="80" t="s">
        <v>3050</v>
      </c>
      <c r="C4015" s="89" t="s">
        <v>963</v>
      </c>
    </row>
    <row r="4016" spans="1:3" ht="15">
      <c r="A4016" s="81" t="s">
        <v>314</v>
      </c>
      <c r="B4016" s="80" t="s">
        <v>3051</v>
      </c>
      <c r="C4016" s="89" t="s">
        <v>963</v>
      </c>
    </row>
    <row r="4017" spans="1:3" ht="15">
      <c r="A4017" s="81" t="s">
        <v>314</v>
      </c>
      <c r="B4017" s="80" t="s">
        <v>3052</v>
      </c>
      <c r="C4017" s="89" t="s">
        <v>963</v>
      </c>
    </row>
    <row r="4018" spans="1:3" ht="15">
      <c r="A4018" s="81" t="s">
        <v>314</v>
      </c>
      <c r="B4018" s="80" t="s">
        <v>3053</v>
      </c>
      <c r="C4018" s="89" t="s">
        <v>963</v>
      </c>
    </row>
    <row r="4019" spans="1:3" ht="15">
      <c r="A4019" s="81" t="s">
        <v>314</v>
      </c>
      <c r="B4019" s="80" t="s">
        <v>3054</v>
      </c>
      <c r="C4019" s="89" t="s">
        <v>963</v>
      </c>
    </row>
    <row r="4020" spans="1:3" ht="15">
      <c r="A4020" s="81" t="s">
        <v>314</v>
      </c>
      <c r="B4020" s="80" t="s">
        <v>3055</v>
      </c>
      <c r="C4020" s="89" t="s">
        <v>963</v>
      </c>
    </row>
    <row r="4021" spans="1:3" ht="15">
      <c r="A4021" s="81" t="s">
        <v>314</v>
      </c>
      <c r="B4021" s="80" t="s">
        <v>3056</v>
      </c>
      <c r="C4021" s="89" t="s">
        <v>963</v>
      </c>
    </row>
    <row r="4022" spans="1:3" ht="15">
      <c r="A4022" s="81" t="s">
        <v>314</v>
      </c>
      <c r="B4022" s="80" t="s">
        <v>3057</v>
      </c>
      <c r="C4022" s="89" t="s">
        <v>963</v>
      </c>
    </row>
    <row r="4023" spans="1:3" ht="15">
      <c r="A4023" s="81" t="s">
        <v>314</v>
      </c>
      <c r="B4023" s="80" t="s">
        <v>3058</v>
      </c>
      <c r="C4023" s="89" t="s">
        <v>963</v>
      </c>
    </row>
    <row r="4024" spans="1:3" ht="15">
      <c r="A4024" s="81" t="s">
        <v>314</v>
      </c>
      <c r="B4024" s="80" t="s">
        <v>3059</v>
      </c>
      <c r="C4024" s="89" t="s">
        <v>963</v>
      </c>
    </row>
    <row r="4025" spans="1:3" ht="15">
      <c r="A4025" s="81" t="s">
        <v>314</v>
      </c>
      <c r="B4025" s="80" t="s">
        <v>3060</v>
      </c>
      <c r="C4025" s="89" t="s">
        <v>963</v>
      </c>
    </row>
    <row r="4026" spans="1:3" ht="15">
      <c r="A4026" s="81" t="s">
        <v>314</v>
      </c>
      <c r="B4026" s="80" t="s">
        <v>3061</v>
      </c>
      <c r="C4026" s="89" t="s">
        <v>963</v>
      </c>
    </row>
    <row r="4027" spans="1:3" ht="15">
      <c r="A4027" s="81" t="s">
        <v>314</v>
      </c>
      <c r="B4027" s="80" t="s">
        <v>3062</v>
      </c>
      <c r="C4027" s="89" t="s">
        <v>963</v>
      </c>
    </row>
    <row r="4028" spans="1:3" ht="15">
      <c r="A4028" s="81" t="s">
        <v>314</v>
      </c>
      <c r="B4028" s="80" t="s">
        <v>3063</v>
      </c>
      <c r="C4028" s="89" t="s">
        <v>963</v>
      </c>
    </row>
    <row r="4029" spans="1:3" ht="15">
      <c r="A4029" s="81" t="s">
        <v>314</v>
      </c>
      <c r="B4029" s="80" t="s">
        <v>3064</v>
      </c>
      <c r="C4029" s="89" t="s">
        <v>963</v>
      </c>
    </row>
    <row r="4030" spans="1:3" ht="15">
      <c r="A4030" s="81" t="s">
        <v>314</v>
      </c>
      <c r="B4030" s="80" t="s">
        <v>3065</v>
      </c>
      <c r="C4030" s="89" t="s">
        <v>963</v>
      </c>
    </row>
    <row r="4031" spans="1:3" ht="15">
      <c r="A4031" s="81" t="s">
        <v>314</v>
      </c>
      <c r="B4031" s="80" t="s">
        <v>3066</v>
      </c>
      <c r="C4031" s="89" t="s">
        <v>963</v>
      </c>
    </row>
    <row r="4032" spans="1:3" ht="15">
      <c r="A4032" s="81" t="s">
        <v>314</v>
      </c>
      <c r="B4032" s="80" t="s">
        <v>2691</v>
      </c>
      <c r="C4032" s="89" t="s">
        <v>963</v>
      </c>
    </row>
    <row r="4033" spans="1:3" ht="15">
      <c r="A4033" s="81" t="s">
        <v>314</v>
      </c>
      <c r="B4033" s="80" t="s">
        <v>2692</v>
      </c>
      <c r="C4033" s="89" t="s">
        <v>963</v>
      </c>
    </row>
    <row r="4034" spans="1:3" ht="15">
      <c r="A4034" s="81" t="s">
        <v>314</v>
      </c>
      <c r="B4034" s="80" t="s">
        <v>2498</v>
      </c>
      <c r="C4034" s="89" t="s">
        <v>963</v>
      </c>
    </row>
    <row r="4035" spans="1:3" ht="15">
      <c r="A4035" s="81" t="s">
        <v>314</v>
      </c>
      <c r="B4035" s="80" t="s">
        <v>3067</v>
      </c>
      <c r="C4035" s="89" t="s">
        <v>963</v>
      </c>
    </row>
    <row r="4036" spans="1:3" ht="15">
      <c r="A4036" s="81" t="s">
        <v>314</v>
      </c>
      <c r="B4036" s="80" t="s">
        <v>3068</v>
      </c>
      <c r="C4036" s="89" t="s">
        <v>963</v>
      </c>
    </row>
    <row r="4037" spans="1:3" ht="15">
      <c r="A4037" s="81" t="s">
        <v>313</v>
      </c>
      <c r="B4037" s="80" t="s">
        <v>3069</v>
      </c>
      <c r="C4037" s="89" t="s">
        <v>962</v>
      </c>
    </row>
    <row r="4038" spans="1:3" ht="15">
      <c r="A4038" s="81" t="s">
        <v>313</v>
      </c>
      <c r="B4038" s="80" t="s">
        <v>3070</v>
      </c>
      <c r="C4038" s="89" t="s">
        <v>962</v>
      </c>
    </row>
    <row r="4039" spans="1:3" ht="15">
      <c r="A4039" s="81" t="s">
        <v>313</v>
      </c>
      <c r="B4039" s="80" t="s">
        <v>2613</v>
      </c>
      <c r="C4039" s="89" t="s">
        <v>962</v>
      </c>
    </row>
    <row r="4040" spans="1:3" ht="15">
      <c r="A4040" s="81" t="s">
        <v>313</v>
      </c>
      <c r="B4040" s="80" t="s">
        <v>2693</v>
      </c>
      <c r="C4040" s="89" t="s">
        <v>962</v>
      </c>
    </row>
    <row r="4041" spans="1:3" ht="15">
      <c r="A4041" s="81" t="s">
        <v>313</v>
      </c>
      <c r="B4041" s="80" t="s">
        <v>3071</v>
      </c>
      <c r="C4041" s="89" t="s">
        <v>962</v>
      </c>
    </row>
    <row r="4042" spans="1:3" ht="15">
      <c r="A4042" s="81" t="s">
        <v>313</v>
      </c>
      <c r="B4042" s="80" t="s">
        <v>3072</v>
      </c>
      <c r="C4042" s="89" t="s">
        <v>962</v>
      </c>
    </row>
    <row r="4043" spans="1:3" ht="15">
      <c r="A4043" s="81" t="s">
        <v>313</v>
      </c>
      <c r="B4043" s="80" t="s">
        <v>3073</v>
      </c>
      <c r="C4043" s="89" t="s">
        <v>962</v>
      </c>
    </row>
    <row r="4044" spans="1:3" ht="15">
      <c r="A4044" s="81" t="s">
        <v>313</v>
      </c>
      <c r="B4044" s="80" t="s">
        <v>2882</v>
      </c>
      <c r="C4044" s="89" t="s">
        <v>962</v>
      </c>
    </row>
    <row r="4045" spans="1:3" ht="15">
      <c r="A4045" s="81" t="s">
        <v>313</v>
      </c>
      <c r="B4045" s="80" t="s">
        <v>3074</v>
      </c>
      <c r="C4045" s="89" t="s">
        <v>962</v>
      </c>
    </row>
    <row r="4046" spans="1:3" ht="15">
      <c r="A4046" s="81" t="s">
        <v>313</v>
      </c>
      <c r="B4046" s="80" t="s">
        <v>2520</v>
      </c>
      <c r="C4046" s="89" t="s">
        <v>962</v>
      </c>
    </row>
    <row r="4047" spans="1:3" ht="15">
      <c r="A4047" s="81" t="s">
        <v>313</v>
      </c>
      <c r="B4047" s="80" t="s">
        <v>3075</v>
      </c>
      <c r="C4047" s="89" t="s">
        <v>962</v>
      </c>
    </row>
    <row r="4048" spans="1:3" ht="15">
      <c r="A4048" s="81" t="s">
        <v>313</v>
      </c>
      <c r="B4048" s="80" t="s">
        <v>3076</v>
      </c>
      <c r="C4048" s="89" t="s">
        <v>962</v>
      </c>
    </row>
    <row r="4049" spans="1:3" ht="15">
      <c r="A4049" s="81" t="s">
        <v>313</v>
      </c>
      <c r="B4049" s="80">
        <v>2006</v>
      </c>
      <c r="C4049" s="89" t="s">
        <v>962</v>
      </c>
    </row>
    <row r="4050" spans="1:3" ht="15">
      <c r="A4050" s="81" t="s">
        <v>313</v>
      </c>
      <c r="B4050" s="80" t="s">
        <v>1181</v>
      </c>
      <c r="C4050" s="89" t="s">
        <v>962</v>
      </c>
    </row>
    <row r="4051" spans="1:3" ht="15">
      <c r="A4051" s="81" t="s">
        <v>313</v>
      </c>
      <c r="B4051" s="80" t="s">
        <v>3077</v>
      </c>
      <c r="C4051" s="89" t="s">
        <v>962</v>
      </c>
    </row>
    <row r="4052" spans="1:3" ht="15">
      <c r="A4052" s="81" t="s">
        <v>313</v>
      </c>
      <c r="B4052" s="80" t="s">
        <v>3078</v>
      </c>
      <c r="C4052" s="89" t="s">
        <v>962</v>
      </c>
    </row>
    <row r="4053" spans="1:3" ht="15">
      <c r="A4053" s="81" t="s">
        <v>313</v>
      </c>
      <c r="B4053" s="80" t="s">
        <v>2691</v>
      </c>
      <c r="C4053" s="89" t="s">
        <v>962</v>
      </c>
    </row>
    <row r="4054" spans="1:3" ht="15">
      <c r="A4054" s="81" t="s">
        <v>313</v>
      </c>
      <c r="B4054" s="80" t="s">
        <v>3079</v>
      </c>
      <c r="C4054" s="89" t="s">
        <v>962</v>
      </c>
    </row>
    <row r="4055" spans="1:3" ht="15">
      <c r="A4055" s="81" t="s">
        <v>313</v>
      </c>
      <c r="B4055" s="80" t="s">
        <v>3080</v>
      </c>
      <c r="C4055" s="89" t="s">
        <v>962</v>
      </c>
    </row>
    <row r="4056" spans="1:3" ht="15">
      <c r="A4056" s="81" t="s">
        <v>313</v>
      </c>
      <c r="B4056" s="80" t="s">
        <v>3081</v>
      </c>
      <c r="C4056" s="89" t="s">
        <v>962</v>
      </c>
    </row>
    <row r="4057" spans="1:3" ht="15">
      <c r="A4057" s="81" t="s">
        <v>313</v>
      </c>
      <c r="B4057" s="80" t="s">
        <v>3082</v>
      </c>
      <c r="C4057" s="89" t="s">
        <v>962</v>
      </c>
    </row>
    <row r="4058" spans="1:3" ht="15">
      <c r="A4058" s="81" t="s">
        <v>313</v>
      </c>
      <c r="B4058" s="80" t="s">
        <v>3083</v>
      </c>
      <c r="C4058" s="89" t="s">
        <v>962</v>
      </c>
    </row>
    <row r="4059" spans="1:3" ht="15">
      <c r="A4059" s="81" t="s">
        <v>313</v>
      </c>
      <c r="B4059" s="80" t="s">
        <v>3021</v>
      </c>
      <c r="C4059" s="89" t="s">
        <v>962</v>
      </c>
    </row>
    <row r="4060" spans="1:3" ht="15">
      <c r="A4060" s="81" t="s">
        <v>313</v>
      </c>
      <c r="B4060" s="80" t="s">
        <v>2753</v>
      </c>
      <c r="C4060" s="89" t="s">
        <v>962</v>
      </c>
    </row>
    <row r="4061" spans="1:3" ht="15">
      <c r="A4061" s="81" t="s">
        <v>313</v>
      </c>
      <c r="B4061" s="80" t="s">
        <v>3084</v>
      </c>
      <c r="C4061" s="89" t="s">
        <v>962</v>
      </c>
    </row>
    <row r="4062" spans="1:3" ht="15">
      <c r="A4062" s="81" t="s">
        <v>313</v>
      </c>
      <c r="B4062" s="80" t="s">
        <v>2614</v>
      </c>
      <c r="C4062" s="89" t="s">
        <v>962</v>
      </c>
    </row>
    <row r="4063" spans="1:3" ht="15">
      <c r="A4063" s="81" t="s">
        <v>313</v>
      </c>
      <c r="B4063" s="80" t="s">
        <v>3085</v>
      </c>
      <c r="C4063" s="89" t="s">
        <v>962</v>
      </c>
    </row>
    <row r="4064" spans="1:3" ht="15">
      <c r="A4064" s="81" t="s">
        <v>313</v>
      </c>
      <c r="B4064" s="80" t="s">
        <v>3086</v>
      </c>
      <c r="C4064" s="89" t="s">
        <v>962</v>
      </c>
    </row>
    <row r="4065" spans="1:3" ht="15">
      <c r="A4065" s="81" t="s">
        <v>313</v>
      </c>
      <c r="B4065" s="80" t="s">
        <v>3087</v>
      </c>
      <c r="C4065" s="89" t="s">
        <v>962</v>
      </c>
    </row>
    <row r="4066" spans="1:3" ht="15">
      <c r="A4066" s="81" t="s">
        <v>313</v>
      </c>
      <c r="B4066" s="80" t="s">
        <v>3088</v>
      </c>
      <c r="C4066" s="89" t="s">
        <v>962</v>
      </c>
    </row>
    <row r="4067" spans="1:3" ht="15">
      <c r="A4067" s="81" t="s">
        <v>313</v>
      </c>
      <c r="B4067" s="80" t="s">
        <v>2864</v>
      </c>
      <c r="C4067" s="89" t="s">
        <v>962</v>
      </c>
    </row>
    <row r="4068" spans="1:3" ht="15">
      <c r="A4068" s="81" t="s">
        <v>312</v>
      </c>
      <c r="B4068" s="80" t="s">
        <v>3089</v>
      </c>
      <c r="C4068" s="89" t="s">
        <v>961</v>
      </c>
    </row>
    <row r="4069" spans="1:3" ht="15">
      <c r="A4069" s="81" t="s">
        <v>312</v>
      </c>
      <c r="B4069" s="80" t="s">
        <v>2975</v>
      </c>
      <c r="C4069" s="89" t="s">
        <v>961</v>
      </c>
    </row>
    <row r="4070" spans="1:3" ht="15">
      <c r="A4070" s="81" t="s">
        <v>312</v>
      </c>
      <c r="B4070" s="80" t="s">
        <v>2691</v>
      </c>
      <c r="C4070" s="89" t="s">
        <v>961</v>
      </c>
    </row>
    <row r="4071" spans="1:3" ht="15">
      <c r="A4071" s="81" t="s">
        <v>312</v>
      </c>
      <c r="B4071" s="80" t="s">
        <v>3090</v>
      </c>
      <c r="C4071" s="89" t="s">
        <v>961</v>
      </c>
    </row>
    <row r="4072" spans="1:3" ht="15">
      <c r="A4072" s="81" t="s">
        <v>312</v>
      </c>
      <c r="B4072" s="80" t="s">
        <v>2520</v>
      </c>
      <c r="C4072" s="89" t="s">
        <v>961</v>
      </c>
    </row>
    <row r="4073" spans="1:3" ht="15">
      <c r="A4073" s="81" t="s">
        <v>312</v>
      </c>
      <c r="B4073" s="80" t="s">
        <v>3091</v>
      </c>
      <c r="C4073" s="89" t="s">
        <v>961</v>
      </c>
    </row>
    <row r="4074" spans="1:3" ht="15">
      <c r="A4074" s="81" t="s">
        <v>312</v>
      </c>
      <c r="B4074" s="80" t="s">
        <v>3092</v>
      </c>
      <c r="C4074" s="89" t="s">
        <v>961</v>
      </c>
    </row>
    <row r="4075" spans="1:3" ht="15">
      <c r="A4075" s="81" t="s">
        <v>312</v>
      </c>
      <c r="B4075" s="80" t="s">
        <v>3093</v>
      </c>
      <c r="C4075" s="89" t="s">
        <v>961</v>
      </c>
    </row>
    <row r="4076" spans="1:3" ht="15">
      <c r="A4076" s="81" t="s">
        <v>312</v>
      </c>
      <c r="B4076" s="80" t="s">
        <v>2630</v>
      </c>
      <c r="C4076" s="89" t="s">
        <v>961</v>
      </c>
    </row>
    <row r="4077" spans="1:3" ht="15">
      <c r="A4077" s="81" t="s">
        <v>312</v>
      </c>
      <c r="B4077" s="80" t="s">
        <v>3094</v>
      </c>
      <c r="C4077" s="89" t="s">
        <v>961</v>
      </c>
    </row>
    <row r="4078" spans="1:3" ht="15">
      <c r="A4078" s="81" t="s">
        <v>312</v>
      </c>
      <c r="B4078" s="80" t="s">
        <v>2976</v>
      </c>
      <c r="C4078" s="89" t="s">
        <v>961</v>
      </c>
    </row>
    <row r="4079" spans="1:3" ht="15">
      <c r="A4079" s="81" t="s">
        <v>312</v>
      </c>
      <c r="B4079" s="80" t="s">
        <v>2523</v>
      </c>
      <c r="C4079" s="89" t="s">
        <v>961</v>
      </c>
    </row>
    <row r="4080" spans="1:3" ht="15">
      <c r="A4080" s="81" t="s">
        <v>312</v>
      </c>
      <c r="B4080" s="80" t="s">
        <v>3095</v>
      </c>
      <c r="C4080" s="89" t="s">
        <v>961</v>
      </c>
    </row>
    <row r="4081" spans="1:3" ht="15">
      <c r="A4081" s="81" t="s">
        <v>312</v>
      </c>
      <c r="B4081" s="80" t="s">
        <v>3096</v>
      </c>
      <c r="C4081" s="89" t="s">
        <v>961</v>
      </c>
    </row>
    <row r="4082" spans="1:3" ht="15">
      <c r="A4082" s="81" t="s">
        <v>312</v>
      </c>
      <c r="B4082" s="80" t="s">
        <v>3097</v>
      </c>
      <c r="C4082" s="89" t="s">
        <v>961</v>
      </c>
    </row>
    <row r="4083" spans="1:3" ht="15">
      <c r="A4083" s="81" t="s">
        <v>312</v>
      </c>
      <c r="B4083" s="80" t="s">
        <v>2977</v>
      </c>
      <c r="C4083" s="89" t="s">
        <v>961</v>
      </c>
    </row>
    <row r="4084" spans="1:3" ht="15">
      <c r="A4084" s="81" t="s">
        <v>312</v>
      </c>
      <c r="B4084" s="80" t="s">
        <v>2710</v>
      </c>
      <c r="C4084" s="89" t="s">
        <v>961</v>
      </c>
    </row>
    <row r="4085" spans="1:3" ht="15">
      <c r="A4085" s="81" t="s">
        <v>312</v>
      </c>
      <c r="B4085" s="80" t="s">
        <v>3098</v>
      </c>
      <c r="C4085" s="89" t="s">
        <v>961</v>
      </c>
    </row>
    <row r="4086" spans="1:3" ht="15">
      <c r="A4086" s="81" t="s">
        <v>312</v>
      </c>
      <c r="B4086" s="80" t="s">
        <v>3099</v>
      </c>
      <c r="C4086" s="89" t="s">
        <v>961</v>
      </c>
    </row>
    <row r="4087" spans="1:3" ht="15">
      <c r="A4087" s="81" t="s">
        <v>312</v>
      </c>
      <c r="B4087" s="80" t="s">
        <v>3100</v>
      </c>
      <c r="C4087" s="89" t="s">
        <v>961</v>
      </c>
    </row>
    <row r="4088" spans="1:3" ht="15">
      <c r="A4088" s="81" t="s">
        <v>312</v>
      </c>
      <c r="B4088" s="80" t="s">
        <v>3101</v>
      </c>
      <c r="C4088" s="89" t="s">
        <v>961</v>
      </c>
    </row>
    <row r="4089" spans="1:3" ht="15">
      <c r="A4089" s="81" t="s">
        <v>312</v>
      </c>
      <c r="B4089" s="80" t="s">
        <v>3102</v>
      </c>
      <c r="C4089" s="89" t="s">
        <v>961</v>
      </c>
    </row>
    <row r="4090" spans="1:3" ht="15">
      <c r="A4090" s="81" t="s">
        <v>311</v>
      </c>
      <c r="B4090" s="80" t="s">
        <v>3103</v>
      </c>
      <c r="C4090" s="89" t="s">
        <v>960</v>
      </c>
    </row>
    <row r="4091" spans="1:3" ht="15">
      <c r="A4091" s="81" t="s">
        <v>311</v>
      </c>
      <c r="B4091" s="80" t="s">
        <v>3104</v>
      </c>
      <c r="C4091" s="89" t="s">
        <v>960</v>
      </c>
    </row>
    <row r="4092" spans="1:3" ht="15">
      <c r="A4092" s="81" t="s">
        <v>311</v>
      </c>
      <c r="B4092" s="80" t="s">
        <v>2728</v>
      </c>
      <c r="C4092" s="89" t="s">
        <v>960</v>
      </c>
    </row>
    <row r="4093" spans="1:3" ht="15">
      <c r="A4093" s="81" t="s">
        <v>311</v>
      </c>
      <c r="B4093" s="80" t="s">
        <v>2633</v>
      </c>
      <c r="C4093" s="89" t="s">
        <v>960</v>
      </c>
    </row>
    <row r="4094" spans="1:3" ht="15">
      <c r="A4094" s="81" t="s">
        <v>311</v>
      </c>
      <c r="B4094" s="80" t="s">
        <v>2731</v>
      </c>
      <c r="C4094" s="89" t="s">
        <v>960</v>
      </c>
    </row>
    <row r="4095" spans="1:3" ht="15">
      <c r="A4095" s="81" t="s">
        <v>311</v>
      </c>
      <c r="B4095" s="80" t="s">
        <v>2732</v>
      </c>
      <c r="C4095" s="89" t="s">
        <v>960</v>
      </c>
    </row>
    <row r="4096" spans="1:3" ht="15">
      <c r="A4096" s="81" t="s">
        <v>311</v>
      </c>
      <c r="B4096" s="80" t="s">
        <v>1181</v>
      </c>
      <c r="C4096" s="89" t="s">
        <v>960</v>
      </c>
    </row>
    <row r="4097" spans="1:3" ht="15">
      <c r="A4097" s="81" t="s">
        <v>311</v>
      </c>
      <c r="B4097" s="80" t="s">
        <v>3105</v>
      </c>
      <c r="C4097" s="89" t="s">
        <v>960</v>
      </c>
    </row>
    <row r="4098" spans="1:3" ht="15">
      <c r="A4098" s="81" t="s">
        <v>311</v>
      </c>
      <c r="B4098" s="80" t="s">
        <v>2636</v>
      </c>
      <c r="C4098" s="89" t="s">
        <v>960</v>
      </c>
    </row>
    <row r="4099" spans="1:3" ht="15">
      <c r="A4099" s="81" t="s">
        <v>311</v>
      </c>
      <c r="B4099" s="80" t="s">
        <v>2637</v>
      </c>
      <c r="C4099" s="89" t="s">
        <v>960</v>
      </c>
    </row>
    <row r="4100" spans="1:3" ht="15">
      <c r="A4100" s="81" t="s">
        <v>311</v>
      </c>
      <c r="B4100" s="80" t="s">
        <v>3106</v>
      </c>
      <c r="C4100" s="89" t="s">
        <v>960</v>
      </c>
    </row>
    <row r="4101" spans="1:3" ht="15">
      <c r="A4101" s="81" t="s">
        <v>311</v>
      </c>
      <c r="B4101" s="80" t="s">
        <v>3107</v>
      </c>
      <c r="C4101" s="89" t="s">
        <v>960</v>
      </c>
    </row>
    <row r="4102" spans="1:3" ht="15">
      <c r="A4102" s="81" t="s">
        <v>311</v>
      </c>
      <c r="B4102" s="80" t="s">
        <v>310</v>
      </c>
      <c r="C4102" s="89" t="s">
        <v>960</v>
      </c>
    </row>
    <row r="4103" spans="1:3" ht="15">
      <c r="A4103" s="81" t="s">
        <v>310</v>
      </c>
      <c r="B4103" s="80" t="s">
        <v>3103</v>
      </c>
      <c r="C4103" s="89" t="s">
        <v>959</v>
      </c>
    </row>
    <row r="4104" spans="1:3" ht="15">
      <c r="A4104" s="81" t="s">
        <v>310</v>
      </c>
      <c r="B4104" s="80" t="s">
        <v>3104</v>
      </c>
      <c r="C4104" s="89" t="s">
        <v>959</v>
      </c>
    </row>
    <row r="4105" spans="1:3" ht="15">
      <c r="A4105" s="81" t="s">
        <v>310</v>
      </c>
      <c r="B4105" s="80" t="s">
        <v>2728</v>
      </c>
      <c r="C4105" s="89" t="s">
        <v>959</v>
      </c>
    </row>
    <row r="4106" spans="1:3" ht="15">
      <c r="A4106" s="81" t="s">
        <v>310</v>
      </c>
      <c r="B4106" s="80" t="s">
        <v>2633</v>
      </c>
      <c r="C4106" s="89" t="s">
        <v>959</v>
      </c>
    </row>
    <row r="4107" spans="1:3" ht="15">
      <c r="A4107" s="81" t="s">
        <v>310</v>
      </c>
      <c r="B4107" s="80" t="s">
        <v>2731</v>
      </c>
      <c r="C4107" s="89" t="s">
        <v>959</v>
      </c>
    </row>
    <row r="4108" spans="1:3" ht="15">
      <c r="A4108" s="81" t="s">
        <v>310</v>
      </c>
      <c r="B4108" s="80" t="s">
        <v>2732</v>
      </c>
      <c r="C4108" s="89" t="s">
        <v>959</v>
      </c>
    </row>
    <row r="4109" spans="1:3" ht="15">
      <c r="A4109" s="81" t="s">
        <v>310</v>
      </c>
      <c r="B4109" s="80" t="s">
        <v>1181</v>
      </c>
      <c r="C4109" s="89" t="s">
        <v>959</v>
      </c>
    </row>
    <row r="4110" spans="1:3" ht="15">
      <c r="A4110" s="81" t="s">
        <v>310</v>
      </c>
      <c r="B4110" s="80" t="s">
        <v>3105</v>
      </c>
      <c r="C4110" s="89" t="s">
        <v>959</v>
      </c>
    </row>
    <row r="4111" spans="1:3" ht="15">
      <c r="A4111" s="81" t="s">
        <v>310</v>
      </c>
      <c r="B4111" s="80" t="s">
        <v>2636</v>
      </c>
      <c r="C4111" s="89" t="s">
        <v>959</v>
      </c>
    </row>
    <row r="4112" spans="1:3" ht="15">
      <c r="A4112" s="81" t="s">
        <v>310</v>
      </c>
      <c r="B4112" s="80" t="s">
        <v>2637</v>
      </c>
      <c r="C4112" s="89" t="s">
        <v>959</v>
      </c>
    </row>
    <row r="4113" spans="1:3" ht="15">
      <c r="A4113" s="81" t="s">
        <v>310</v>
      </c>
      <c r="B4113" s="80" t="s">
        <v>3106</v>
      </c>
      <c r="C4113" s="89" t="s">
        <v>959</v>
      </c>
    </row>
    <row r="4114" spans="1:3" ht="15">
      <c r="A4114" s="81" t="s">
        <v>310</v>
      </c>
      <c r="B4114" s="80" t="s">
        <v>3107</v>
      </c>
      <c r="C4114" s="89" t="s">
        <v>959</v>
      </c>
    </row>
    <row r="4115" spans="1:3" ht="15">
      <c r="A4115" s="81" t="s">
        <v>310</v>
      </c>
      <c r="B4115" s="80" t="s">
        <v>310</v>
      </c>
      <c r="C4115" s="89" t="s">
        <v>959</v>
      </c>
    </row>
    <row r="4116" spans="1:3" ht="15">
      <c r="A4116" s="81" t="s">
        <v>309</v>
      </c>
      <c r="B4116" s="80" t="s">
        <v>2691</v>
      </c>
      <c r="C4116" s="89" t="s">
        <v>958</v>
      </c>
    </row>
    <row r="4117" spans="1:3" ht="15">
      <c r="A4117" s="81" t="s">
        <v>309</v>
      </c>
      <c r="B4117" s="80" t="s">
        <v>2692</v>
      </c>
      <c r="C4117" s="89" t="s">
        <v>958</v>
      </c>
    </row>
    <row r="4118" spans="1:3" ht="15">
      <c r="A4118" s="81" t="s">
        <v>309</v>
      </c>
      <c r="B4118" s="80" t="s">
        <v>2641</v>
      </c>
      <c r="C4118" s="89" t="s">
        <v>958</v>
      </c>
    </row>
    <row r="4119" spans="1:3" ht="15">
      <c r="A4119" s="81" t="s">
        <v>309</v>
      </c>
      <c r="B4119" s="80" t="s">
        <v>3108</v>
      </c>
      <c r="C4119" s="89" t="s">
        <v>958</v>
      </c>
    </row>
    <row r="4120" spans="1:3" ht="15">
      <c r="A4120" s="81" t="s">
        <v>309</v>
      </c>
      <c r="B4120" s="80" t="s">
        <v>3109</v>
      </c>
      <c r="C4120" s="89" t="s">
        <v>958</v>
      </c>
    </row>
    <row r="4121" spans="1:3" ht="15">
      <c r="A4121" s="81" t="s">
        <v>309</v>
      </c>
      <c r="B4121" s="80" t="s">
        <v>3110</v>
      </c>
      <c r="C4121" s="89" t="s">
        <v>958</v>
      </c>
    </row>
    <row r="4122" spans="1:3" ht="15">
      <c r="A4122" s="81" t="s">
        <v>309</v>
      </c>
      <c r="B4122" s="80" t="s">
        <v>3111</v>
      </c>
      <c r="C4122" s="89" t="s">
        <v>958</v>
      </c>
    </row>
    <row r="4123" spans="1:3" ht="15">
      <c r="A4123" s="81" t="s">
        <v>309</v>
      </c>
      <c r="B4123" s="80" t="s">
        <v>3112</v>
      </c>
      <c r="C4123" s="89" t="s">
        <v>958</v>
      </c>
    </row>
    <row r="4124" spans="1:3" ht="15">
      <c r="A4124" s="81" t="s">
        <v>309</v>
      </c>
      <c r="B4124" s="80" t="s">
        <v>3113</v>
      </c>
      <c r="C4124" s="89" t="s">
        <v>958</v>
      </c>
    </row>
    <row r="4125" spans="1:3" ht="15">
      <c r="A4125" s="81" t="s">
        <v>309</v>
      </c>
      <c r="B4125" s="80" t="s">
        <v>1181</v>
      </c>
      <c r="C4125" s="89" t="s">
        <v>958</v>
      </c>
    </row>
    <row r="4126" spans="1:3" ht="15">
      <c r="A4126" s="81" t="s">
        <v>309</v>
      </c>
      <c r="B4126" s="80" t="s">
        <v>3114</v>
      </c>
      <c r="C4126" s="89" t="s">
        <v>958</v>
      </c>
    </row>
    <row r="4127" spans="1:3" ht="15">
      <c r="A4127" s="81" t="s">
        <v>309</v>
      </c>
      <c r="B4127" s="80" t="s">
        <v>3115</v>
      </c>
      <c r="C4127" s="89" t="s">
        <v>958</v>
      </c>
    </row>
    <row r="4128" spans="1:3" ht="15">
      <c r="A4128" s="81" t="s">
        <v>351</v>
      </c>
      <c r="B4128" s="80" t="s">
        <v>2974</v>
      </c>
      <c r="C4128" s="89" t="s">
        <v>1002</v>
      </c>
    </row>
    <row r="4129" spans="1:3" ht="15">
      <c r="A4129" s="81" t="s">
        <v>351</v>
      </c>
      <c r="B4129" s="80" t="s">
        <v>2975</v>
      </c>
      <c r="C4129" s="89" t="s">
        <v>1002</v>
      </c>
    </row>
    <row r="4130" spans="1:3" ht="15">
      <c r="A4130" s="81" t="s">
        <v>351</v>
      </c>
      <c r="B4130" s="80" t="s">
        <v>2691</v>
      </c>
      <c r="C4130" s="89" t="s">
        <v>1002</v>
      </c>
    </row>
    <row r="4131" spans="1:3" ht="15">
      <c r="A4131" s="81" t="s">
        <v>351</v>
      </c>
      <c r="B4131" s="80" t="s">
        <v>2692</v>
      </c>
      <c r="C4131" s="89" t="s">
        <v>1002</v>
      </c>
    </row>
    <row r="4132" spans="1:3" ht="15">
      <c r="A4132" s="81" t="s">
        <v>351</v>
      </c>
      <c r="B4132" s="80" t="s">
        <v>2520</v>
      </c>
      <c r="C4132" s="89" t="s">
        <v>1002</v>
      </c>
    </row>
    <row r="4133" spans="1:3" ht="15">
      <c r="A4133" s="81" t="s">
        <v>351</v>
      </c>
      <c r="B4133" s="80" t="s">
        <v>2527</v>
      </c>
      <c r="C4133" s="89" t="s">
        <v>1002</v>
      </c>
    </row>
    <row r="4134" spans="1:3" ht="15">
      <c r="A4134" s="81" t="s">
        <v>351</v>
      </c>
      <c r="B4134" s="80" t="s">
        <v>2476</v>
      </c>
      <c r="C4134" s="89" t="s">
        <v>1002</v>
      </c>
    </row>
    <row r="4135" spans="1:3" ht="15">
      <c r="A4135" s="81" t="s">
        <v>351</v>
      </c>
      <c r="B4135" s="80" t="s">
        <v>2532</v>
      </c>
      <c r="C4135" s="89" t="s">
        <v>1002</v>
      </c>
    </row>
    <row r="4136" spans="1:3" ht="15">
      <c r="A4136" s="81" t="s">
        <v>351</v>
      </c>
      <c r="B4136" s="80" t="s">
        <v>2976</v>
      </c>
      <c r="C4136" s="89" t="s">
        <v>1002</v>
      </c>
    </row>
    <row r="4137" spans="1:3" ht="15">
      <c r="A4137" s="81" t="s">
        <v>351</v>
      </c>
      <c r="B4137" s="80" t="s">
        <v>2523</v>
      </c>
      <c r="C4137" s="89" t="s">
        <v>1002</v>
      </c>
    </row>
    <row r="4138" spans="1:3" ht="15">
      <c r="A4138" s="81" t="s">
        <v>351</v>
      </c>
      <c r="B4138" s="80" t="s">
        <v>2528</v>
      </c>
      <c r="C4138" s="89" t="s">
        <v>1002</v>
      </c>
    </row>
    <row r="4139" spans="1:3" ht="15">
      <c r="A4139" s="81" t="s">
        <v>351</v>
      </c>
      <c r="B4139" s="80" t="s">
        <v>2977</v>
      </c>
      <c r="C4139" s="89" t="s">
        <v>1002</v>
      </c>
    </row>
    <row r="4140" spans="1:3" ht="15">
      <c r="A4140" s="81" t="s">
        <v>351</v>
      </c>
      <c r="B4140" s="80" t="s">
        <v>2710</v>
      </c>
      <c r="C4140" s="89" t="s">
        <v>1002</v>
      </c>
    </row>
    <row r="4141" spans="1:3" ht="15">
      <c r="A4141" s="81" t="s">
        <v>351</v>
      </c>
      <c r="B4141" s="80" t="s">
        <v>2978</v>
      </c>
      <c r="C4141" s="89" t="s">
        <v>1002</v>
      </c>
    </row>
    <row r="4142" spans="1:3" ht="15">
      <c r="A4142" s="81" t="s">
        <v>351</v>
      </c>
      <c r="B4142" s="80" t="s">
        <v>2529</v>
      </c>
      <c r="C4142" s="89" t="s">
        <v>1002</v>
      </c>
    </row>
    <row r="4143" spans="1:3" ht="15">
      <c r="A4143" s="81" t="s">
        <v>351</v>
      </c>
      <c r="B4143" s="80" t="s">
        <v>2530</v>
      </c>
      <c r="C4143" s="89" t="s">
        <v>1002</v>
      </c>
    </row>
    <row r="4144" spans="1:3" ht="15">
      <c r="A4144" s="81" t="s">
        <v>308</v>
      </c>
      <c r="B4144" s="80" t="s">
        <v>2974</v>
      </c>
      <c r="C4144" s="89" t="s">
        <v>957</v>
      </c>
    </row>
    <row r="4145" spans="1:3" ht="15">
      <c r="A4145" s="81" t="s">
        <v>308</v>
      </c>
      <c r="B4145" s="80" t="s">
        <v>2975</v>
      </c>
      <c r="C4145" s="89" t="s">
        <v>957</v>
      </c>
    </row>
    <row r="4146" spans="1:3" ht="15">
      <c r="A4146" s="81" t="s">
        <v>308</v>
      </c>
      <c r="B4146" s="80" t="s">
        <v>2691</v>
      </c>
      <c r="C4146" s="89" t="s">
        <v>957</v>
      </c>
    </row>
    <row r="4147" spans="1:3" ht="15">
      <c r="A4147" s="81" t="s">
        <v>308</v>
      </c>
      <c r="B4147" s="80" t="s">
        <v>2692</v>
      </c>
      <c r="C4147" s="89" t="s">
        <v>957</v>
      </c>
    </row>
    <row r="4148" spans="1:3" ht="15">
      <c r="A4148" s="81" t="s">
        <v>308</v>
      </c>
      <c r="B4148" s="80" t="s">
        <v>2520</v>
      </c>
      <c r="C4148" s="89" t="s">
        <v>957</v>
      </c>
    </row>
    <row r="4149" spans="1:3" ht="15">
      <c r="A4149" s="81" t="s">
        <v>308</v>
      </c>
      <c r="B4149" s="80" t="s">
        <v>2527</v>
      </c>
      <c r="C4149" s="89" t="s">
        <v>957</v>
      </c>
    </row>
    <row r="4150" spans="1:3" ht="15">
      <c r="A4150" s="81" t="s">
        <v>308</v>
      </c>
      <c r="B4150" s="80" t="s">
        <v>2476</v>
      </c>
      <c r="C4150" s="89" t="s">
        <v>957</v>
      </c>
    </row>
    <row r="4151" spans="1:3" ht="15">
      <c r="A4151" s="81" t="s">
        <v>308</v>
      </c>
      <c r="B4151" s="80" t="s">
        <v>2532</v>
      </c>
      <c r="C4151" s="89" t="s">
        <v>957</v>
      </c>
    </row>
    <row r="4152" spans="1:3" ht="15">
      <c r="A4152" s="81" t="s">
        <v>308</v>
      </c>
      <c r="B4152" s="80" t="s">
        <v>2976</v>
      </c>
      <c r="C4152" s="89" t="s">
        <v>957</v>
      </c>
    </row>
    <row r="4153" spans="1:3" ht="15">
      <c r="A4153" s="81" t="s">
        <v>308</v>
      </c>
      <c r="B4153" s="80" t="s">
        <v>2523</v>
      </c>
      <c r="C4153" s="89" t="s">
        <v>957</v>
      </c>
    </row>
    <row r="4154" spans="1:3" ht="15">
      <c r="A4154" s="81" t="s">
        <v>308</v>
      </c>
      <c r="B4154" s="80" t="s">
        <v>2528</v>
      </c>
      <c r="C4154" s="89" t="s">
        <v>957</v>
      </c>
    </row>
    <row r="4155" spans="1:3" ht="15">
      <c r="A4155" s="81" t="s">
        <v>308</v>
      </c>
      <c r="B4155" s="80" t="s">
        <v>2977</v>
      </c>
      <c r="C4155" s="89" t="s">
        <v>957</v>
      </c>
    </row>
    <row r="4156" spans="1:3" ht="15">
      <c r="A4156" s="81" t="s">
        <v>308</v>
      </c>
      <c r="B4156" s="80" t="s">
        <v>2710</v>
      </c>
      <c r="C4156" s="89" t="s">
        <v>957</v>
      </c>
    </row>
    <row r="4157" spans="1:3" ht="15">
      <c r="A4157" s="81" t="s">
        <v>308</v>
      </c>
      <c r="B4157" s="80" t="s">
        <v>2978</v>
      </c>
      <c r="C4157" s="89" t="s">
        <v>957</v>
      </c>
    </row>
    <row r="4158" spans="1:3" ht="15">
      <c r="A4158" s="81" t="s">
        <v>308</v>
      </c>
      <c r="B4158" s="80" t="s">
        <v>2529</v>
      </c>
      <c r="C4158" s="89" t="s">
        <v>957</v>
      </c>
    </row>
    <row r="4159" spans="1:3" ht="15">
      <c r="A4159" s="81" t="s">
        <v>308</v>
      </c>
      <c r="B4159" s="80" t="s">
        <v>2530</v>
      </c>
      <c r="C4159" s="89" t="s">
        <v>957</v>
      </c>
    </row>
    <row r="4160" spans="1:3" ht="15">
      <c r="A4160" s="81" t="s">
        <v>307</v>
      </c>
      <c r="B4160" s="80" t="s">
        <v>2974</v>
      </c>
      <c r="C4160" s="89" t="s">
        <v>956</v>
      </c>
    </row>
    <row r="4161" spans="1:3" ht="15">
      <c r="A4161" s="81" t="s">
        <v>307</v>
      </c>
      <c r="B4161" s="80" t="s">
        <v>2975</v>
      </c>
      <c r="C4161" s="89" t="s">
        <v>956</v>
      </c>
    </row>
    <row r="4162" spans="1:3" ht="15">
      <c r="A4162" s="81" t="s">
        <v>307</v>
      </c>
      <c r="B4162" s="80" t="s">
        <v>2691</v>
      </c>
      <c r="C4162" s="89" t="s">
        <v>956</v>
      </c>
    </row>
    <row r="4163" spans="1:3" ht="15">
      <c r="A4163" s="81" t="s">
        <v>307</v>
      </c>
      <c r="B4163" s="80" t="s">
        <v>2692</v>
      </c>
      <c r="C4163" s="89" t="s">
        <v>956</v>
      </c>
    </row>
    <row r="4164" spans="1:3" ht="15">
      <c r="A4164" s="81" t="s">
        <v>307</v>
      </c>
      <c r="B4164" s="80" t="s">
        <v>2520</v>
      </c>
      <c r="C4164" s="89" t="s">
        <v>956</v>
      </c>
    </row>
    <row r="4165" spans="1:3" ht="15">
      <c r="A4165" s="81" t="s">
        <v>307</v>
      </c>
      <c r="B4165" s="80" t="s">
        <v>2527</v>
      </c>
      <c r="C4165" s="89" t="s">
        <v>956</v>
      </c>
    </row>
    <row r="4166" spans="1:3" ht="15">
      <c r="A4166" s="81" t="s">
        <v>307</v>
      </c>
      <c r="B4166" s="80" t="s">
        <v>2476</v>
      </c>
      <c r="C4166" s="89" t="s">
        <v>956</v>
      </c>
    </row>
    <row r="4167" spans="1:3" ht="15">
      <c r="A4167" s="81" t="s">
        <v>307</v>
      </c>
      <c r="B4167" s="80" t="s">
        <v>3116</v>
      </c>
      <c r="C4167" s="89" t="s">
        <v>956</v>
      </c>
    </row>
    <row r="4168" spans="1:3" ht="15">
      <c r="A4168" s="81" t="s">
        <v>307</v>
      </c>
      <c r="B4168" s="80" t="s">
        <v>2630</v>
      </c>
      <c r="C4168" s="89" t="s">
        <v>956</v>
      </c>
    </row>
    <row r="4169" spans="1:3" ht="15">
      <c r="A4169" s="81" t="s">
        <v>307</v>
      </c>
      <c r="B4169" s="80" t="s">
        <v>2976</v>
      </c>
      <c r="C4169" s="89" t="s">
        <v>956</v>
      </c>
    </row>
    <row r="4170" spans="1:3" ht="15">
      <c r="A4170" s="81" t="s">
        <v>307</v>
      </c>
      <c r="B4170" s="80" t="s">
        <v>2523</v>
      </c>
      <c r="C4170" s="89" t="s">
        <v>956</v>
      </c>
    </row>
    <row r="4171" spans="1:3" ht="15">
      <c r="A4171" s="81" t="s">
        <v>307</v>
      </c>
      <c r="B4171" s="80" t="s">
        <v>2528</v>
      </c>
      <c r="C4171" s="89" t="s">
        <v>956</v>
      </c>
    </row>
    <row r="4172" spans="1:3" ht="15">
      <c r="A4172" s="81" t="s">
        <v>307</v>
      </c>
      <c r="B4172" s="80" t="s">
        <v>2977</v>
      </c>
      <c r="C4172" s="89" t="s">
        <v>956</v>
      </c>
    </row>
    <row r="4173" spans="1:3" ht="15">
      <c r="A4173" s="81" t="s">
        <v>307</v>
      </c>
      <c r="B4173" s="80" t="s">
        <v>2710</v>
      </c>
      <c r="C4173" s="89" t="s">
        <v>956</v>
      </c>
    </row>
    <row r="4174" spans="1:3" ht="15">
      <c r="A4174" s="81" t="s">
        <v>307</v>
      </c>
      <c r="B4174" s="80" t="s">
        <v>2978</v>
      </c>
      <c r="C4174" s="89" t="s">
        <v>956</v>
      </c>
    </row>
    <row r="4175" spans="1:3" ht="15">
      <c r="A4175" s="81" t="s">
        <v>307</v>
      </c>
      <c r="B4175" s="80" t="s">
        <v>2529</v>
      </c>
      <c r="C4175" s="89" t="s">
        <v>956</v>
      </c>
    </row>
    <row r="4176" spans="1:3" ht="15">
      <c r="A4176" s="81" t="s">
        <v>307</v>
      </c>
      <c r="B4176" s="80" t="s">
        <v>2530</v>
      </c>
      <c r="C4176" s="89" t="s">
        <v>956</v>
      </c>
    </row>
    <row r="4177" spans="1:3" ht="15">
      <c r="A4177" s="81" t="s">
        <v>306</v>
      </c>
      <c r="B4177" s="80" t="s">
        <v>2691</v>
      </c>
      <c r="C4177" s="89" t="s">
        <v>955</v>
      </c>
    </row>
    <row r="4178" spans="1:3" ht="15">
      <c r="A4178" s="81" t="s">
        <v>306</v>
      </c>
      <c r="B4178" s="80" t="s">
        <v>2692</v>
      </c>
      <c r="C4178" s="89" t="s">
        <v>955</v>
      </c>
    </row>
    <row r="4179" spans="1:3" ht="15">
      <c r="A4179" s="81" t="s">
        <v>306</v>
      </c>
      <c r="B4179" s="80" t="s">
        <v>2494</v>
      </c>
      <c r="C4179" s="89" t="s">
        <v>955</v>
      </c>
    </row>
    <row r="4180" spans="1:3" ht="15">
      <c r="A4180" s="81" t="s">
        <v>306</v>
      </c>
      <c r="B4180" s="80" t="s">
        <v>2492</v>
      </c>
      <c r="C4180" s="89" t="s">
        <v>955</v>
      </c>
    </row>
    <row r="4181" spans="1:3" ht="15">
      <c r="A4181" s="81" t="s">
        <v>306</v>
      </c>
      <c r="B4181" s="80" t="s">
        <v>2495</v>
      </c>
      <c r="C4181" s="89" t="s">
        <v>955</v>
      </c>
    </row>
    <row r="4182" spans="1:3" ht="15">
      <c r="A4182" s="81" t="s">
        <v>306</v>
      </c>
      <c r="B4182" s="80" t="s">
        <v>2493</v>
      </c>
      <c r="C4182" s="89" t="s">
        <v>955</v>
      </c>
    </row>
    <row r="4183" spans="1:3" ht="15">
      <c r="A4183" s="81" t="s">
        <v>305</v>
      </c>
      <c r="B4183" s="80" t="s">
        <v>2691</v>
      </c>
      <c r="C4183" s="89" t="s">
        <v>954</v>
      </c>
    </row>
    <row r="4184" spans="1:3" ht="15">
      <c r="A4184" s="81" t="s">
        <v>305</v>
      </c>
      <c r="B4184" s="80" t="s">
        <v>2692</v>
      </c>
      <c r="C4184" s="89" t="s">
        <v>954</v>
      </c>
    </row>
    <row r="4185" spans="1:3" ht="15">
      <c r="A4185" s="81" t="s">
        <v>305</v>
      </c>
      <c r="B4185" s="80" t="s">
        <v>2494</v>
      </c>
      <c r="C4185" s="89" t="s">
        <v>954</v>
      </c>
    </row>
    <row r="4186" spans="1:3" ht="15">
      <c r="A4186" s="81" t="s">
        <v>305</v>
      </c>
      <c r="B4186" s="80" t="s">
        <v>2492</v>
      </c>
      <c r="C4186" s="89" t="s">
        <v>954</v>
      </c>
    </row>
    <row r="4187" spans="1:3" ht="15">
      <c r="A4187" s="81" t="s">
        <v>305</v>
      </c>
      <c r="B4187" s="80" t="s">
        <v>2495</v>
      </c>
      <c r="C4187" s="89" t="s">
        <v>954</v>
      </c>
    </row>
    <row r="4188" spans="1:3" ht="15">
      <c r="A4188" s="81" t="s">
        <v>305</v>
      </c>
      <c r="B4188" s="80" t="s">
        <v>2493</v>
      </c>
      <c r="C4188" s="89" t="s">
        <v>954</v>
      </c>
    </row>
    <row r="4189" spans="1:3" ht="15">
      <c r="A4189" s="81" t="s">
        <v>304</v>
      </c>
      <c r="B4189" s="80" t="s">
        <v>2691</v>
      </c>
      <c r="C4189" s="89" t="s">
        <v>953</v>
      </c>
    </row>
    <row r="4190" spans="1:3" ht="15">
      <c r="A4190" s="81" t="s">
        <v>304</v>
      </c>
      <c r="B4190" s="80" t="s">
        <v>2692</v>
      </c>
      <c r="C4190" s="89" t="s">
        <v>953</v>
      </c>
    </row>
    <row r="4191" spans="1:3" ht="15">
      <c r="A4191" s="81" t="s">
        <v>304</v>
      </c>
      <c r="B4191" s="80" t="s">
        <v>2494</v>
      </c>
      <c r="C4191" s="89" t="s">
        <v>953</v>
      </c>
    </row>
    <row r="4192" spans="1:3" ht="15">
      <c r="A4192" s="81" t="s">
        <v>304</v>
      </c>
      <c r="B4192" s="80" t="s">
        <v>2492</v>
      </c>
      <c r="C4192" s="89" t="s">
        <v>953</v>
      </c>
    </row>
    <row r="4193" spans="1:3" ht="15">
      <c r="A4193" s="81" t="s">
        <v>304</v>
      </c>
      <c r="B4193" s="80" t="s">
        <v>2495</v>
      </c>
      <c r="C4193" s="89" t="s">
        <v>953</v>
      </c>
    </row>
    <row r="4194" spans="1:3" ht="15">
      <c r="A4194" s="81" t="s">
        <v>304</v>
      </c>
      <c r="B4194" s="80" t="s">
        <v>2493</v>
      </c>
      <c r="C4194" s="89" t="s">
        <v>953</v>
      </c>
    </row>
    <row r="4195" spans="1:3" ht="15">
      <c r="A4195" s="81" t="s">
        <v>303</v>
      </c>
      <c r="B4195" s="80" t="s">
        <v>2691</v>
      </c>
      <c r="C4195" s="89" t="s">
        <v>952</v>
      </c>
    </row>
    <row r="4196" spans="1:3" ht="15">
      <c r="A4196" s="81" t="s">
        <v>303</v>
      </c>
      <c r="B4196" s="80" t="s">
        <v>2692</v>
      </c>
      <c r="C4196" s="89" t="s">
        <v>952</v>
      </c>
    </row>
    <row r="4197" spans="1:3" ht="15">
      <c r="A4197" s="81" t="s">
        <v>303</v>
      </c>
      <c r="B4197" s="80" t="s">
        <v>2494</v>
      </c>
      <c r="C4197" s="89" t="s">
        <v>952</v>
      </c>
    </row>
    <row r="4198" spans="1:3" ht="15">
      <c r="A4198" s="81" t="s">
        <v>303</v>
      </c>
      <c r="B4198" s="80" t="s">
        <v>2492</v>
      </c>
      <c r="C4198" s="89" t="s">
        <v>952</v>
      </c>
    </row>
    <row r="4199" spans="1:3" ht="15">
      <c r="A4199" s="81" t="s">
        <v>303</v>
      </c>
      <c r="B4199" s="80" t="s">
        <v>2495</v>
      </c>
      <c r="C4199" s="89" t="s">
        <v>952</v>
      </c>
    </row>
    <row r="4200" spans="1:3" ht="15">
      <c r="A4200" s="81" t="s">
        <v>303</v>
      </c>
      <c r="B4200" s="80" t="s">
        <v>2493</v>
      </c>
      <c r="C4200" s="89" t="s">
        <v>952</v>
      </c>
    </row>
    <row r="4201" spans="1:3" ht="15">
      <c r="A4201" s="81" t="s">
        <v>302</v>
      </c>
      <c r="B4201" s="80" t="s">
        <v>3117</v>
      </c>
      <c r="C4201" s="89" t="s">
        <v>951</v>
      </c>
    </row>
    <row r="4202" spans="1:3" ht="15">
      <c r="A4202" s="81" t="s">
        <v>302</v>
      </c>
      <c r="B4202" s="80" t="s">
        <v>3118</v>
      </c>
      <c r="C4202" s="89" t="s">
        <v>951</v>
      </c>
    </row>
    <row r="4203" spans="1:3" ht="15">
      <c r="A4203" s="81" t="s">
        <v>302</v>
      </c>
      <c r="B4203" s="80" t="s">
        <v>3119</v>
      </c>
      <c r="C4203" s="89" t="s">
        <v>951</v>
      </c>
    </row>
    <row r="4204" spans="1:3" ht="15">
      <c r="A4204" s="81" t="s">
        <v>302</v>
      </c>
      <c r="B4204" s="80" t="s">
        <v>3120</v>
      </c>
      <c r="C4204" s="89" t="s">
        <v>951</v>
      </c>
    </row>
    <row r="4205" spans="1:3" ht="15">
      <c r="A4205" s="81" t="s">
        <v>302</v>
      </c>
      <c r="B4205" s="80" t="s">
        <v>3121</v>
      </c>
      <c r="C4205" s="89" t="s">
        <v>951</v>
      </c>
    </row>
    <row r="4206" spans="1:3" ht="15">
      <c r="A4206" s="81" t="s">
        <v>302</v>
      </c>
      <c r="B4206" s="80" t="s">
        <v>2642</v>
      </c>
      <c r="C4206" s="89" t="s">
        <v>951</v>
      </c>
    </row>
    <row r="4207" spans="1:3" ht="15">
      <c r="A4207" s="81" t="s">
        <v>302</v>
      </c>
      <c r="B4207" s="80" t="s">
        <v>591</v>
      </c>
      <c r="C4207" s="89" t="s">
        <v>951</v>
      </c>
    </row>
    <row r="4208" spans="1:3" ht="15">
      <c r="A4208" s="81" t="s">
        <v>302</v>
      </c>
      <c r="B4208" s="80" t="s">
        <v>3122</v>
      </c>
      <c r="C4208" s="89" t="s">
        <v>951</v>
      </c>
    </row>
    <row r="4209" spans="1:3" ht="15">
      <c r="A4209" s="81" t="s">
        <v>302</v>
      </c>
      <c r="B4209" s="80" t="s">
        <v>3123</v>
      </c>
      <c r="C4209" s="89" t="s">
        <v>951</v>
      </c>
    </row>
    <row r="4210" spans="1:3" ht="15">
      <c r="A4210" s="81" t="s">
        <v>302</v>
      </c>
      <c r="B4210" s="80" t="s">
        <v>3124</v>
      </c>
      <c r="C4210" s="89" t="s">
        <v>951</v>
      </c>
    </row>
    <row r="4211" spans="1:3" ht="15">
      <c r="A4211" s="81" t="s">
        <v>302</v>
      </c>
      <c r="B4211" s="80" t="s">
        <v>3125</v>
      </c>
      <c r="C4211" s="89" t="s">
        <v>951</v>
      </c>
    </row>
    <row r="4212" spans="1:3" ht="15">
      <c r="A4212" s="81" t="s">
        <v>301</v>
      </c>
      <c r="B4212" s="80" t="s">
        <v>2691</v>
      </c>
      <c r="C4212" s="89" t="s">
        <v>950</v>
      </c>
    </row>
    <row r="4213" spans="1:3" ht="15">
      <c r="A4213" s="81" t="s">
        <v>301</v>
      </c>
      <c r="B4213" s="80" t="s">
        <v>2692</v>
      </c>
      <c r="C4213" s="89" t="s">
        <v>950</v>
      </c>
    </row>
    <row r="4214" spans="1:3" ht="15">
      <c r="A4214" s="81" t="s">
        <v>301</v>
      </c>
      <c r="B4214" s="80" t="s">
        <v>2494</v>
      </c>
      <c r="C4214" s="89" t="s">
        <v>950</v>
      </c>
    </row>
    <row r="4215" spans="1:3" ht="15">
      <c r="A4215" s="81" t="s">
        <v>301</v>
      </c>
      <c r="B4215" s="80" t="s">
        <v>2492</v>
      </c>
      <c r="C4215" s="89" t="s">
        <v>950</v>
      </c>
    </row>
    <row r="4216" spans="1:3" ht="15">
      <c r="A4216" s="81" t="s">
        <v>301</v>
      </c>
      <c r="B4216" s="80" t="s">
        <v>2495</v>
      </c>
      <c r="C4216" s="89" t="s">
        <v>950</v>
      </c>
    </row>
    <row r="4217" spans="1:3" ht="15">
      <c r="A4217" s="81" t="s">
        <v>301</v>
      </c>
      <c r="B4217" s="80" t="s">
        <v>2493</v>
      </c>
      <c r="C4217" s="89" t="s">
        <v>950</v>
      </c>
    </row>
    <row r="4218" spans="1:3" ht="15">
      <c r="A4218" s="81" t="s">
        <v>300</v>
      </c>
      <c r="B4218" s="80" t="s">
        <v>2691</v>
      </c>
      <c r="C4218" s="89" t="s">
        <v>949</v>
      </c>
    </row>
    <row r="4219" spans="1:3" ht="15">
      <c r="A4219" s="81" t="s">
        <v>300</v>
      </c>
      <c r="B4219" s="80" t="s">
        <v>2692</v>
      </c>
      <c r="C4219" s="89" t="s">
        <v>949</v>
      </c>
    </row>
    <row r="4220" spans="1:3" ht="15">
      <c r="A4220" s="81" t="s">
        <v>300</v>
      </c>
      <c r="B4220" s="80" t="s">
        <v>2494</v>
      </c>
      <c r="C4220" s="89" t="s">
        <v>949</v>
      </c>
    </row>
    <row r="4221" spans="1:3" ht="15">
      <c r="A4221" s="81" t="s">
        <v>300</v>
      </c>
      <c r="B4221" s="80" t="s">
        <v>2492</v>
      </c>
      <c r="C4221" s="89" t="s">
        <v>949</v>
      </c>
    </row>
    <row r="4222" spans="1:3" ht="15">
      <c r="A4222" s="81" t="s">
        <v>300</v>
      </c>
      <c r="B4222" s="80" t="s">
        <v>2495</v>
      </c>
      <c r="C4222" s="89" t="s">
        <v>949</v>
      </c>
    </row>
    <row r="4223" spans="1:3" ht="15">
      <c r="A4223" s="81" t="s">
        <v>300</v>
      </c>
      <c r="B4223" s="80" t="s">
        <v>2493</v>
      </c>
      <c r="C4223" s="89" t="s">
        <v>949</v>
      </c>
    </row>
    <row r="4224" spans="1:3" ht="15">
      <c r="A4224" s="81" t="s">
        <v>299</v>
      </c>
      <c r="B4224" s="80" t="s">
        <v>3126</v>
      </c>
      <c r="C4224" s="89" t="s">
        <v>948</v>
      </c>
    </row>
    <row r="4225" spans="1:3" ht="15">
      <c r="A4225" s="81" t="s">
        <v>299</v>
      </c>
      <c r="B4225" s="80" t="s">
        <v>3127</v>
      </c>
      <c r="C4225" s="89" t="s">
        <v>948</v>
      </c>
    </row>
    <row r="4226" spans="1:3" ht="15">
      <c r="A4226" s="81" t="s">
        <v>299</v>
      </c>
      <c r="B4226" s="80" t="s">
        <v>3128</v>
      </c>
      <c r="C4226" s="89" t="s">
        <v>948</v>
      </c>
    </row>
    <row r="4227" spans="1:3" ht="15">
      <c r="A4227" s="81" t="s">
        <v>299</v>
      </c>
      <c r="B4227" s="80" t="s">
        <v>3129</v>
      </c>
      <c r="C4227" s="89" t="s">
        <v>948</v>
      </c>
    </row>
    <row r="4228" spans="1:3" ht="15">
      <c r="A4228" s="81" t="s">
        <v>299</v>
      </c>
      <c r="B4228" s="80" t="s">
        <v>3130</v>
      </c>
      <c r="C4228" s="89" t="s">
        <v>948</v>
      </c>
    </row>
    <row r="4229" spans="1:3" ht="15">
      <c r="A4229" s="81" t="s">
        <v>299</v>
      </c>
      <c r="B4229" s="80" t="s">
        <v>3131</v>
      </c>
      <c r="C4229" s="89" t="s">
        <v>948</v>
      </c>
    </row>
    <row r="4230" spans="1:3" ht="15">
      <c r="A4230" s="81" t="s">
        <v>299</v>
      </c>
      <c r="B4230" s="80" t="s">
        <v>3007</v>
      </c>
      <c r="C4230" s="89" t="s">
        <v>948</v>
      </c>
    </row>
    <row r="4231" spans="1:3" ht="15">
      <c r="A4231" s="81" t="s">
        <v>299</v>
      </c>
      <c r="B4231" s="80" t="s">
        <v>3132</v>
      </c>
      <c r="C4231" s="89" t="s">
        <v>948</v>
      </c>
    </row>
    <row r="4232" spans="1:3" ht="15">
      <c r="A4232" s="81" t="s">
        <v>299</v>
      </c>
      <c r="B4232" s="80" t="s">
        <v>3133</v>
      </c>
      <c r="C4232" s="89" t="s">
        <v>948</v>
      </c>
    </row>
    <row r="4233" spans="1:3" ht="15">
      <c r="A4233" s="81" t="s">
        <v>299</v>
      </c>
      <c r="B4233" s="80" t="s">
        <v>3134</v>
      </c>
      <c r="C4233" s="89" t="s">
        <v>948</v>
      </c>
    </row>
    <row r="4234" spans="1:3" ht="15">
      <c r="A4234" s="81" t="s">
        <v>299</v>
      </c>
      <c r="B4234" s="80" t="s">
        <v>3135</v>
      </c>
      <c r="C4234" s="89" t="s">
        <v>948</v>
      </c>
    </row>
    <row r="4235" spans="1:3" ht="15">
      <c r="A4235" s="81" t="s">
        <v>299</v>
      </c>
      <c r="B4235" s="80" t="s">
        <v>3136</v>
      </c>
      <c r="C4235" s="89" t="s">
        <v>948</v>
      </c>
    </row>
    <row r="4236" spans="1:3" ht="15">
      <c r="A4236" s="81" t="s">
        <v>299</v>
      </c>
      <c r="B4236" s="80" t="s">
        <v>2703</v>
      </c>
      <c r="C4236" s="89" t="s">
        <v>948</v>
      </c>
    </row>
    <row r="4237" spans="1:3" ht="15">
      <c r="A4237" s="81" t="s">
        <v>299</v>
      </c>
      <c r="B4237" s="80" t="s">
        <v>3137</v>
      </c>
      <c r="C4237" s="89" t="s">
        <v>948</v>
      </c>
    </row>
    <row r="4238" spans="1:3" ht="15">
      <c r="A4238" s="81" t="s">
        <v>299</v>
      </c>
      <c r="B4238" s="80" t="s">
        <v>3138</v>
      </c>
      <c r="C4238" s="89" t="s">
        <v>948</v>
      </c>
    </row>
    <row r="4239" spans="1:3" ht="15">
      <c r="A4239" s="81" t="s">
        <v>299</v>
      </c>
      <c r="B4239" s="80" t="s">
        <v>3139</v>
      </c>
      <c r="C4239" s="89" t="s">
        <v>948</v>
      </c>
    </row>
    <row r="4240" spans="1:3" ht="15">
      <c r="A4240" s="81" t="s">
        <v>299</v>
      </c>
      <c r="B4240" s="80" t="s">
        <v>3140</v>
      </c>
      <c r="C4240" s="89" t="s">
        <v>948</v>
      </c>
    </row>
    <row r="4241" spans="1:3" ht="15">
      <c r="A4241" s="81" t="s">
        <v>299</v>
      </c>
      <c r="B4241" s="80" t="s">
        <v>3141</v>
      </c>
      <c r="C4241" s="89" t="s">
        <v>948</v>
      </c>
    </row>
    <row r="4242" spans="1:3" ht="15">
      <c r="A4242" s="81" t="s">
        <v>299</v>
      </c>
      <c r="B4242" s="80" t="s">
        <v>3142</v>
      </c>
      <c r="C4242" s="89" t="s">
        <v>948</v>
      </c>
    </row>
    <row r="4243" spans="1:3" ht="15">
      <c r="A4243" s="81" t="s">
        <v>299</v>
      </c>
      <c r="B4243" s="80" t="s">
        <v>3143</v>
      </c>
      <c r="C4243" s="89" t="s">
        <v>948</v>
      </c>
    </row>
    <row r="4244" spans="1:3" ht="15">
      <c r="A4244" s="81" t="s">
        <v>299</v>
      </c>
      <c r="B4244" s="80" t="s">
        <v>3144</v>
      </c>
      <c r="C4244" s="89" t="s">
        <v>948</v>
      </c>
    </row>
    <row r="4245" spans="1:3" ht="15">
      <c r="A4245" s="81" t="s">
        <v>299</v>
      </c>
      <c r="B4245" s="80">
        <v>2</v>
      </c>
      <c r="C4245" s="89" t="s">
        <v>948</v>
      </c>
    </row>
    <row r="4246" spans="1:3" ht="15">
      <c r="A4246" s="81" t="s">
        <v>299</v>
      </c>
      <c r="B4246" s="80" t="s">
        <v>2643</v>
      </c>
      <c r="C4246" s="89" t="s">
        <v>948</v>
      </c>
    </row>
    <row r="4247" spans="1:3" ht="15">
      <c r="A4247" s="81" t="s">
        <v>299</v>
      </c>
      <c r="B4247" s="80" t="s">
        <v>2693</v>
      </c>
      <c r="C4247" s="89" t="s">
        <v>948</v>
      </c>
    </row>
    <row r="4248" spans="1:3" ht="15">
      <c r="A4248" s="81" t="s">
        <v>299</v>
      </c>
      <c r="B4248" s="80" t="s">
        <v>3145</v>
      </c>
      <c r="C4248" s="89" t="s">
        <v>948</v>
      </c>
    </row>
    <row r="4249" spans="1:3" ht="15">
      <c r="A4249" s="81" t="s">
        <v>299</v>
      </c>
      <c r="B4249" s="80" t="s">
        <v>3146</v>
      </c>
      <c r="C4249" s="89" t="s">
        <v>948</v>
      </c>
    </row>
    <row r="4250" spans="1:3" ht="15">
      <c r="A4250" s="81" t="s">
        <v>299</v>
      </c>
      <c r="B4250" s="80" t="s">
        <v>3147</v>
      </c>
      <c r="C4250" s="89" t="s">
        <v>948</v>
      </c>
    </row>
    <row r="4251" spans="1:3" ht="15">
      <c r="A4251" s="81" t="s">
        <v>299</v>
      </c>
      <c r="B4251" s="80" t="s">
        <v>3148</v>
      </c>
      <c r="C4251" s="89" t="s">
        <v>948</v>
      </c>
    </row>
    <row r="4252" spans="1:3" ht="15">
      <c r="A4252" s="81" t="s">
        <v>299</v>
      </c>
      <c r="B4252" s="80" t="s">
        <v>2644</v>
      </c>
      <c r="C4252" s="89" t="s">
        <v>948</v>
      </c>
    </row>
    <row r="4253" spans="1:3" ht="15">
      <c r="A4253" s="81" t="s">
        <v>299</v>
      </c>
      <c r="B4253" s="80" t="s">
        <v>3149</v>
      </c>
      <c r="C4253" s="89" t="s">
        <v>948</v>
      </c>
    </row>
    <row r="4254" spans="1:3" ht="15">
      <c r="A4254" s="81" t="s">
        <v>299</v>
      </c>
      <c r="B4254" s="80" t="s">
        <v>3150</v>
      </c>
      <c r="C4254" s="89" t="s">
        <v>948</v>
      </c>
    </row>
    <row r="4255" spans="1:3" ht="15">
      <c r="A4255" s="81" t="s">
        <v>299</v>
      </c>
      <c r="B4255" s="80" t="s">
        <v>3151</v>
      </c>
      <c r="C4255" s="89" t="s">
        <v>948</v>
      </c>
    </row>
    <row r="4256" spans="1:3" ht="15">
      <c r="A4256" s="81" t="s">
        <v>299</v>
      </c>
      <c r="B4256" s="80" t="s">
        <v>591</v>
      </c>
      <c r="C4256" s="89" t="s">
        <v>948</v>
      </c>
    </row>
    <row r="4257" spans="1:3" ht="15">
      <c r="A4257" s="81" t="s">
        <v>299</v>
      </c>
      <c r="B4257" s="80" t="s">
        <v>1176</v>
      </c>
      <c r="C4257" s="89" t="s">
        <v>948</v>
      </c>
    </row>
    <row r="4258" spans="1:3" ht="15">
      <c r="A4258" s="81" t="s">
        <v>299</v>
      </c>
      <c r="B4258" s="80" t="s">
        <v>3152</v>
      </c>
      <c r="C4258" s="89" t="s">
        <v>948</v>
      </c>
    </row>
    <row r="4259" spans="1:3" ht="15">
      <c r="A4259" s="81" t="s">
        <v>299</v>
      </c>
      <c r="B4259" s="80" t="s">
        <v>1181</v>
      </c>
      <c r="C4259" s="89" t="s">
        <v>948</v>
      </c>
    </row>
    <row r="4260" spans="1:3" ht="15">
      <c r="A4260" s="81" t="s">
        <v>299</v>
      </c>
      <c r="B4260" s="80" t="s">
        <v>3153</v>
      </c>
      <c r="C4260" s="89" t="s">
        <v>948</v>
      </c>
    </row>
    <row r="4261" spans="1:3" ht="15">
      <c r="A4261" s="81" t="s">
        <v>298</v>
      </c>
      <c r="B4261" s="80" t="s">
        <v>3154</v>
      </c>
      <c r="C4261" s="89" t="s">
        <v>947</v>
      </c>
    </row>
    <row r="4262" spans="1:3" ht="15">
      <c r="A4262" s="81" t="s">
        <v>298</v>
      </c>
      <c r="B4262" s="80" t="s">
        <v>3155</v>
      </c>
      <c r="C4262" s="89" t="s">
        <v>947</v>
      </c>
    </row>
    <row r="4263" spans="1:3" ht="15">
      <c r="A4263" s="81" t="s">
        <v>298</v>
      </c>
      <c r="B4263" s="80" t="s">
        <v>2882</v>
      </c>
      <c r="C4263" s="89" t="s">
        <v>947</v>
      </c>
    </row>
    <row r="4264" spans="1:3" ht="15">
      <c r="A4264" s="81" t="s">
        <v>298</v>
      </c>
      <c r="B4264" s="80" t="s">
        <v>3156</v>
      </c>
      <c r="C4264" s="89" t="s">
        <v>947</v>
      </c>
    </row>
    <row r="4265" spans="1:3" ht="15">
      <c r="A4265" s="81" t="s">
        <v>298</v>
      </c>
      <c r="B4265" s="80" t="s">
        <v>3157</v>
      </c>
      <c r="C4265" s="89" t="s">
        <v>947</v>
      </c>
    </row>
    <row r="4266" spans="1:3" ht="15">
      <c r="A4266" s="81" t="s">
        <v>298</v>
      </c>
      <c r="B4266" s="80" t="s">
        <v>3158</v>
      </c>
      <c r="C4266" s="89" t="s">
        <v>947</v>
      </c>
    </row>
    <row r="4267" spans="1:3" ht="15">
      <c r="A4267" s="81" t="s">
        <v>298</v>
      </c>
      <c r="B4267" s="80" t="s">
        <v>2691</v>
      </c>
      <c r="C4267" s="89" t="s">
        <v>947</v>
      </c>
    </row>
    <row r="4268" spans="1:3" ht="15">
      <c r="A4268" s="81" t="s">
        <v>298</v>
      </c>
      <c r="B4268" s="80" t="s">
        <v>2692</v>
      </c>
      <c r="C4268" s="89" t="s">
        <v>947</v>
      </c>
    </row>
    <row r="4269" spans="1:3" ht="15">
      <c r="A4269" s="81" t="s">
        <v>298</v>
      </c>
      <c r="B4269" s="80" t="s">
        <v>2499</v>
      </c>
      <c r="C4269" s="89" t="s">
        <v>947</v>
      </c>
    </row>
    <row r="4270" spans="1:3" ht="15">
      <c r="A4270" s="81" t="s">
        <v>298</v>
      </c>
      <c r="B4270" s="80" t="s">
        <v>1181</v>
      </c>
      <c r="C4270" s="89" t="s">
        <v>947</v>
      </c>
    </row>
    <row r="4271" spans="1:3" ht="15">
      <c r="A4271" s="81" t="s">
        <v>298</v>
      </c>
      <c r="B4271" s="80" t="s">
        <v>3006</v>
      </c>
      <c r="C4271" s="89" t="s">
        <v>947</v>
      </c>
    </row>
    <row r="4272" spans="1:3" ht="15">
      <c r="A4272" s="81" t="s">
        <v>298</v>
      </c>
      <c r="B4272" s="80" t="s">
        <v>2743</v>
      </c>
      <c r="C4272" s="89" t="s">
        <v>947</v>
      </c>
    </row>
    <row r="4273" spans="1:3" ht="15">
      <c r="A4273" s="81" t="s">
        <v>297</v>
      </c>
      <c r="B4273" s="80" t="s">
        <v>2691</v>
      </c>
      <c r="C4273" s="89" t="s">
        <v>946</v>
      </c>
    </row>
    <row r="4274" spans="1:3" ht="15">
      <c r="A4274" s="81" t="s">
        <v>297</v>
      </c>
      <c r="B4274" s="80" t="s">
        <v>2692</v>
      </c>
      <c r="C4274" s="89" t="s">
        <v>946</v>
      </c>
    </row>
    <row r="4275" spans="1:3" ht="15">
      <c r="A4275" s="81" t="s">
        <v>297</v>
      </c>
      <c r="B4275" s="80" t="s">
        <v>2494</v>
      </c>
      <c r="C4275" s="89" t="s">
        <v>946</v>
      </c>
    </row>
    <row r="4276" spans="1:3" ht="15">
      <c r="A4276" s="81" t="s">
        <v>297</v>
      </c>
      <c r="B4276" s="80" t="s">
        <v>2492</v>
      </c>
      <c r="C4276" s="89" t="s">
        <v>946</v>
      </c>
    </row>
    <row r="4277" spans="1:3" ht="15">
      <c r="A4277" s="81" t="s">
        <v>297</v>
      </c>
      <c r="B4277" s="80" t="s">
        <v>2495</v>
      </c>
      <c r="C4277" s="89" t="s">
        <v>946</v>
      </c>
    </row>
    <row r="4278" spans="1:3" ht="15">
      <c r="A4278" s="81" t="s">
        <v>297</v>
      </c>
      <c r="B4278" s="80" t="s">
        <v>2493</v>
      </c>
      <c r="C4278" s="89" t="s">
        <v>946</v>
      </c>
    </row>
    <row r="4279" spans="1:3" ht="15">
      <c r="A4279" s="81" t="s">
        <v>296</v>
      </c>
      <c r="B4279" s="80" t="s">
        <v>2691</v>
      </c>
      <c r="C4279" s="89" t="s">
        <v>945</v>
      </c>
    </row>
    <row r="4280" spans="1:3" ht="15">
      <c r="A4280" s="81" t="s">
        <v>296</v>
      </c>
      <c r="B4280" s="80" t="s">
        <v>2692</v>
      </c>
      <c r="C4280" s="89" t="s">
        <v>945</v>
      </c>
    </row>
    <row r="4281" spans="1:3" ht="15">
      <c r="A4281" s="81" t="s">
        <v>296</v>
      </c>
      <c r="B4281" s="80" t="s">
        <v>2494</v>
      </c>
      <c r="C4281" s="89" t="s">
        <v>945</v>
      </c>
    </row>
    <row r="4282" spans="1:3" ht="15">
      <c r="A4282" s="81" t="s">
        <v>296</v>
      </c>
      <c r="B4282" s="80" t="s">
        <v>2492</v>
      </c>
      <c r="C4282" s="89" t="s">
        <v>945</v>
      </c>
    </row>
    <row r="4283" spans="1:3" ht="15">
      <c r="A4283" s="81" t="s">
        <v>296</v>
      </c>
      <c r="B4283" s="80" t="s">
        <v>2495</v>
      </c>
      <c r="C4283" s="89" t="s">
        <v>945</v>
      </c>
    </row>
    <row r="4284" spans="1:3" ht="15">
      <c r="A4284" s="81" t="s">
        <v>296</v>
      </c>
      <c r="B4284" s="80" t="s">
        <v>2493</v>
      </c>
      <c r="C4284" s="89" t="s">
        <v>945</v>
      </c>
    </row>
    <row r="4285" spans="1:3" ht="15">
      <c r="A4285" s="81" t="s">
        <v>295</v>
      </c>
      <c r="B4285" s="80" t="s">
        <v>2691</v>
      </c>
      <c r="C4285" s="89" t="s">
        <v>944</v>
      </c>
    </row>
    <row r="4286" spans="1:3" ht="15">
      <c r="A4286" s="81" t="s">
        <v>295</v>
      </c>
      <c r="B4286" s="80" t="s">
        <v>2692</v>
      </c>
      <c r="C4286" s="89" t="s">
        <v>944</v>
      </c>
    </row>
    <row r="4287" spans="1:3" ht="15">
      <c r="A4287" s="81" t="s">
        <v>295</v>
      </c>
      <c r="B4287" s="80" t="s">
        <v>2493</v>
      </c>
      <c r="C4287" s="89" t="s">
        <v>944</v>
      </c>
    </row>
    <row r="4288" spans="1:3" ht="15">
      <c r="A4288" s="81" t="s">
        <v>295</v>
      </c>
      <c r="B4288" s="80" t="s">
        <v>3159</v>
      </c>
      <c r="C4288" s="89" t="s">
        <v>944</v>
      </c>
    </row>
    <row r="4289" spans="1:3" ht="15">
      <c r="A4289" s="81" t="s">
        <v>295</v>
      </c>
      <c r="B4289" s="80" t="s">
        <v>3160</v>
      </c>
      <c r="C4289" s="89" t="s">
        <v>944</v>
      </c>
    </row>
    <row r="4290" spans="1:3" ht="15">
      <c r="A4290" s="81" t="s">
        <v>295</v>
      </c>
      <c r="B4290" s="80" t="s">
        <v>3161</v>
      </c>
      <c r="C4290" s="89" t="s">
        <v>944</v>
      </c>
    </row>
    <row r="4291" spans="1:3" ht="15">
      <c r="A4291" s="81" t="s">
        <v>295</v>
      </c>
      <c r="B4291" s="80" t="s">
        <v>2565</v>
      </c>
      <c r="C4291" s="89" t="s">
        <v>944</v>
      </c>
    </row>
    <row r="4292" spans="1:3" ht="15">
      <c r="A4292" s="81" t="s">
        <v>295</v>
      </c>
      <c r="B4292" s="80" t="s">
        <v>3162</v>
      </c>
      <c r="C4292" s="89" t="s">
        <v>944</v>
      </c>
    </row>
    <row r="4293" spans="1:3" ht="15">
      <c r="A4293" s="81" t="s">
        <v>295</v>
      </c>
      <c r="B4293" s="80" t="s">
        <v>3163</v>
      </c>
      <c r="C4293" s="89" t="s">
        <v>944</v>
      </c>
    </row>
    <row r="4294" spans="1:3" ht="15">
      <c r="A4294" s="81" t="s">
        <v>295</v>
      </c>
      <c r="B4294" s="80" t="s">
        <v>3164</v>
      </c>
      <c r="C4294" s="89" t="s">
        <v>944</v>
      </c>
    </row>
    <row r="4295" spans="1:3" ht="15">
      <c r="A4295" s="81" t="s">
        <v>295</v>
      </c>
      <c r="B4295" s="80" t="s">
        <v>2545</v>
      </c>
      <c r="C4295" s="89" t="s">
        <v>944</v>
      </c>
    </row>
    <row r="4296" spans="1:3" ht="15">
      <c r="A4296" s="81" t="s">
        <v>295</v>
      </c>
      <c r="B4296" s="80" t="s">
        <v>3165</v>
      </c>
      <c r="C4296" s="89" t="s">
        <v>944</v>
      </c>
    </row>
    <row r="4297" spans="1:3" ht="15">
      <c r="A4297" s="81" t="s">
        <v>295</v>
      </c>
      <c r="B4297" s="80" t="s">
        <v>2051</v>
      </c>
      <c r="C4297" s="89" t="s">
        <v>944</v>
      </c>
    </row>
    <row r="4298" spans="1:3" ht="15">
      <c r="A4298" s="81" t="s">
        <v>294</v>
      </c>
      <c r="B4298" s="80" t="s">
        <v>2691</v>
      </c>
      <c r="C4298" s="89" t="s">
        <v>943</v>
      </c>
    </row>
    <row r="4299" spans="1:3" ht="15">
      <c r="A4299" s="81" t="s">
        <v>294</v>
      </c>
      <c r="B4299" s="80" t="s">
        <v>2692</v>
      </c>
      <c r="C4299" s="89" t="s">
        <v>943</v>
      </c>
    </row>
    <row r="4300" spans="1:3" ht="15">
      <c r="A4300" s="81" t="s">
        <v>294</v>
      </c>
      <c r="B4300" s="80" t="s">
        <v>2494</v>
      </c>
      <c r="C4300" s="89" t="s">
        <v>943</v>
      </c>
    </row>
    <row r="4301" spans="1:3" ht="15">
      <c r="A4301" s="81" t="s">
        <v>294</v>
      </c>
      <c r="B4301" s="80" t="s">
        <v>2492</v>
      </c>
      <c r="C4301" s="89" t="s">
        <v>943</v>
      </c>
    </row>
    <row r="4302" spans="1:3" ht="15">
      <c r="A4302" s="81" t="s">
        <v>294</v>
      </c>
      <c r="B4302" s="80" t="s">
        <v>2495</v>
      </c>
      <c r="C4302" s="89" t="s">
        <v>943</v>
      </c>
    </row>
    <row r="4303" spans="1:3" ht="15">
      <c r="A4303" s="81" t="s">
        <v>294</v>
      </c>
      <c r="B4303" s="80" t="s">
        <v>2493</v>
      </c>
      <c r="C4303" s="89" t="s">
        <v>943</v>
      </c>
    </row>
    <row r="4304" spans="1:3" ht="15">
      <c r="A4304" s="81" t="s">
        <v>293</v>
      </c>
      <c r="B4304" s="80" t="s">
        <v>2691</v>
      </c>
      <c r="C4304" s="89" t="s">
        <v>942</v>
      </c>
    </row>
    <row r="4305" spans="1:3" ht="15">
      <c r="A4305" s="81" t="s">
        <v>293</v>
      </c>
      <c r="B4305" s="80" t="s">
        <v>2692</v>
      </c>
      <c r="C4305" s="89" t="s">
        <v>942</v>
      </c>
    </row>
    <row r="4306" spans="1:3" ht="15">
      <c r="A4306" s="81" t="s">
        <v>293</v>
      </c>
      <c r="B4306" s="80" t="s">
        <v>2494</v>
      </c>
      <c r="C4306" s="89" t="s">
        <v>942</v>
      </c>
    </row>
    <row r="4307" spans="1:3" ht="15">
      <c r="A4307" s="81" t="s">
        <v>293</v>
      </c>
      <c r="B4307" s="80" t="s">
        <v>2492</v>
      </c>
      <c r="C4307" s="89" t="s">
        <v>942</v>
      </c>
    </row>
    <row r="4308" spans="1:3" ht="15">
      <c r="A4308" s="81" t="s">
        <v>293</v>
      </c>
      <c r="B4308" s="80" t="s">
        <v>2495</v>
      </c>
      <c r="C4308" s="89" t="s">
        <v>942</v>
      </c>
    </row>
    <row r="4309" spans="1:3" ht="15">
      <c r="A4309" s="81" t="s">
        <v>293</v>
      </c>
      <c r="B4309" s="80" t="s">
        <v>2493</v>
      </c>
      <c r="C4309" s="89" t="s">
        <v>942</v>
      </c>
    </row>
    <row r="4310" spans="1:3" ht="15">
      <c r="A4310" s="81" t="s">
        <v>292</v>
      </c>
      <c r="B4310" s="80" t="s">
        <v>2691</v>
      </c>
      <c r="C4310" s="89" t="s">
        <v>941</v>
      </c>
    </row>
    <row r="4311" spans="1:3" ht="15">
      <c r="A4311" s="81" t="s">
        <v>292</v>
      </c>
      <c r="B4311" s="80" t="s">
        <v>2692</v>
      </c>
      <c r="C4311" s="89" t="s">
        <v>941</v>
      </c>
    </row>
    <row r="4312" spans="1:3" ht="15">
      <c r="A4312" s="81" t="s">
        <v>292</v>
      </c>
      <c r="B4312" s="80" t="s">
        <v>2494</v>
      </c>
      <c r="C4312" s="89" t="s">
        <v>941</v>
      </c>
    </row>
    <row r="4313" spans="1:3" ht="15">
      <c r="A4313" s="81" t="s">
        <v>292</v>
      </c>
      <c r="B4313" s="80" t="s">
        <v>2492</v>
      </c>
      <c r="C4313" s="89" t="s">
        <v>941</v>
      </c>
    </row>
    <row r="4314" spans="1:3" ht="15">
      <c r="A4314" s="81" t="s">
        <v>292</v>
      </c>
      <c r="B4314" s="80" t="s">
        <v>2495</v>
      </c>
      <c r="C4314" s="89" t="s">
        <v>941</v>
      </c>
    </row>
    <row r="4315" spans="1:3" ht="15">
      <c r="A4315" s="81" t="s">
        <v>292</v>
      </c>
      <c r="B4315" s="80" t="s">
        <v>2493</v>
      </c>
      <c r="C4315" s="89" t="s">
        <v>941</v>
      </c>
    </row>
    <row r="4316" spans="1:3" ht="15">
      <c r="A4316" s="81" t="s">
        <v>291</v>
      </c>
      <c r="B4316" s="80" t="s">
        <v>2691</v>
      </c>
      <c r="C4316" s="89" t="s">
        <v>940</v>
      </c>
    </row>
    <row r="4317" spans="1:3" ht="15">
      <c r="A4317" s="81" t="s">
        <v>291</v>
      </c>
      <c r="B4317" s="80" t="s">
        <v>2692</v>
      </c>
      <c r="C4317" s="89" t="s">
        <v>940</v>
      </c>
    </row>
    <row r="4318" spans="1:3" ht="15">
      <c r="A4318" s="81" t="s">
        <v>291</v>
      </c>
      <c r="B4318" s="80" t="s">
        <v>2494</v>
      </c>
      <c r="C4318" s="89" t="s">
        <v>940</v>
      </c>
    </row>
    <row r="4319" spans="1:3" ht="15">
      <c r="A4319" s="81" t="s">
        <v>291</v>
      </c>
      <c r="B4319" s="80" t="s">
        <v>2492</v>
      </c>
      <c r="C4319" s="89" t="s">
        <v>940</v>
      </c>
    </row>
    <row r="4320" spans="1:3" ht="15">
      <c r="A4320" s="81" t="s">
        <v>291</v>
      </c>
      <c r="B4320" s="80" t="s">
        <v>2495</v>
      </c>
      <c r="C4320" s="89" t="s">
        <v>940</v>
      </c>
    </row>
    <row r="4321" spans="1:3" ht="15">
      <c r="A4321" s="81" t="s">
        <v>291</v>
      </c>
      <c r="B4321" s="80" t="s">
        <v>2493</v>
      </c>
      <c r="C4321" s="89" t="s">
        <v>940</v>
      </c>
    </row>
    <row r="4322" spans="1:3" ht="15">
      <c r="A4322" s="81" t="s">
        <v>290</v>
      </c>
      <c r="B4322" s="80" t="s">
        <v>2691</v>
      </c>
      <c r="C4322" s="89" t="s">
        <v>939</v>
      </c>
    </row>
    <row r="4323" spans="1:3" ht="15">
      <c r="A4323" s="81" t="s">
        <v>290</v>
      </c>
      <c r="B4323" s="80" t="s">
        <v>2692</v>
      </c>
      <c r="C4323" s="89" t="s">
        <v>939</v>
      </c>
    </row>
    <row r="4324" spans="1:3" ht="15">
      <c r="A4324" s="81" t="s">
        <v>290</v>
      </c>
      <c r="B4324" s="80" t="s">
        <v>2494</v>
      </c>
      <c r="C4324" s="89" t="s">
        <v>939</v>
      </c>
    </row>
    <row r="4325" spans="1:3" ht="15">
      <c r="A4325" s="81" t="s">
        <v>290</v>
      </c>
      <c r="B4325" s="80" t="s">
        <v>2492</v>
      </c>
      <c r="C4325" s="89" t="s">
        <v>939</v>
      </c>
    </row>
    <row r="4326" spans="1:3" ht="15">
      <c r="A4326" s="81" t="s">
        <v>290</v>
      </c>
      <c r="B4326" s="80" t="s">
        <v>2495</v>
      </c>
      <c r="C4326" s="89" t="s">
        <v>939</v>
      </c>
    </row>
    <row r="4327" spans="1:3" ht="15">
      <c r="A4327" s="81" t="s">
        <v>290</v>
      </c>
      <c r="B4327" s="80" t="s">
        <v>2493</v>
      </c>
      <c r="C4327" s="89" t="s">
        <v>939</v>
      </c>
    </row>
    <row r="4328" spans="1:3" ht="15">
      <c r="A4328" s="81" t="s">
        <v>289</v>
      </c>
      <c r="B4328" s="80" t="s">
        <v>2691</v>
      </c>
      <c r="C4328" s="89" t="s">
        <v>938</v>
      </c>
    </row>
    <row r="4329" spans="1:3" ht="15">
      <c r="A4329" s="81" t="s">
        <v>289</v>
      </c>
      <c r="B4329" s="80" t="s">
        <v>2692</v>
      </c>
      <c r="C4329" s="89" t="s">
        <v>938</v>
      </c>
    </row>
    <row r="4330" spans="1:3" ht="15">
      <c r="A4330" s="81" t="s">
        <v>289</v>
      </c>
      <c r="B4330" s="80" t="s">
        <v>2494</v>
      </c>
      <c r="C4330" s="89" t="s">
        <v>938</v>
      </c>
    </row>
    <row r="4331" spans="1:3" ht="15">
      <c r="A4331" s="81" t="s">
        <v>289</v>
      </c>
      <c r="B4331" s="80" t="s">
        <v>2492</v>
      </c>
      <c r="C4331" s="89" t="s">
        <v>938</v>
      </c>
    </row>
    <row r="4332" spans="1:3" ht="15">
      <c r="A4332" s="81" t="s">
        <v>289</v>
      </c>
      <c r="B4332" s="80" t="s">
        <v>2495</v>
      </c>
      <c r="C4332" s="89" t="s">
        <v>938</v>
      </c>
    </row>
    <row r="4333" spans="1:3" ht="15">
      <c r="A4333" s="81" t="s">
        <v>289</v>
      </c>
      <c r="B4333" s="80" t="s">
        <v>2493</v>
      </c>
      <c r="C4333" s="89" t="s">
        <v>938</v>
      </c>
    </row>
    <row r="4334" spans="1:3" ht="15">
      <c r="A4334" s="81" t="s">
        <v>288</v>
      </c>
      <c r="B4334" s="80" t="s">
        <v>2870</v>
      </c>
      <c r="C4334" s="89" t="s">
        <v>937</v>
      </c>
    </row>
    <row r="4335" spans="1:3" ht="15">
      <c r="A4335" s="81" t="s">
        <v>288</v>
      </c>
      <c r="B4335" s="80" t="s">
        <v>3166</v>
      </c>
      <c r="C4335" s="89" t="s">
        <v>937</v>
      </c>
    </row>
    <row r="4336" spans="1:3" ht="15">
      <c r="A4336" s="81" t="s">
        <v>288</v>
      </c>
      <c r="B4336" s="80" t="s">
        <v>3167</v>
      </c>
      <c r="C4336" s="89" t="s">
        <v>937</v>
      </c>
    </row>
    <row r="4337" spans="1:3" ht="15">
      <c r="A4337" s="81" t="s">
        <v>288</v>
      </c>
      <c r="B4337" s="80" t="s">
        <v>2884</v>
      </c>
      <c r="C4337" s="89" t="s">
        <v>937</v>
      </c>
    </row>
    <row r="4338" spans="1:3" ht="15">
      <c r="A4338" s="81" t="s">
        <v>288</v>
      </c>
      <c r="B4338" s="80" t="s">
        <v>2703</v>
      </c>
      <c r="C4338" s="89" t="s">
        <v>937</v>
      </c>
    </row>
    <row r="4339" spans="1:3" ht="15">
      <c r="A4339" s="81" t="s">
        <v>288</v>
      </c>
      <c r="B4339" s="80" t="s">
        <v>2892</v>
      </c>
      <c r="C4339" s="89" t="s">
        <v>937</v>
      </c>
    </row>
    <row r="4340" spans="1:3" ht="15">
      <c r="A4340" s="81" t="s">
        <v>288</v>
      </c>
      <c r="B4340" s="80" t="s">
        <v>2693</v>
      </c>
      <c r="C4340" s="89" t="s">
        <v>937</v>
      </c>
    </row>
    <row r="4341" spans="1:3" ht="15">
      <c r="A4341" s="81" t="s">
        <v>288</v>
      </c>
      <c r="B4341" s="80" t="s">
        <v>3168</v>
      </c>
      <c r="C4341" s="89" t="s">
        <v>937</v>
      </c>
    </row>
    <row r="4342" spans="1:3" ht="15">
      <c r="A4342" s="81" t="s">
        <v>288</v>
      </c>
      <c r="B4342" s="80" t="s">
        <v>2645</v>
      </c>
      <c r="C4342" s="89" t="s">
        <v>937</v>
      </c>
    </row>
    <row r="4343" spans="1:3" ht="15">
      <c r="A4343" s="81" t="s">
        <v>288</v>
      </c>
      <c r="B4343" s="80" t="s">
        <v>2692</v>
      </c>
      <c r="C4343" s="89" t="s">
        <v>937</v>
      </c>
    </row>
    <row r="4344" spans="1:3" ht="15">
      <c r="A4344" s="81" t="s">
        <v>288</v>
      </c>
      <c r="B4344" s="80" t="s">
        <v>3169</v>
      </c>
      <c r="C4344" s="89" t="s">
        <v>937</v>
      </c>
    </row>
    <row r="4345" spans="1:3" ht="15">
      <c r="A4345" s="81" t="s">
        <v>288</v>
      </c>
      <c r="B4345" s="80" t="s">
        <v>2691</v>
      </c>
      <c r="C4345" s="89" t="s">
        <v>937</v>
      </c>
    </row>
    <row r="4346" spans="1:3" ht="15">
      <c r="A4346" s="81" t="s">
        <v>288</v>
      </c>
      <c r="B4346" s="80" t="s">
        <v>2755</v>
      </c>
      <c r="C4346" s="89" t="s">
        <v>937</v>
      </c>
    </row>
    <row r="4347" spans="1:3" ht="15">
      <c r="A4347" s="81" t="s">
        <v>288</v>
      </c>
      <c r="B4347" s="80" t="s">
        <v>3170</v>
      </c>
      <c r="C4347" s="89" t="s">
        <v>937</v>
      </c>
    </row>
    <row r="4348" spans="1:3" ht="15">
      <c r="A4348" s="81" t="s">
        <v>288</v>
      </c>
      <c r="B4348" s="80" t="s">
        <v>2889</v>
      </c>
      <c r="C4348" s="89" t="s">
        <v>937</v>
      </c>
    </row>
    <row r="4349" spans="1:3" ht="15">
      <c r="A4349" s="81" t="s">
        <v>288</v>
      </c>
      <c r="B4349" s="80" t="s">
        <v>3171</v>
      </c>
      <c r="C4349" s="89" t="s">
        <v>937</v>
      </c>
    </row>
    <row r="4350" spans="1:3" ht="15">
      <c r="A4350" s="81" t="s">
        <v>288</v>
      </c>
      <c r="B4350" s="80" t="s">
        <v>3172</v>
      </c>
      <c r="C4350" s="89" t="s">
        <v>937</v>
      </c>
    </row>
    <row r="4351" spans="1:3" ht="15">
      <c r="A4351" s="81" t="s">
        <v>288</v>
      </c>
      <c r="B4351" s="80" t="s">
        <v>3173</v>
      </c>
      <c r="C4351" s="89" t="s">
        <v>937</v>
      </c>
    </row>
    <row r="4352" spans="1:3" ht="15">
      <c r="A4352" s="81" t="s">
        <v>288</v>
      </c>
      <c r="B4352" s="80" t="s">
        <v>3174</v>
      </c>
      <c r="C4352" s="89" t="s">
        <v>937</v>
      </c>
    </row>
    <row r="4353" spans="1:3" ht="15">
      <c r="A4353" s="81" t="s">
        <v>288</v>
      </c>
      <c r="B4353" s="80" t="s">
        <v>2779</v>
      </c>
      <c r="C4353" s="89" t="s">
        <v>937</v>
      </c>
    </row>
    <row r="4354" spans="1:3" ht="15">
      <c r="A4354" s="81" t="s">
        <v>288</v>
      </c>
      <c r="B4354" s="80" t="s">
        <v>3175</v>
      </c>
      <c r="C4354" s="89" t="s">
        <v>937</v>
      </c>
    </row>
    <row r="4355" spans="1:3" ht="15">
      <c r="A4355" s="81" t="s">
        <v>288</v>
      </c>
      <c r="B4355" s="80" t="s">
        <v>2572</v>
      </c>
      <c r="C4355" s="89" t="s">
        <v>937</v>
      </c>
    </row>
    <row r="4356" spans="1:3" ht="15">
      <c r="A4356" s="81" t="s">
        <v>288</v>
      </c>
      <c r="B4356" s="80" t="s">
        <v>2782</v>
      </c>
      <c r="C4356" s="89" t="s">
        <v>937</v>
      </c>
    </row>
    <row r="4357" spans="1:3" ht="15">
      <c r="A4357" s="81" t="s">
        <v>288</v>
      </c>
      <c r="B4357" s="80" t="s">
        <v>3176</v>
      </c>
      <c r="C4357" s="89" t="s">
        <v>937</v>
      </c>
    </row>
    <row r="4358" spans="1:3" ht="15">
      <c r="A4358" s="81" t="s">
        <v>288</v>
      </c>
      <c r="B4358" s="80" t="s">
        <v>2766</v>
      </c>
      <c r="C4358" s="89" t="s">
        <v>937</v>
      </c>
    </row>
    <row r="4359" spans="1:3" ht="15">
      <c r="A4359" s="81" t="s">
        <v>288</v>
      </c>
      <c r="B4359" s="80" t="s">
        <v>3177</v>
      </c>
      <c r="C4359" s="89" t="s">
        <v>937</v>
      </c>
    </row>
    <row r="4360" spans="1:3" ht="15">
      <c r="A4360" s="81" t="s">
        <v>288</v>
      </c>
      <c r="B4360" s="80" t="s">
        <v>3178</v>
      </c>
      <c r="C4360" s="89" t="s">
        <v>937</v>
      </c>
    </row>
    <row r="4361" spans="1:3" ht="15">
      <c r="A4361" s="81" t="s">
        <v>288</v>
      </c>
      <c r="B4361" s="80" t="s">
        <v>3179</v>
      </c>
      <c r="C4361" s="89" t="s">
        <v>937</v>
      </c>
    </row>
    <row r="4362" spans="1:3" ht="15">
      <c r="A4362" s="81" t="s">
        <v>288</v>
      </c>
      <c r="B4362" s="80" t="s">
        <v>3180</v>
      </c>
      <c r="C4362" s="89" t="s">
        <v>937</v>
      </c>
    </row>
    <row r="4363" spans="1:3" ht="15">
      <c r="A4363" s="81" t="s">
        <v>288</v>
      </c>
      <c r="B4363" s="80" t="s">
        <v>3181</v>
      </c>
      <c r="C4363" s="89" t="s">
        <v>937</v>
      </c>
    </row>
    <row r="4364" spans="1:3" ht="15">
      <c r="A4364" s="81" t="s">
        <v>288</v>
      </c>
      <c r="B4364" s="80" t="s">
        <v>3182</v>
      </c>
      <c r="C4364" s="89" t="s">
        <v>937</v>
      </c>
    </row>
    <row r="4365" spans="1:3" ht="15">
      <c r="A4365" s="81" t="s">
        <v>288</v>
      </c>
      <c r="B4365" s="80" t="s">
        <v>3183</v>
      </c>
      <c r="C4365" s="89" t="s">
        <v>937</v>
      </c>
    </row>
    <row r="4366" spans="1:3" ht="15">
      <c r="A4366" s="81" t="s">
        <v>288</v>
      </c>
      <c r="B4366" s="80" t="s">
        <v>3184</v>
      </c>
      <c r="C4366" s="89" t="s">
        <v>937</v>
      </c>
    </row>
    <row r="4367" spans="1:3" ht="15">
      <c r="A4367" s="81" t="s">
        <v>287</v>
      </c>
      <c r="B4367" s="80" t="s">
        <v>2691</v>
      </c>
      <c r="C4367" s="89" t="s">
        <v>936</v>
      </c>
    </row>
    <row r="4368" spans="1:3" ht="15">
      <c r="A4368" s="81" t="s">
        <v>287</v>
      </c>
      <c r="B4368" s="80" t="s">
        <v>2692</v>
      </c>
      <c r="C4368" s="89" t="s">
        <v>936</v>
      </c>
    </row>
    <row r="4369" spans="1:3" ht="15">
      <c r="A4369" s="81" t="s">
        <v>287</v>
      </c>
      <c r="B4369" s="80" t="s">
        <v>2494</v>
      </c>
      <c r="C4369" s="89" t="s">
        <v>936</v>
      </c>
    </row>
    <row r="4370" spans="1:3" ht="15">
      <c r="A4370" s="81" t="s">
        <v>287</v>
      </c>
      <c r="B4370" s="80" t="s">
        <v>2492</v>
      </c>
      <c r="C4370" s="89" t="s">
        <v>936</v>
      </c>
    </row>
    <row r="4371" spans="1:3" ht="15">
      <c r="A4371" s="81" t="s">
        <v>287</v>
      </c>
      <c r="B4371" s="80" t="s">
        <v>2495</v>
      </c>
      <c r="C4371" s="89" t="s">
        <v>936</v>
      </c>
    </row>
    <row r="4372" spans="1:3" ht="15">
      <c r="A4372" s="81" t="s">
        <v>287</v>
      </c>
      <c r="B4372" s="80" t="s">
        <v>2493</v>
      </c>
      <c r="C4372" s="89" t="s">
        <v>936</v>
      </c>
    </row>
    <row r="4373" spans="1:3" ht="15">
      <c r="A4373" s="81" t="s">
        <v>286</v>
      </c>
      <c r="B4373" s="80" t="s">
        <v>2691</v>
      </c>
      <c r="C4373" s="89" t="s">
        <v>935</v>
      </c>
    </row>
    <row r="4374" spans="1:3" ht="15">
      <c r="A4374" s="81" t="s">
        <v>286</v>
      </c>
      <c r="B4374" s="80" t="s">
        <v>2692</v>
      </c>
      <c r="C4374" s="89" t="s">
        <v>935</v>
      </c>
    </row>
    <row r="4375" spans="1:3" ht="15">
      <c r="A4375" s="81" t="s">
        <v>286</v>
      </c>
      <c r="B4375" s="80" t="s">
        <v>2494</v>
      </c>
      <c r="C4375" s="89" t="s">
        <v>935</v>
      </c>
    </row>
    <row r="4376" spans="1:3" ht="15">
      <c r="A4376" s="81" t="s">
        <v>286</v>
      </c>
      <c r="B4376" s="80" t="s">
        <v>2492</v>
      </c>
      <c r="C4376" s="89" t="s">
        <v>935</v>
      </c>
    </row>
    <row r="4377" spans="1:3" ht="15">
      <c r="A4377" s="81" t="s">
        <v>286</v>
      </c>
      <c r="B4377" s="80" t="s">
        <v>2495</v>
      </c>
      <c r="C4377" s="89" t="s">
        <v>935</v>
      </c>
    </row>
    <row r="4378" spans="1:3" ht="15">
      <c r="A4378" s="81" t="s">
        <v>286</v>
      </c>
      <c r="B4378" s="80" t="s">
        <v>2493</v>
      </c>
      <c r="C4378" s="89" t="s">
        <v>935</v>
      </c>
    </row>
    <row r="4379" spans="1:3" ht="15">
      <c r="A4379" s="81" t="s">
        <v>285</v>
      </c>
      <c r="B4379" s="80" t="s">
        <v>2691</v>
      </c>
      <c r="C4379" s="89" t="s">
        <v>934</v>
      </c>
    </row>
    <row r="4380" spans="1:3" ht="15">
      <c r="A4380" s="81" t="s">
        <v>285</v>
      </c>
      <c r="B4380" s="80" t="s">
        <v>2692</v>
      </c>
      <c r="C4380" s="89" t="s">
        <v>934</v>
      </c>
    </row>
    <row r="4381" spans="1:3" ht="15">
      <c r="A4381" s="81" t="s">
        <v>285</v>
      </c>
      <c r="B4381" s="80" t="s">
        <v>2494</v>
      </c>
      <c r="C4381" s="89" t="s">
        <v>934</v>
      </c>
    </row>
    <row r="4382" spans="1:3" ht="15">
      <c r="A4382" s="81" t="s">
        <v>285</v>
      </c>
      <c r="B4382" s="80" t="s">
        <v>2492</v>
      </c>
      <c r="C4382" s="89" t="s">
        <v>934</v>
      </c>
    </row>
    <row r="4383" spans="1:3" ht="15">
      <c r="A4383" s="81" t="s">
        <v>285</v>
      </c>
      <c r="B4383" s="80" t="s">
        <v>2495</v>
      </c>
      <c r="C4383" s="89" t="s">
        <v>934</v>
      </c>
    </row>
    <row r="4384" spans="1:3" ht="15">
      <c r="A4384" s="81" t="s">
        <v>285</v>
      </c>
      <c r="B4384" s="80" t="s">
        <v>2493</v>
      </c>
      <c r="C4384" s="89" t="s">
        <v>934</v>
      </c>
    </row>
    <row r="4385" spans="1:3" ht="15">
      <c r="A4385" s="81" t="s">
        <v>284</v>
      </c>
      <c r="B4385" s="80" t="s">
        <v>430</v>
      </c>
      <c r="C4385" s="89" t="s">
        <v>933</v>
      </c>
    </row>
    <row r="4386" spans="1:3" ht="15">
      <c r="A4386" s="81" t="s">
        <v>284</v>
      </c>
      <c r="B4386" s="80" t="s">
        <v>3185</v>
      </c>
      <c r="C4386" s="89" t="s">
        <v>933</v>
      </c>
    </row>
    <row r="4387" spans="1:3" ht="15">
      <c r="A4387" s="81" t="s">
        <v>284</v>
      </c>
      <c r="B4387" s="80" t="s">
        <v>2691</v>
      </c>
      <c r="C4387" s="89" t="s">
        <v>933</v>
      </c>
    </row>
    <row r="4388" spans="1:3" ht="15">
      <c r="A4388" s="81" t="s">
        <v>284</v>
      </c>
      <c r="B4388" s="80" t="s">
        <v>3186</v>
      </c>
      <c r="C4388" s="89" t="s">
        <v>933</v>
      </c>
    </row>
    <row r="4389" spans="1:3" ht="15">
      <c r="A4389" s="81" t="s">
        <v>284</v>
      </c>
      <c r="B4389" s="80" t="s">
        <v>3187</v>
      </c>
      <c r="C4389" s="89" t="s">
        <v>933</v>
      </c>
    </row>
    <row r="4390" spans="1:3" ht="15">
      <c r="A4390" s="81" t="s">
        <v>283</v>
      </c>
      <c r="B4390" s="80" t="s">
        <v>2691</v>
      </c>
      <c r="C4390" s="89" t="s">
        <v>932</v>
      </c>
    </row>
    <row r="4391" spans="1:3" ht="15">
      <c r="A4391" s="81" t="s">
        <v>283</v>
      </c>
      <c r="B4391" s="80" t="s">
        <v>2692</v>
      </c>
      <c r="C4391" s="89" t="s">
        <v>932</v>
      </c>
    </row>
    <row r="4392" spans="1:3" ht="15">
      <c r="A4392" s="81" t="s">
        <v>283</v>
      </c>
      <c r="B4392" s="80" t="s">
        <v>2494</v>
      </c>
      <c r="C4392" s="89" t="s">
        <v>932</v>
      </c>
    </row>
    <row r="4393" spans="1:3" ht="15">
      <c r="A4393" s="81" t="s">
        <v>283</v>
      </c>
      <c r="B4393" s="80" t="s">
        <v>2492</v>
      </c>
      <c r="C4393" s="89" t="s">
        <v>932</v>
      </c>
    </row>
    <row r="4394" spans="1:3" ht="15">
      <c r="A4394" s="81" t="s">
        <v>283</v>
      </c>
      <c r="B4394" s="80" t="s">
        <v>2495</v>
      </c>
      <c r="C4394" s="89" t="s">
        <v>932</v>
      </c>
    </row>
    <row r="4395" spans="1:3" ht="15">
      <c r="A4395" s="81" t="s">
        <v>283</v>
      </c>
      <c r="B4395" s="80" t="s">
        <v>2493</v>
      </c>
      <c r="C4395" s="89" t="s">
        <v>932</v>
      </c>
    </row>
    <row r="4396" spans="1:3" ht="15">
      <c r="A4396" s="81" t="s">
        <v>282</v>
      </c>
      <c r="B4396" s="80" t="s">
        <v>2691</v>
      </c>
      <c r="C4396" s="89" t="s">
        <v>931</v>
      </c>
    </row>
    <row r="4397" spans="1:3" ht="15">
      <c r="A4397" s="81" t="s">
        <v>282</v>
      </c>
      <c r="B4397" s="80" t="s">
        <v>2692</v>
      </c>
      <c r="C4397" s="89" t="s">
        <v>931</v>
      </c>
    </row>
    <row r="4398" spans="1:3" ht="15">
      <c r="A4398" s="81" t="s">
        <v>282</v>
      </c>
      <c r="B4398" s="80" t="s">
        <v>2494</v>
      </c>
      <c r="C4398" s="89" t="s">
        <v>931</v>
      </c>
    </row>
    <row r="4399" spans="1:3" ht="15">
      <c r="A4399" s="81" t="s">
        <v>282</v>
      </c>
      <c r="B4399" s="80" t="s">
        <v>2492</v>
      </c>
      <c r="C4399" s="89" t="s">
        <v>931</v>
      </c>
    </row>
    <row r="4400" spans="1:3" ht="15">
      <c r="A4400" s="81" t="s">
        <v>282</v>
      </c>
      <c r="B4400" s="80" t="s">
        <v>2495</v>
      </c>
      <c r="C4400" s="89" t="s">
        <v>931</v>
      </c>
    </row>
    <row r="4401" spans="1:3" ht="15">
      <c r="A4401" s="81" t="s">
        <v>282</v>
      </c>
      <c r="B4401" s="80" t="s">
        <v>2493</v>
      </c>
      <c r="C4401" s="89" t="s">
        <v>931</v>
      </c>
    </row>
    <row r="4402" spans="1:3" ht="15">
      <c r="A4402" s="81" t="s">
        <v>281</v>
      </c>
      <c r="B4402" s="80" t="s">
        <v>2691</v>
      </c>
      <c r="C4402" s="89" t="s">
        <v>930</v>
      </c>
    </row>
    <row r="4403" spans="1:3" ht="15">
      <c r="A4403" s="81" t="s">
        <v>281</v>
      </c>
      <c r="B4403" s="80" t="s">
        <v>2692</v>
      </c>
      <c r="C4403" s="89" t="s">
        <v>930</v>
      </c>
    </row>
    <row r="4404" spans="1:3" ht="15">
      <c r="A4404" s="81" t="s">
        <v>281</v>
      </c>
      <c r="B4404" s="80" t="s">
        <v>2494</v>
      </c>
      <c r="C4404" s="89" t="s">
        <v>930</v>
      </c>
    </row>
    <row r="4405" spans="1:3" ht="15">
      <c r="A4405" s="81" t="s">
        <v>281</v>
      </c>
      <c r="B4405" s="80" t="s">
        <v>2492</v>
      </c>
      <c r="C4405" s="89" t="s">
        <v>930</v>
      </c>
    </row>
    <row r="4406" spans="1:3" ht="15">
      <c r="A4406" s="81" t="s">
        <v>281</v>
      </c>
      <c r="B4406" s="80" t="s">
        <v>2495</v>
      </c>
      <c r="C4406" s="89" t="s">
        <v>930</v>
      </c>
    </row>
    <row r="4407" spans="1:3" ht="15">
      <c r="A4407" s="81" t="s">
        <v>281</v>
      </c>
      <c r="B4407" s="80" t="s">
        <v>2493</v>
      </c>
      <c r="C4407" s="89" t="s">
        <v>930</v>
      </c>
    </row>
    <row r="4408" spans="1:3" ht="15">
      <c r="A4408" s="81" t="s">
        <v>280</v>
      </c>
      <c r="B4408" s="80" t="s">
        <v>2691</v>
      </c>
      <c r="C4408" s="89" t="s">
        <v>929</v>
      </c>
    </row>
    <row r="4409" spans="1:3" ht="15">
      <c r="A4409" s="81" t="s">
        <v>280</v>
      </c>
      <c r="B4409" s="80" t="s">
        <v>2692</v>
      </c>
      <c r="C4409" s="89" t="s">
        <v>929</v>
      </c>
    </row>
    <row r="4410" spans="1:3" ht="15">
      <c r="A4410" s="81" t="s">
        <v>280</v>
      </c>
      <c r="B4410" s="80" t="s">
        <v>2494</v>
      </c>
      <c r="C4410" s="89" t="s">
        <v>929</v>
      </c>
    </row>
    <row r="4411" spans="1:3" ht="15">
      <c r="A4411" s="81" t="s">
        <v>280</v>
      </c>
      <c r="B4411" s="80" t="s">
        <v>2492</v>
      </c>
      <c r="C4411" s="89" t="s">
        <v>929</v>
      </c>
    </row>
    <row r="4412" spans="1:3" ht="15">
      <c r="A4412" s="81" t="s">
        <v>280</v>
      </c>
      <c r="B4412" s="80" t="s">
        <v>2495</v>
      </c>
      <c r="C4412" s="89" t="s">
        <v>929</v>
      </c>
    </row>
    <row r="4413" spans="1:3" ht="15">
      <c r="A4413" s="81" t="s">
        <v>280</v>
      </c>
      <c r="B4413" s="80" t="s">
        <v>2493</v>
      </c>
      <c r="C4413" s="89" t="s">
        <v>929</v>
      </c>
    </row>
    <row r="4414" spans="1:3" ht="15">
      <c r="A4414" s="81" t="s">
        <v>279</v>
      </c>
      <c r="B4414" s="80" t="s">
        <v>2691</v>
      </c>
      <c r="C4414" s="89" t="s">
        <v>928</v>
      </c>
    </row>
    <row r="4415" spans="1:3" ht="15">
      <c r="A4415" s="81" t="s">
        <v>279</v>
      </c>
      <c r="B4415" s="80" t="s">
        <v>2692</v>
      </c>
      <c r="C4415" s="89" t="s">
        <v>928</v>
      </c>
    </row>
    <row r="4416" spans="1:3" ht="15">
      <c r="A4416" s="81" t="s">
        <v>279</v>
      </c>
      <c r="B4416" s="80" t="s">
        <v>2494</v>
      </c>
      <c r="C4416" s="89" t="s">
        <v>928</v>
      </c>
    </row>
    <row r="4417" spans="1:3" ht="15">
      <c r="A4417" s="81" t="s">
        <v>279</v>
      </c>
      <c r="B4417" s="80" t="s">
        <v>2492</v>
      </c>
      <c r="C4417" s="89" t="s">
        <v>928</v>
      </c>
    </row>
    <row r="4418" spans="1:3" ht="15">
      <c r="A4418" s="81" t="s">
        <v>279</v>
      </c>
      <c r="B4418" s="80" t="s">
        <v>2495</v>
      </c>
      <c r="C4418" s="89" t="s">
        <v>928</v>
      </c>
    </row>
    <row r="4419" spans="1:3" ht="15">
      <c r="A4419" s="81" t="s">
        <v>279</v>
      </c>
      <c r="B4419" s="80" t="s">
        <v>2493</v>
      </c>
      <c r="C4419" s="89" t="s">
        <v>928</v>
      </c>
    </row>
    <row r="4420" spans="1:3" ht="15">
      <c r="A4420" s="81" t="s">
        <v>278</v>
      </c>
      <c r="B4420" s="80" t="s">
        <v>2691</v>
      </c>
      <c r="C4420" s="89" t="s">
        <v>927</v>
      </c>
    </row>
    <row r="4421" spans="1:3" ht="15">
      <c r="A4421" s="81" t="s">
        <v>278</v>
      </c>
      <c r="B4421" s="80" t="s">
        <v>2692</v>
      </c>
      <c r="C4421" s="89" t="s">
        <v>927</v>
      </c>
    </row>
    <row r="4422" spans="1:3" ht="15">
      <c r="A4422" s="81" t="s">
        <v>278</v>
      </c>
      <c r="B4422" s="80" t="s">
        <v>2494</v>
      </c>
      <c r="C4422" s="89" t="s">
        <v>927</v>
      </c>
    </row>
    <row r="4423" spans="1:3" ht="15">
      <c r="A4423" s="81" t="s">
        <v>278</v>
      </c>
      <c r="B4423" s="80" t="s">
        <v>2492</v>
      </c>
      <c r="C4423" s="89" t="s">
        <v>927</v>
      </c>
    </row>
    <row r="4424" spans="1:3" ht="15">
      <c r="A4424" s="81" t="s">
        <v>278</v>
      </c>
      <c r="B4424" s="80" t="s">
        <v>2495</v>
      </c>
      <c r="C4424" s="89" t="s">
        <v>927</v>
      </c>
    </row>
    <row r="4425" spans="1:3" ht="15">
      <c r="A4425" s="81" t="s">
        <v>278</v>
      </c>
      <c r="B4425" s="80" t="s">
        <v>2493</v>
      </c>
      <c r="C4425" s="89" t="s">
        <v>927</v>
      </c>
    </row>
    <row r="4426" spans="1:3" ht="15">
      <c r="A4426" s="81" t="s">
        <v>277</v>
      </c>
      <c r="B4426" s="80" t="s">
        <v>2691</v>
      </c>
      <c r="C4426" s="89" t="s">
        <v>926</v>
      </c>
    </row>
    <row r="4427" spans="1:3" ht="15">
      <c r="A4427" s="81" t="s">
        <v>277</v>
      </c>
      <c r="B4427" s="80" t="s">
        <v>2692</v>
      </c>
      <c r="C4427" s="89" t="s">
        <v>926</v>
      </c>
    </row>
    <row r="4428" spans="1:3" ht="15">
      <c r="A4428" s="81" t="s">
        <v>277</v>
      </c>
      <c r="B4428" s="80" t="s">
        <v>2494</v>
      </c>
      <c r="C4428" s="89" t="s">
        <v>926</v>
      </c>
    </row>
    <row r="4429" spans="1:3" ht="15">
      <c r="A4429" s="81" t="s">
        <v>277</v>
      </c>
      <c r="B4429" s="80" t="s">
        <v>2492</v>
      </c>
      <c r="C4429" s="89" t="s">
        <v>926</v>
      </c>
    </row>
    <row r="4430" spans="1:3" ht="15">
      <c r="A4430" s="81" t="s">
        <v>277</v>
      </c>
      <c r="B4430" s="80" t="s">
        <v>2495</v>
      </c>
      <c r="C4430" s="89" t="s">
        <v>926</v>
      </c>
    </row>
    <row r="4431" spans="1:3" ht="15">
      <c r="A4431" s="81" t="s">
        <v>277</v>
      </c>
      <c r="B4431" s="80" t="s">
        <v>2493</v>
      </c>
      <c r="C4431" s="89" t="s">
        <v>926</v>
      </c>
    </row>
    <row r="4432" spans="1:3" ht="15">
      <c r="A4432" s="81" t="s">
        <v>276</v>
      </c>
      <c r="B4432" s="80" t="s">
        <v>3188</v>
      </c>
      <c r="C4432" s="89" t="s">
        <v>925</v>
      </c>
    </row>
    <row r="4433" spans="1:3" ht="15">
      <c r="A4433" s="81" t="s">
        <v>276</v>
      </c>
      <c r="B4433" s="80" t="s">
        <v>3189</v>
      </c>
      <c r="C4433" s="89" t="s">
        <v>925</v>
      </c>
    </row>
    <row r="4434" spans="1:3" ht="15">
      <c r="A4434" s="81" t="s">
        <v>276</v>
      </c>
      <c r="B4434" s="80" t="s">
        <v>2520</v>
      </c>
      <c r="C4434" s="89" t="s">
        <v>925</v>
      </c>
    </row>
    <row r="4435" spans="1:3" ht="15">
      <c r="A4435" s="81" t="s">
        <v>276</v>
      </c>
      <c r="B4435" s="80" t="s">
        <v>2691</v>
      </c>
      <c r="C4435" s="89" t="s">
        <v>925</v>
      </c>
    </row>
    <row r="4436" spans="1:3" ht="15">
      <c r="A4436" s="81" t="s">
        <v>276</v>
      </c>
      <c r="B4436" s="80" t="s">
        <v>2692</v>
      </c>
      <c r="C4436" s="89" t="s">
        <v>925</v>
      </c>
    </row>
    <row r="4437" spans="1:3" ht="15">
      <c r="A4437" s="81" t="s">
        <v>275</v>
      </c>
      <c r="B4437" s="80" t="s">
        <v>2691</v>
      </c>
      <c r="C4437" s="89" t="s">
        <v>924</v>
      </c>
    </row>
    <row r="4438" spans="1:3" ht="15">
      <c r="A4438" s="81" t="s">
        <v>275</v>
      </c>
      <c r="B4438" s="80" t="s">
        <v>2692</v>
      </c>
      <c r="C4438" s="89" t="s">
        <v>924</v>
      </c>
    </row>
    <row r="4439" spans="1:3" ht="15">
      <c r="A4439" s="81" t="s">
        <v>275</v>
      </c>
      <c r="B4439" s="80" t="s">
        <v>2494</v>
      </c>
      <c r="C4439" s="89" t="s">
        <v>924</v>
      </c>
    </row>
    <row r="4440" spans="1:3" ht="15">
      <c r="A4440" s="81" t="s">
        <v>275</v>
      </c>
      <c r="B4440" s="80" t="s">
        <v>2492</v>
      </c>
      <c r="C4440" s="89" t="s">
        <v>924</v>
      </c>
    </row>
    <row r="4441" spans="1:3" ht="15">
      <c r="A4441" s="81" t="s">
        <v>275</v>
      </c>
      <c r="B4441" s="80" t="s">
        <v>2495</v>
      </c>
      <c r="C4441" s="89" t="s">
        <v>924</v>
      </c>
    </row>
    <row r="4442" spans="1:3" ht="15">
      <c r="A4442" s="81" t="s">
        <v>275</v>
      </c>
      <c r="B4442" s="80" t="s">
        <v>2493</v>
      </c>
      <c r="C4442" s="89" t="s">
        <v>924</v>
      </c>
    </row>
    <row r="4443" spans="1:3" ht="15">
      <c r="A4443" s="81" t="s">
        <v>274</v>
      </c>
      <c r="B4443" s="80" t="s">
        <v>2691</v>
      </c>
      <c r="C4443" s="89" t="s">
        <v>923</v>
      </c>
    </row>
    <row r="4444" spans="1:3" ht="15">
      <c r="A4444" s="81" t="s">
        <v>274</v>
      </c>
      <c r="B4444" s="80" t="s">
        <v>2692</v>
      </c>
      <c r="C4444" s="89" t="s">
        <v>923</v>
      </c>
    </row>
    <row r="4445" spans="1:3" ht="15">
      <c r="A4445" s="81" t="s">
        <v>274</v>
      </c>
      <c r="B4445" s="80" t="s">
        <v>2494</v>
      </c>
      <c r="C4445" s="89" t="s">
        <v>923</v>
      </c>
    </row>
    <row r="4446" spans="1:3" ht="15">
      <c r="A4446" s="81" t="s">
        <v>274</v>
      </c>
      <c r="B4446" s="80" t="s">
        <v>2492</v>
      </c>
      <c r="C4446" s="89" t="s">
        <v>923</v>
      </c>
    </row>
    <row r="4447" spans="1:3" ht="15">
      <c r="A4447" s="81" t="s">
        <v>274</v>
      </c>
      <c r="B4447" s="80" t="s">
        <v>2495</v>
      </c>
      <c r="C4447" s="89" t="s">
        <v>923</v>
      </c>
    </row>
    <row r="4448" spans="1:3" ht="15">
      <c r="A4448" s="81" t="s">
        <v>274</v>
      </c>
      <c r="B4448" s="80" t="s">
        <v>2493</v>
      </c>
      <c r="C4448" s="89" t="s">
        <v>923</v>
      </c>
    </row>
    <row r="4449" spans="1:3" ht="15">
      <c r="A4449" s="81" t="s">
        <v>273</v>
      </c>
      <c r="B4449" s="80" t="s">
        <v>2691</v>
      </c>
      <c r="C4449" s="89" t="s">
        <v>922</v>
      </c>
    </row>
    <row r="4450" spans="1:3" ht="15">
      <c r="A4450" s="81" t="s">
        <v>273</v>
      </c>
      <c r="B4450" s="80" t="s">
        <v>2692</v>
      </c>
      <c r="C4450" s="89" t="s">
        <v>922</v>
      </c>
    </row>
    <row r="4451" spans="1:3" ht="15">
      <c r="A4451" s="81" t="s">
        <v>273</v>
      </c>
      <c r="B4451" s="80" t="s">
        <v>2494</v>
      </c>
      <c r="C4451" s="89" t="s">
        <v>922</v>
      </c>
    </row>
    <row r="4452" spans="1:3" ht="15">
      <c r="A4452" s="81" t="s">
        <v>273</v>
      </c>
      <c r="B4452" s="80" t="s">
        <v>2492</v>
      </c>
      <c r="C4452" s="89" t="s">
        <v>922</v>
      </c>
    </row>
    <row r="4453" spans="1:3" ht="15">
      <c r="A4453" s="81" t="s">
        <v>273</v>
      </c>
      <c r="B4453" s="80" t="s">
        <v>2495</v>
      </c>
      <c r="C4453" s="89" t="s">
        <v>922</v>
      </c>
    </row>
    <row r="4454" spans="1:3" ht="15">
      <c r="A4454" s="81" t="s">
        <v>273</v>
      </c>
      <c r="B4454" s="80" t="s">
        <v>2493</v>
      </c>
      <c r="C4454" s="89" t="s">
        <v>922</v>
      </c>
    </row>
    <row r="4455" spans="1:3" ht="15">
      <c r="A4455" s="81" t="s">
        <v>272</v>
      </c>
      <c r="B4455" s="80" t="s">
        <v>2691</v>
      </c>
      <c r="C4455" s="89" t="s">
        <v>921</v>
      </c>
    </row>
    <row r="4456" spans="1:3" ht="15">
      <c r="A4456" s="81" t="s">
        <v>272</v>
      </c>
      <c r="B4456" s="80" t="s">
        <v>2692</v>
      </c>
      <c r="C4456" s="89" t="s">
        <v>921</v>
      </c>
    </row>
    <row r="4457" spans="1:3" ht="15">
      <c r="A4457" s="81" t="s">
        <v>272</v>
      </c>
      <c r="B4457" s="80" t="s">
        <v>2494</v>
      </c>
      <c r="C4457" s="89" t="s">
        <v>921</v>
      </c>
    </row>
    <row r="4458" spans="1:3" ht="15">
      <c r="A4458" s="81" t="s">
        <v>272</v>
      </c>
      <c r="B4458" s="80" t="s">
        <v>2492</v>
      </c>
      <c r="C4458" s="89" t="s">
        <v>921</v>
      </c>
    </row>
    <row r="4459" spans="1:3" ht="15">
      <c r="A4459" s="81" t="s">
        <v>272</v>
      </c>
      <c r="B4459" s="80" t="s">
        <v>2495</v>
      </c>
      <c r="C4459" s="89" t="s">
        <v>921</v>
      </c>
    </row>
    <row r="4460" spans="1:3" ht="15">
      <c r="A4460" s="81" t="s">
        <v>272</v>
      </c>
      <c r="B4460" s="80" t="s">
        <v>2493</v>
      </c>
      <c r="C4460" s="89" t="s">
        <v>921</v>
      </c>
    </row>
    <row r="4461" spans="1:3" ht="15">
      <c r="A4461" s="81" t="s">
        <v>271</v>
      </c>
      <c r="B4461" s="80" t="s">
        <v>3190</v>
      </c>
      <c r="C4461" s="89" t="s">
        <v>920</v>
      </c>
    </row>
    <row r="4462" spans="1:3" ht="15">
      <c r="A4462" s="81" t="s">
        <v>271</v>
      </c>
      <c r="B4462" s="80" t="s">
        <v>3191</v>
      </c>
      <c r="C4462" s="89" t="s">
        <v>920</v>
      </c>
    </row>
    <row r="4463" spans="1:3" ht="15">
      <c r="A4463" s="81" t="s">
        <v>271</v>
      </c>
      <c r="B4463" s="80" t="s">
        <v>3192</v>
      </c>
      <c r="C4463" s="89" t="s">
        <v>920</v>
      </c>
    </row>
    <row r="4464" spans="1:3" ht="15">
      <c r="A4464" s="81" t="s">
        <v>271</v>
      </c>
      <c r="B4464" s="80" t="s">
        <v>3193</v>
      </c>
      <c r="C4464" s="89" t="s">
        <v>920</v>
      </c>
    </row>
    <row r="4465" spans="1:3" ht="15">
      <c r="A4465" s="81" t="s">
        <v>271</v>
      </c>
      <c r="B4465" s="80" t="s">
        <v>2813</v>
      </c>
      <c r="C4465" s="89" t="s">
        <v>920</v>
      </c>
    </row>
    <row r="4466" spans="1:3" ht="15">
      <c r="A4466" s="81" t="s">
        <v>271</v>
      </c>
      <c r="B4466" s="80" t="s">
        <v>3194</v>
      </c>
      <c r="C4466" s="89" t="s">
        <v>920</v>
      </c>
    </row>
    <row r="4467" spans="1:3" ht="15">
      <c r="A4467" s="81" t="s">
        <v>271</v>
      </c>
      <c r="B4467" s="80" t="s">
        <v>2691</v>
      </c>
      <c r="C4467" s="89" t="s">
        <v>920</v>
      </c>
    </row>
    <row r="4468" spans="1:3" ht="15">
      <c r="A4468" s="81" t="s">
        <v>271</v>
      </c>
      <c r="B4468" s="80" t="s">
        <v>2474</v>
      </c>
      <c r="C4468" s="89" t="s">
        <v>920</v>
      </c>
    </row>
    <row r="4469" spans="1:3" ht="15">
      <c r="A4469" s="81" t="s">
        <v>271</v>
      </c>
      <c r="B4469" s="80" t="s">
        <v>2641</v>
      </c>
      <c r="C4469" s="89" t="s">
        <v>920</v>
      </c>
    </row>
    <row r="4470" spans="1:3" ht="15">
      <c r="A4470" s="81" t="s">
        <v>271</v>
      </c>
      <c r="B4470" s="80" t="s">
        <v>3195</v>
      </c>
      <c r="C4470" s="89" t="s">
        <v>920</v>
      </c>
    </row>
    <row r="4471" spans="1:3" ht="15">
      <c r="A4471" s="81" t="s">
        <v>271</v>
      </c>
      <c r="B4471" s="80" t="s">
        <v>3196</v>
      </c>
      <c r="C4471" s="89" t="s">
        <v>920</v>
      </c>
    </row>
    <row r="4472" spans="1:3" ht="15">
      <c r="A4472" s="81" t="s">
        <v>271</v>
      </c>
      <c r="B4472" s="80" t="s">
        <v>3197</v>
      </c>
      <c r="C4472" s="89" t="s">
        <v>920</v>
      </c>
    </row>
    <row r="4473" spans="1:3" ht="15">
      <c r="A4473" s="81" t="s">
        <v>271</v>
      </c>
      <c r="B4473" s="80" t="s">
        <v>2707</v>
      </c>
      <c r="C4473" s="89" t="s">
        <v>920</v>
      </c>
    </row>
    <row r="4474" spans="1:3" ht="15">
      <c r="A4474" s="81" t="s">
        <v>271</v>
      </c>
      <c r="B4474" s="80" t="s">
        <v>2884</v>
      </c>
      <c r="C4474" s="89" t="s">
        <v>920</v>
      </c>
    </row>
    <row r="4475" spans="1:3" ht="15">
      <c r="A4475" s="81" t="s">
        <v>271</v>
      </c>
      <c r="B4475" s="80" t="s">
        <v>3198</v>
      </c>
      <c r="C4475" s="89" t="s">
        <v>920</v>
      </c>
    </row>
    <row r="4476" spans="1:3" ht="15">
      <c r="A4476" s="81" t="s">
        <v>271</v>
      </c>
      <c r="B4476" s="80" t="s">
        <v>3199</v>
      </c>
      <c r="C4476" s="89" t="s">
        <v>920</v>
      </c>
    </row>
    <row r="4477" spans="1:3" ht="15">
      <c r="A4477" s="81" t="s">
        <v>271</v>
      </c>
      <c r="B4477" s="80" t="s">
        <v>3200</v>
      </c>
      <c r="C4477" s="89" t="s">
        <v>920</v>
      </c>
    </row>
    <row r="4478" spans="1:3" ht="15">
      <c r="A4478" s="81" t="s">
        <v>271</v>
      </c>
      <c r="B4478" s="80" t="s">
        <v>3201</v>
      </c>
      <c r="C4478" s="89" t="s">
        <v>920</v>
      </c>
    </row>
    <row r="4479" spans="1:3" ht="15">
      <c r="A4479" s="81" t="s">
        <v>271</v>
      </c>
      <c r="B4479" s="80" t="s">
        <v>3202</v>
      </c>
      <c r="C4479" s="89" t="s">
        <v>920</v>
      </c>
    </row>
    <row r="4480" spans="1:3" ht="15">
      <c r="A4480" s="81" t="s">
        <v>271</v>
      </c>
      <c r="B4480" s="80" t="s">
        <v>3203</v>
      </c>
      <c r="C4480" s="89" t="s">
        <v>920</v>
      </c>
    </row>
    <row r="4481" spans="1:3" ht="15">
      <c r="A4481" s="81" t="s">
        <v>271</v>
      </c>
      <c r="B4481" s="80" t="s">
        <v>3204</v>
      </c>
      <c r="C4481" s="89" t="s">
        <v>920</v>
      </c>
    </row>
    <row r="4482" spans="1:3" ht="15">
      <c r="A4482" s="81" t="s">
        <v>271</v>
      </c>
      <c r="B4482" s="80" t="s">
        <v>1181</v>
      </c>
      <c r="C4482" s="89" t="s">
        <v>920</v>
      </c>
    </row>
    <row r="4483" spans="1:3" ht="15">
      <c r="A4483" s="81" t="s">
        <v>271</v>
      </c>
      <c r="B4483" s="80" t="s">
        <v>3205</v>
      </c>
      <c r="C4483" s="89" t="s">
        <v>920</v>
      </c>
    </row>
    <row r="4484" spans="1:3" ht="15">
      <c r="A4484" s="81" t="s">
        <v>271</v>
      </c>
      <c r="B4484" s="80" t="s">
        <v>3206</v>
      </c>
      <c r="C4484" s="89" t="s">
        <v>920</v>
      </c>
    </row>
    <row r="4485" spans="1:3" ht="15">
      <c r="A4485" s="81" t="s">
        <v>271</v>
      </c>
      <c r="B4485" s="80" t="s">
        <v>3207</v>
      </c>
      <c r="C4485" s="89" t="s">
        <v>920</v>
      </c>
    </row>
    <row r="4486" spans="1:3" ht="15">
      <c r="A4486" s="81" t="s">
        <v>271</v>
      </c>
      <c r="B4486" s="80" t="s">
        <v>3208</v>
      </c>
      <c r="C4486" s="89" t="s">
        <v>920</v>
      </c>
    </row>
    <row r="4487" spans="1:3" ht="15">
      <c r="A4487" s="81" t="s">
        <v>271</v>
      </c>
      <c r="B4487" s="80" t="s">
        <v>3209</v>
      </c>
      <c r="C4487" s="89" t="s">
        <v>920</v>
      </c>
    </row>
    <row r="4488" spans="1:3" ht="15">
      <c r="A4488" s="81" t="s">
        <v>271</v>
      </c>
      <c r="B4488" s="80" t="s">
        <v>3210</v>
      </c>
      <c r="C4488" s="89" t="s">
        <v>920</v>
      </c>
    </row>
    <row r="4489" spans="1:3" ht="15">
      <c r="A4489" s="81" t="s">
        <v>270</v>
      </c>
      <c r="B4489" s="80" t="s">
        <v>2691</v>
      </c>
      <c r="C4489" s="89" t="s">
        <v>919</v>
      </c>
    </row>
    <row r="4490" spans="1:3" ht="15">
      <c r="A4490" s="81" t="s">
        <v>270</v>
      </c>
      <c r="B4490" s="80" t="s">
        <v>2692</v>
      </c>
      <c r="C4490" s="89" t="s">
        <v>919</v>
      </c>
    </row>
    <row r="4491" spans="1:3" ht="15">
      <c r="A4491" s="81" t="s">
        <v>270</v>
      </c>
      <c r="B4491" s="80" t="s">
        <v>2494</v>
      </c>
      <c r="C4491" s="89" t="s">
        <v>919</v>
      </c>
    </row>
    <row r="4492" spans="1:3" ht="15">
      <c r="A4492" s="81" t="s">
        <v>270</v>
      </c>
      <c r="B4492" s="80" t="s">
        <v>2492</v>
      </c>
      <c r="C4492" s="89" t="s">
        <v>919</v>
      </c>
    </row>
    <row r="4493" spans="1:3" ht="15">
      <c r="A4493" s="81" t="s">
        <v>270</v>
      </c>
      <c r="B4493" s="80" t="s">
        <v>2495</v>
      </c>
      <c r="C4493" s="89" t="s">
        <v>919</v>
      </c>
    </row>
    <row r="4494" spans="1:3" ht="15">
      <c r="A4494" s="81" t="s">
        <v>270</v>
      </c>
      <c r="B4494" s="80" t="s">
        <v>2493</v>
      </c>
      <c r="C4494" s="89" t="s">
        <v>919</v>
      </c>
    </row>
    <row r="4495" spans="1:3" ht="15">
      <c r="A4495" s="81" t="s">
        <v>269</v>
      </c>
      <c r="B4495" s="80" t="s">
        <v>3211</v>
      </c>
      <c r="C4495" s="89" t="s">
        <v>918</v>
      </c>
    </row>
    <row r="4496" spans="1:3" ht="15">
      <c r="A4496" s="81" t="s">
        <v>269</v>
      </c>
      <c r="B4496" s="80" t="s">
        <v>3212</v>
      </c>
      <c r="C4496" s="89" t="s">
        <v>918</v>
      </c>
    </row>
    <row r="4497" spans="1:3" ht="15">
      <c r="A4497" s="81" t="s">
        <v>269</v>
      </c>
      <c r="B4497" s="80" t="s">
        <v>3213</v>
      </c>
      <c r="C4497" s="89" t="s">
        <v>918</v>
      </c>
    </row>
    <row r="4498" spans="1:3" ht="15">
      <c r="A4498" s="81" t="s">
        <v>269</v>
      </c>
      <c r="B4498" s="80" t="s">
        <v>3214</v>
      </c>
      <c r="C4498" s="89" t="s">
        <v>918</v>
      </c>
    </row>
    <row r="4499" spans="1:3" ht="15">
      <c r="A4499" s="81" t="s">
        <v>269</v>
      </c>
      <c r="B4499" s="80" t="s">
        <v>3215</v>
      </c>
      <c r="C4499" s="89" t="s">
        <v>918</v>
      </c>
    </row>
    <row r="4500" spans="1:3" ht="15">
      <c r="A4500" s="81" t="s">
        <v>269</v>
      </c>
      <c r="B4500" s="80" t="s">
        <v>3216</v>
      </c>
      <c r="C4500" s="89" t="s">
        <v>918</v>
      </c>
    </row>
    <row r="4501" spans="1:3" ht="15">
      <c r="A4501" s="81" t="s">
        <v>269</v>
      </c>
      <c r="B4501" s="80" t="s">
        <v>3217</v>
      </c>
      <c r="C4501" s="89" t="s">
        <v>918</v>
      </c>
    </row>
    <row r="4502" spans="1:3" ht="15">
      <c r="A4502" s="81" t="s">
        <v>268</v>
      </c>
      <c r="B4502" s="80" t="s">
        <v>2691</v>
      </c>
      <c r="C4502" s="89" t="s">
        <v>917</v>
      </c>
    </row>
    <row r="4503" spans="1:3" ht="15">
      <c r="A4503" s="81" t="s">
        <v>268</v>
      </c>
      <c r="B4503" s="80" t="s">
        <v>2692</v>
      </c>
      <c r="C4503" s="89" t="s">
        <v>917</v>
      </c>
    </row>
    <row r="4504" spans="1:3" ht="15">
      <c r="A4504" s="81" t="s">
        <v>268</v>
      </c>
      <c r="B4504" s="80" t="s">
        <v>2494</v>
      </c>
      <c r="C4504" s="89" t="s">
        <v>917</v>
      </c>
    </row>
    <row r="4505" spans="1:3" ht="15">
      <c r="A4505" s="81" t="s">
        <v>268</v>
      </c>
      <c r="B4505" s="80" t="s">
        <v>2492</v>
      </c>
      <c r="C4505" s="89" t="s">
        <v>917</v>
      </c>
    </row>
    <row r="4506" spans="1:3" ht="15">
      <c r="A4506" s="81" t="s">
        <v>268</v>
      </c>
      <c r="B4506" s="80" t="s">
        <v>2495</v>
      </c>
      <c r="C4506" s="89" t="s">
        <v>917</v>
      </c>
    </row>
    <row r="4507" spans="1:3" ht="15">
      <c r="A4507" s="81" t="s">
        <v>268</v>
      </c>
      <c r="B4507" s="80" t="s">
        <v>2493</v>
      </c>
      <c r="C4507" s="89" t="s">
        <v>917</v>
      </c>
    </row>
    <row r="4508" spans="1:3" ht="15">
      <c r="A4508" s="81" t="s">
        <v>267</v>
      </c>
      <c r="B4508" s="80" t="s">
        <v>2691</v>
      </c>
      <c r="C4508" s="89" t="s">
        <v>916</v>
      </c>
    </row>
    <row r="4509" spans="1:3" ht="15">
      <c r="A4509" s="81" t="s">
        <v>267</v>
      </c>
      <c r="B4509" s="80" t="s">
        <v>2692</v>
      </c>
      <c r="C4509" s="89" t="s">
        <v>916</v>
      </c>
    </row>
    <row r="4510" spans="1:3" ht="15">
      <c r="A4510" s="81" t="s">
        <v>267</v>
      </c>
      <c r="B4510" s="80" t="s">
        <v>2494</v>
      </c>
      <c r="C4510" s="89" t="s">
        <v>916</v>
      </c>
    </row>
    <row r="4511" spans="1:3" ht="15">
      <c r="A4511" s="81" t="s">
        <v>267</v>
      </c>
      <c r="B4511" s="80" t="s">
        <v>2492</v>
      </c>
      <c r="C4511" s="89" t="s">
        <v>916</v>
      </c>
    </row>
    <row r="4512" spans="1:3" ht="15">
      <c r="A4512" s="81" t="s">
        <v>267</v>
      </c>
      <c r="B4512" s="80" t="s">
        <v>2495</v>
      </c>
      <c r="C4512" s="89" t="s">
        <v>916</v>
      </c>
    </row>
    <row r="4513" spans="1:3" ht="15">
      <c r="A4513" s="81" t="s">
        <v>267</v>
      </c>
      <c r="B4513" s="80" t="s">
        <v>2493</v>
      </c>
      <c r="C4513" s="89" t="s">
        <v>916</v>
      </c>
    </row>
    <row r="4514" spans="1:3" ht="15">
      <c r="A4514" s="81" t="s">
        <v>266</v>
      </c>
      <c r="B4514" s="80" t="s">
        <v>430</v>
      </c>
      <c r="C4514" s="89" t="s">
        <v>915</v>
      </c>
    </row>
    <row r="4515" spans="1:3" ht="15">
      <c r="A4515" s="81" t="s">
        <v>266</v>
      </c>
      <c r="B4515" s="80" t="s">
        <v>2691</v>
      </c>
      <c r="C4515" s="89" t="s">
        <v>915</v>
      </c>
    </row>
    <row r="4516" spans="1:3" ht="15">
      <c r="A4516" s="81" t="s">
        <v>266</v>
      </c>
      <c r="B4516" s="80" t="s">
        <v>3218</v>
      </c>
      <c r="C4516" s="89" t="s">
        <v>915</v>
      </c>
    </row>
    <row r="4517" spans="1:3" ht="15">
      <c r="A4517" s="81" t="s">
        <v>265</v>
      </c>
      <c r="B4517" s="80" t="s">
        <v>2691</v>
      </c>
      <c r="C4517" s="89" t="s">
        <v>914</v>
      </c>
    </row>
    <row r="4518" spans="1:3" ht="15">
      <c r="A4518" s="81" t="s">
        <v>265</v>
      </c>
      <c r="B4518" s="80" t="s">
        <v>2692</v>
      </c>
      <c r="C4518" s="89" t="s">
        <v>914</v>
      </c>
    </row>
    <row r="4519" spans="1:3" ht="15">
      <c r="A4519" s="81" t="s">
        <v>265</v>
      </c>
      <c r="B4519" s="80" t="s">
        <v>2494</v>
      </c>
      <c r="C4519" s="89" t="s">
        <v>914</v>
      </c>
    </row>
    <row r="4520" spans="1:3" ht="15">
      <c r="A4520" s="81" t="s">
        <v>265</v>
      </c>
      <c r="B4520" s="80" t="s">
        <v>2492</v>
      </c>
      <c r="C4520" s="89" t="s">
        <v>914</v>
      </c>
    </row>
    <row r="4521" spans="1:3" ht="15">
      <c r="A4521" s="81" t="s">
        <v>265</v>
      </c>
      <c r="B4521" s="80" t="s">
        <v>2495</v>
      </c>
      <c r="C4521" s="89" t="s">
        <v>914</v>
      </c>
    </row>
    <row r="4522" spans="1:3" ht="15">
      <c r="A4522" s="81" t="s">
        <v>265</v>
      </c>
      <c r="B4522" s="80" t="s">
        <v>2493</v>
      </c>
      <c r="C4522" s="89" t="s">
        <v>914</v>
      </c>
    </row>
    <row r="4523" spans="1:3" ht="15">
      <c r="A4523" s="81" t="s">
        <v>264</v>
      </c>
      <c r="B4523" s="80" t="s">
        <v>2691</v>
      </c>
      <c r="C4523" s="89" t="s">
        <v>913</v>
      </c>
    </row>
    <row r="4524" spans="1:3" ht="15">
      <c r="A4524" s="81" t="s">
        <v>264</v>
      </c>
      <c r="B4524" s="80" t="s">
        <v>2692</v>
      </c>
      <c r="C4524" s="89" t="s">
        <v>913</v>
      </c>
    </row>
    <row r="4525" spans="1:3" ht="15">
      <c r="A4525" s="81" t="s">
        <v>264</v>
      </c>
      <c r="B4525" s="80" t="s">
        <v>2494</v>
      </c>
      <c r="C4525" s="89" t="s">
        <v>913</v>
      </c>
    </row>
    <row r="4526" spans="1:3" ht="15">
      <c r="A4526" s="81" t="s">
        <v>264</v>
      </c>
      <c r="B4526" s="80" t="s">
        <v>2492</v>
      </c>
      <c r="C4526" s="89" t="s">
        <v>913</v>
      </c>
    </row>
    <row r="4527" spans="1:3" ht="15">
      <c r="A4527" s="81" t="s">
        <v>264</v>
      </c>
      <c r="B4527" s="80" t="s">
        <v>2495</v>
      </c>
      <c r="C4527" s="89" t="s">
        <v>913</v>
      </c>
    </row>
    <row r="4528" spans="1:3" ht="15">
      <c r="A4528" s="81" t="s">
        <v>264</v>
      </c>
      <c r="B4528" s="80" t="s">
        <v>2493</v>
      </c>
      <c r="C4528" s="89" t="s">
        <v>913</v>
      </c>
    </row>
    <row r="4529" spans="1:3" ht="15">
      <c r="A4529" s="81" t="s">
        <v>263</v>
      </c>
      <c r="B4529" s="80" t="s">
        <v>2691</v>
      </c>
      <c r="C4529" s="89" t="s">
        <v>912</v>
      </c>
    </row>
    <row r="4530" spans="1:3" ht="15">
      <c r="A4530" s="81" t="s">
        <v>263</v>
      </c>
      <c r="B4530" s="80" t="s">
        <v>2692</v>
      </c>
      <c r="C4530" s="89" t="s">
        <v>912</v>
      </c>
    </row>
    <row r="4531" spans="1:3" ht="15">
      <c r="A4531" s="81" t="s">
        <v>263</v>
      </c>
      <c r="B4531" s="80" t="s">
        <v>2494</v>
      </c>
      <c r="C4531" s="89" t="s">
        <v>912</v>
      </c>
    </row>
    <row r="4532" spans="1:3" ht="15">
      <c r="A4532" s="81" t="s">
        <v>263</v>
      </c>
      <c r="B4532" s="80" t="s">
        <v>2492</v>
      </c>
      <c r="C4532" s="89" t="s">
        <v>912</v>
      </c>
    </row>
    <row r="4533" spans="1:3" ht="15">
      <c r="A4533" s="81" t="s">
        <v>263</v>
      </c>
      <c r="B4533" s="80" t="s">
        <v>2495</v>
      </c>
      <c r="C4533" s="89" t="s">
        <v>912</v>
      </c>
    </row>
    <row r="4534" spans="1:3" ht="15">
      <c r="A4534" s="81" t="s">
        <v>263</v>
      </c>
      <c r="B4534" s="80" t="s">
        <v>2493</v>
      </c>
      <c r="C4534" s="89" t="s">
        <v>912</v>
      </c>
    </row>
    <row r="4535" spans="1:3" ht="15">
      <c r="A4535" s="81" t="s">
        <v>262</v>
      </c>
      <c r="B4535" s="80" t="s">
        <v>3219</v>
      </c>
      <c r="C4535" s="89" t="s">
        <v>911</v>
      </c>
    </row>
    <row r="4536" spans="1:3" ht="15">
      <c r="A4536" s="81" t="s">
        <v>262</v>
      </c>
      <c r="B4536" s="80" t="s">
        <v>2743</v>
      </c>
      <c r="C4536" s="89" t="s">
        <v>911</v>
      </c>
    </row>
    <row r="4537" spans="1:3" ht="15">
      <c r="A4537" s="81" t="s">
        <v>262</v>
      </c>
      <c r="B4537" s="80" t="s">
        <v>2691</v>
      </c>
      <c r="C4537" s="89" t="s">
        <v>911</v>
      </c>
    </row>
    <row r="4538" spans="1:3" ht="15">
      <c r="A4538" s="81" t="s">
        <v>262</v>
      </c>
      <c r="B4538" s="80" t="s">
        <v>2692</v>
      </c>
      <c r="C4538" s="89" t="s">
        <v>911</v>
      </c>
    </row>
    <row r="4539" spans="1:3" ht="15">
      <c r="A4539" s="81" t="s">
        <v>262</v>
      </c>
      <c r="B4539" s="80" t="s">
        <v>3220</v>
      </c>
      <c r="C4539" s="89" t="s">
        <v>911</v>
      </c>
    </row>
    <row r="4540" spans="1:3" ht="15">
      <c r="A4540" s="81" t="s">
        <v>262</v>
      </c>
      <c r="B4540" s="80" t="s">
        <v>2833</v>
      </c>
      <c r="C4540" s="89" t="s">
        <v>911</v>
      </c>
    </row>
    <row r="4541" spans="1:3" ht="15">
      <c r="A4541" s="81" t="s">
        <v>262</v>
      </c>
      <c r="B4541" s="80" t="s">
        <v>2707</v>
      </c>
      <c r="C4541" s="89" t="s">
        <v>911</v>
      </c>
    </row>
    <row r="4542" spans="1:3" ht="15">
      <c r="A4542" s="81" t="s">
        <v>262</v>
      </c>
      <c r="B4542" s="80" t="s">
        <v>3221</v>
      </c>
      <c r="C4542" s="89" t="s">
        <v>911</v>
      </c>
    </row>
    <row r="4543" spans="1:3" ht="15">
      <c r="A4543" s="81" t="s">
        <v>262</v>
      </c>
      <c r="B4543" s="80" t="s">
        <v>3222</v>
      </c>
      <c r="C4543" s="89" t="s">
        <v>911</v>
      </c>
    </row>
    <row r="4544" spans="1:3" ht="15">
      <c r="A4544" s="81" t="s">
        <v>262</v>
      </c>
      <c r="B4544" s="80" t="s">
        <v>3223</v>
      </c>
      <c r="C4544" s="89" t="s">
        <v>911</v>
      </c>
    </row>
    <row r="4545" spans="1:3" ht="15">
      <c r="A4545" s="81" t="s">
        <v>262</v>
      </c>
      <c r="B4545" s="80" t="s">
        <v>3224</v>
      </c>
      <c r="C4545" s="89" t="s">
        <v>911</v>
      </c>
    </row>
    <row r="4546" spans="1:3" ht="15">
      <c r="A4546" s="81" t="s">
        <v>262</v>
      </c>
      <c r="B4546" s="80" t="s">
        <v>2726</v>
      </c>
      <c r="C4546" s="89" t="s">
        <v>911</v>
      </c>
    </row>
    <row r="4547" spans="1:3" ht="15">
      <c r="A4547" s="81" t="s">
        <v>261</v>
      </c>
      <c r="B4547" s="80" t="s">
        <v>2691</v>
      </c>
      <c r="C4547" s="89" t="s">
        <v>910</v>
      </c>
    </row>
    <row r="4548" spans="1:3" ht="15">
      <c r="A4548" s="81" t="s">
        <v>261</v>
      </c>
      <c r="B4548" s="80" t="s">
        <v>2692</v>
      </c>
      <c r="C4548" s="89" t="s">
        <v>910</v>
      </c>
    </row>
    <row r="4549" spans="1:3" ht="15">
      <c r="A4549" s="81" t="s">
        <v>261</v>
      </c>
      <c r="B4549" s="80" t="s">
        <v>2494</v>
      </c>
      <c r="C4549" s="89" t="s">
        <v>910</v>
      </c>
    </row>
    <row r="4550" spans="1:3" ht="15">
      <c r="A4550" s="81" t="s">
        <v>261</v>
      </c>
      <c r="B4550" s="80" t="s">
        <v>2492</v>
      </c>
      <c r="C4550" s="89" t="s">
        <v>910</v>
      </c>
    </row>
    <row r="4551" spans="1:3" ht="15">
      <c r="A4551" s="81" t="s">
        <v>261</v>
      </c>
      <c r="B4551" s="80" t="s">
        <v>2495</v>
      </c>
      <c r="C4551" s="89" t="s">
        <v>910</v>
      </c>
    </row>
    <row r="4552" spans="1:3" ht="15">
      <c r="A4552" s="81" t="s">
        <v>261</v>
      </c>
      <c r="B4552" s="80" t="s">
        <v>2493</v>
      </c>
      <c r="C4552" s="89" t="s">
        <v>910</v>
      </c>
    </row>
    <row r="4553" spans="1:3" ht="15">
      <c r="A4553" s="81" t="s">
        <v>260</v>
      </c>
      <c r="B4553" s="80" t="s">
        <v>2691</v>
      </c>
      <c r="C4553" s="89" t="s">
        <v>909</v>
      </c>
    </row>
    <row r="4554" spans="1:3" ht="15">
      <c r="A4554" s="81" t="s">
        <v>260</v>
      </c>
      <c r="B4554" s="80" t="s">
        <v>2692</v>
      </c>
      <c r="C4554" s="89" t="s">
        <v>909</v>
      </c>
    </row>
    <row r="4555" spans="1:3" ht="15">
      <c r="A4555" s="81" t="s">
        <v>260</v>
      </c>
      <c r="B4555" s="80" t="s">
        <v>2494</v>
      </c>
      <c r="C4555" s="89" t="s">
        <v>909</v>
      </c>
    </row>
    <row r="4556" spans="1:3" ht="15">
      <c r="A4556" s="81" t="s">
        <v>260</v>
      </c>
      <c r="B4556" s="80" t="s">
        <v>2492</v>
      </c>
      <c r="C4556" s="89" t="s">
        <v>909</v>
      </c>
    </row>
    <row r="4557" spans="1:3" ht="15">
      <c r="A4557" s="81" t="s">
        <v>260</v>
      </c>
      <c r="B4557" s="80" t="s">
        <v>2495</v>
      </c>
      <c r="C4557" s="89" t="s">
        <v>909</v>
      </c>
    </row>
    <row r="4558" spans="1:3" ht="15">
      <c r="A4558" s="81" t="s">
        <v>260</v>
      </c>
      <c r="B4558" s="80" t="s">
        <v>2493</v>
      </c>
      <c r="C4558" s="89" t="s">
        <v>909</v>
      </c>
    </row>
    <row r="4559" spans="1:3" ht="15">
      <c r="A4559" s="81" t="s">
        <v>259</v>
      </c>
      <c r="B4559" s="80" t="s">
        <v>2691</v>
      </c>
      <c r="C4559" s="89" t="s">
        <v>908</v>
      </c>
    </row>
    <row r="4560" spans="1:3" ht="15">
      <c r="A4560" s="81" t="s">
        <v>259</v>
      </c>
      <c r="B4560" s="80" t="s">
        <v>2692</v>
      </c>
      <c r="C4560" s="89" t="s">
        <v>908</v>
      </c>
    </row>
    <row r="4561" spans="1:3" ht="15">
      <c r="A4561" s="81" t="s">
        <v>259</v>
      </c>
      <c r="B4561" s="80" t="s">
        <v>2494</v>
      </c>
      <c r="C4561" s="89" t="s">
        <v>908</v>
      </c>
    </row>
    <row r="4562" spans="1:3" ht="15">
      <c r="A4562" s="81" t="s">
        <v>259</v>
      </c>
      <c r="B4562" s="80" t="s">
        <v>2492</v>
      </c>
      <c r="C4562" s="89" t="s">
        <v>908</v>
      </c>
    </row>
    <row r="4563" spans="1:3" ht="15">
      <c r="A4563" s="81" t="s">
        <v>259</v>
      </c>
      <c r="B4563" s="80" t="s">
        <v>2495</v>
      </c>
      <c r="C4563" s="89" t="s">
        <v>908</v>
      </c>
    </row>
    <row r="4564" spans="1:3" ht="15">
      <c r="A4564" s="81" t="s">
        <v>259</v>
      </c>
      <c r="B4564" s="80" t="s">
        <v>2493</v>
      </c>
      <c r="C4564" s="89" t="s">
        <v>908</v>
      </c>
    </row>
    <row r="4565" spans="1:3" ht="15">
      <c r="A4565" s="81" t="s">
        <v>258</v>
      </c>
      <c r="B4565" s="80" t="s">
        <v>3225</v>
      </c>
      <c r="C4565" s="89" t="s">
        <v>907</v>
      </c>
    </row>
    <row r="4566" spans="1:3" ht="15">
      <c r="A4566" s="81" t="s">
        <v>258</v>
      </c>
      <c r="B4566" s="80" t="s">
        <v>3226</v>
      </c>
      <c r="C4566" s="89" t="s">
        <v>907</v>
      </c>
    </row>
    <row r="4567" spans="1:3" ht="15">
      <c r="A4567" s="81" t="s">
        <v>258</v>
      </c>
      <c r="B4567" s="80" t="s">
        <v>2882</v>
      </c>
      <c r="C4567" s="89" t="s">
        <v>907</v>
      </c>
    </row>
    <row r="4568" spans="1:3" ht="15">
      <c r="A4568" s="81" t="s">
        <v>258</v>
      </c>
      <c r="B4568" s="80" t="s">
        <v>3227</v>
      </c>
      <c r="C4568" s="89" t="s">
        <v>907</v>
      </c>
    </row>
    <row r="4569" spans="1:3" ht="15">
      <c r="A4569" s="81" t="s">
        <v>258</v>
      </c>
      <c r="B4569" s="80" t="s">
        <v>2691</v>
      </c>
      <c r="C4569" s="89" t="s">
        <v>907</v>
      </c>
    </row>
    <row r="4570" spans="1:3" ht="15">
      <c r="A4570" s="81" t="s">
        <v>258</v>
      </c>
      <c r="B4570" s="80" t="s">
        <v>2692</v>
      </c>
      <c r="C4570" s="89" t="s">
        <v>907</v>
      </c>
    </row>
    <row r="4571" spans="1:3" ht="15">
      <c r="A4571" s="81" t="s">
        <v>258</v>
      </c>
      <c r="B4571" s="80" t="s">
        <v>3228</v>
      </c>
      <c r="C4571" s="89" t="s">
        <v>907</v>
      </c>
    </row>
    <row r="4572" spans="1:3" ht="15">
      <c r="A4572" s="81" t="s">
        <v>257</v>
      </c>
      <c r="B4572" s="80" t="s">
        <v>2691</v>
      </c>
      <c r="C4572" s="89" t="s">
        <v>906</v>
      </c>
    </row>
    <row r="4573" spans="1:3" ht="15">
      <c r="A4573" s="81" t="s">
        <v>257</v>
      </c>
      <c r="B4573" s="80" t="s">
        <v>2692</v>
      </c>
      <c r="C4573" s="89" t="s">
        <v>906</v>
      </c>
    </row>
    <row r="4574" spans="1:3" ht="15">
      <c r="A4574" s="81" t="s">
        <v>257</v>
      </c>
      <c r="B4574" s="80" t="s">
        <v>2494</v>
      </c>
      <c r="C4574" s="89" t="s">
        <v>906</v>
      </c>
    </row>
    <row r="4575" spans="1:3" ht="15">
      <c r="A4575" s="81" t="s">
        <v>257</v>
      </c>
      <c r="B4575" s="80" t="s">
        <v>2492</v>
      </c>
      <c r="C4575" s="89" t="s">
        <v>906</v>
      </c>
    </row>
    <row r="4576" spans="1:3" ht="15">
      <c r="A4576" s="81" t="s">
        <v>257</v>
      </c>
      <c r="B4576" s="80" t="s">
        <v>2495</v>
      </c>
      <c r="C4576" s="89" t="s">
        <v>906</v>
      </c>
    </row>
    <row r="4577" spans="1:3" ht="15">
      <c r="A4577" s="81" t="s">
        <v>257</v>
      </c>
      <c r="B4577" s="80" t="s">
        <v>2493</v>
      </c>
      <c r="C4577" s="89" t="s">
        <v>906</v>
      </c>
    </row>
    <row r="4578" spans="1:3" ht="15">
      <c r="A4578" s="81" t="s">
        <v>256</v>
      </c>
      <c r="B4578" s="80" t="s">
        <v>2691</v>
      </c>
      <c r="C4578" s="89" t="s">
        <v>905</v>
      </c>
    </row>
    <row r="4579" spans="1:3" ht="15">
      <c r="A4579" s="81" t="s">
        <v>256</v>
      </c>
      <c r="B4579" s="80" t="s">
        <v>2692</v>
      </c>
      <c r="C4579" s="89" t="s">
        <v>905</v>
      </c>
    </row>
    <row r="4580" spans="1:3" ht="15">
      <c r="A4580" s="81" t="s">
        <v>256</v>
      </c>
      <c r="B4580" s="80" t="s">
        <v>2494</v>
      </c>
      <c r="C4580" s="89" t="s">
        <v>905</v>
      </c>
    </row>
    <row r="4581" spans="1:3" ht="15">
      <c r="A4581" s="81" t="s">
        <v>256</v>
      </c>
      <c r="B4581" s="80" t="s">
        <v>2492</v>
      </c>
      <c r="C4581" s="89" t="s">
        <v>905</v>
      </c>
    </row>
    <row r="4582" spans="1:3" ht="15">
      <c r="A4582" s="81" t="s">
        <v>256</v>
      </c>
      <c r="B4582" s="80" t="s">
        <v>2495</v>
      </c>
      <c r="C4582" s="89" t="s">
        <v>905</v>
      </c>
    </row>
    <row r="4583" spans="1:3" ht="15">
      <c r="A4583" s="81" t="s">
        <v>256</v>
      </c>
      <c r="B4583" s="80" t="s">
        <v>2493</v>
      </c>
      <c r="C4583" s="89" t="s">
        <v>905</v>
      </c>
    </row>
    <row r="4584" spans="1:3" ht="15">
      <c r="A4584" s="81" t="s">
        <v>255</v>
      </c>
      <c r="B4584" s="80" t="s">
        <v>2691</v>
      </c>
      <c r="C4584" s="89" t="s">
        <v>904</v>
      </c>
    </row>
    <row r="4585" spans="1:3" ht="15">
      <c r="A4585" s="81" t="s">
        <v>255</v>
      </c>
      <c r="B4585" s="80" t="s">
        <v>2692</v>
      </c>
      <c r="C4585" s="89" t="s">
        <v>904</v>
      </c>
    </row>
    <row r="4586" spans="1:3" ht="15">
      <c r="A4586" s="81" t="s">
        <v>255</v>
      </c>
      <c r="B4586" s="80" t="s">
        <v>2494</v>
      </c>
      <c r="C4586" s="89" t="s">
        <v>904</v>
      </c>
    </row>
    <row r="4587" spans="1:3" ht="15">
      <c r="A4587" s="81" t="s">
        <v>255</v>
      </c>
      <c r="B4587" s="80" t="s">
        <v>2492</v>
      </c>
      <c r="C4587" s="89" t="s">
        <v>904</v>
      </c>
    </row>
    <row r="4588" spans="1:3" ht="15">
      <c r="A4588" s="81" t="s">
        <v>255</v>
      </c>
      <c r="B4588" s="80" t="s">
        <v>2495</v>
      </c>
      <c r="C4588" s="89" t="s">
        <v>904</v>
      </c>
    </row>
    <row r="4589" spans="1:3" ht="15">
      <c r="A4589" s="81" t="s">
        <v>255</v>
      </c>
      <c r="B4589" s="80" t="s">
        <v>2493</v>
      </c>
      <c r="C4589" s="89" t="s">
        <v>904</v>
      </c>
    </row>
    <row r="4590" spans="1:3" ht="15">
      <c r="A4590" s="81" t="s">
        <v>254</v>
      </c>
      <c r="B4590" s="80" t="s">
        <v>2691</v>
      </c>
      <c r="C4590" s="89" t="s">
        <v>903</v>
      </c>
    </row>
    <row r="4591" spans="1:3" ht="15">
      <c r="A4591" s="81" t="s">
        <v>254</v>
      </c>
      <c r="B4591" s="80" t="s">
        <v>2692</v>
      </c>
      <c r="C4591" s="89" t="s">
        <v>903</v>
      </c>
    </row>
    <row r="4592" spans="1:3" ht="15">
      <c r="A4592" s="81" t="s">
        <v>254</v>
      </c>
      <c r="B4592" s="80" t="s">
        <v>2494</v>
      </c>
      <c r="C4592" s="89" t="s">
        <v>903</v>
      </c>
    </row>
    <row r="4593" spans="1:3" ht="15">
      <c r="A4593" s="81" t="s">
        <v>254</v>
      </c>
      <c r="B4593" s="80" t="s">
        <v>2492</v>
      </c>
      <c r="C4593" s="89" t="s">
        <v>903</v>
      </c>
    </row>
    <row r="4594" spans="1:3" ht="15">
      <c r="A4594" s="81" t="s">
        <v>254</v>
      </c>
      <c r="B4594" s="80" t="s">
        <v>2495</v>
      </c>
      <c r="C4594" s="89" t="s">
        <v>903</v>
      </c>
    </row>
    <row r="4595" spans="1:3" ht="15">
      <c r="A4595" s="81" t="s">
        <v>254</v>
      </c>
      <c r="B4595" s="80" t="s">
        <v>2493</v>
      </c>
      <c r="C4595" s="89" t="s">
        <v>903</v>
      </c>
    </row>
    <row r="4596" spans="1:3" ht="15">
      <c r="A4596" s="81" t="s">
        <v>253</v>
      </c>
      <c r="B4596" s="80" t="s">
        <v>492</v>
      </c>
      <c r="C4596" s="89" t="s">
        <v>902</v>
      </c>
    </row>
    <row r="4597" spans="1:3" ht="15">
      <c r="A4597" s="81" t="s">
        <v>253</v>
      </c>
      <c r="B4597" s="80" t="s">
        <v>3229</v>
      </c>
      <c r="C4597" s="89" t="s">
        <v>902</v>
      </c>
    </row>
    <row r="4598" spans="1:3" ht="15">
      <c r="A4598" s="81" t="s">
        <v>253</v>
      </c>
      <c r="B4598" s="80" t="s">
        <v>3230</v>
      </c>
      <c r="C4598" s="89" t="s">
        <v>902</v>
      </c>
    </row>
    <row r="4599" spans="1:3" ht="15">
      <c r="A4599" s="81" t="s">
        <v>253</v>
      </c>
      <c r="B4599" s="80" t="s">
        <v>3231</v>
      </c>
      <c r="C4599" s="89" t="s">
        <v>902</v>
      </c>
    </row>
    <row r="4600" spans="1:3" ht="15">
      <c r="A4600" s="81" t="s">
        <v>253</v>
      </c>
      <c r="B4600" s="80" t="s">
        <v>3232</v>
      </c>
      <c r="C4600" s="89" t="s">
        <v>902</v>
      </c>
    </row>
    <row r="4601" spans="1:3" ht="15">
      <c r="A4601" s="81" t="s">
        <v>253</v>
      </c>
      <c r="B4601" s="80" t="s">
        <v>3233</v>
      </c>
      <c r="C4601" s="89" t="s">
        <v>902</v>
      </c>
    </row>
    <row r="4602" spans="1:3" ht="15">
      <c r="A4602" s="81" t="s">
        <v>253</v>
      </c>
      <c r="B4602" s="80" t="s">
        <v>2646</v>
      </c>
      <c r="C4602" s="89" t="s">
        <v>902</v>
      </c>
    </row>
    <row r="4603" spans="1:3" ht="15">
      <c r="A4603" s="81" t="s">
        <v>253</v>
      </c>
      <c r="B4603" s="80" t="s">
        <v>3234</v>
      </c>
      <c r="C4603" s="89" t="s">
        <v>902</v>
      </c>
    </row>
    <row r="4604" spans="1:3" ht="15">
      <c r="A4604" s="81" t="s">
        <v>253</v>
      </c>
      <c r="B4604" s="80" t="s">
        <v>3235</v>
      </c>
      <c r="C4604" s="89" t="s">
        <v>902</v>
      </c>
    </row>
    <row r="4605" spans="1:3" ht="15">
      <c r="A4605" s="81" t="s">
        <v>253</v>
      </c>
      <c r="B4605" s="80" t="s">
        <v>2710</v>
      </c>
      <c r="C4605" s="89" t="s">
        <v>902</v>
      </c>
    </row>
    <row r="4606" spans="1:3" ht="15">
      <c r="A4606" s="81" t="s">
        <v>253</v>
      </c>
      <c r="B4606" s="80" t="s">
        <v>591</v>
      </c>
      <c r="C4606" s="89" t="s">
        <v>902</v>
      </c>
    </row>
    <row r="4607" spans="1:3" ht="15">
      <c r="A4607" s="81" t="s">
        <v>253</v>
      </c>
      <c r="B4607" s="80" t="s">
        <v>3236</v>
      </c>
      <c r="C4607" s="89" t="s">
        <v>902</v>
      </c>
    </row>
    <row r="4608" spans="1:3" ht="15">
      <c r="A4608" s="81" t="s">
        <v>253</v>
      </c>
      <c r="B4608" s="80" t="s">
        <v>3237</v>
      </c>
      <c r="C4608" s="89" t="s">
        <v>902</v>
      </c>
    </row>
    <row r="4609" spans="1:3" ht="15">
      <c r="A4609" s="81" t="s">
        <v>253</v>
      </c>
      <c r="B4609" s="80" t="s">
        <v>3238</v>
      </c>
      <c r="C4609" s="89" t="s">
        <v>902</v>
      </c>
    </row>
    <row r="4610" spans="1:3" ht="15">
      <c r="A4610" s="81" t="s">
        <v>253</v>
      </c>
      <c r="B4610" s="80" t="s">
        <v>3239</v>
      </c>
      <c r="C4610" s="89" t="s">
        <v>902</v>
      </c>
    </row>
    <row r="4611" spans="1:3" ht="15">
      <c r="A4611" s="81" t="s">
        <v>253</v>
      </c>
      <c r="B4611" s="80" t="s">
        <v>3240</v>
      </c>
      <c r="C4611" s="89" t="s">
        <v>902</v>
      </c>
    </row>
    <row r="4612" spans="1:3" ht="15">
      <c r="A4612" s="81" t="s">
        <v>252</v>
      </c>
      <c r="B4612" s="80" t="s">
        <v>2691</v>
      </c>
      <c r="C4612" s="89" t="s">
        <v>901</v>
      </c>
    </row>
    <row r="4613" spans="1:3" ht="15">
      <c r="A4613" s="81" t="s">
        <v>252</v>
      </c>
      <c r="B4613" s="80" t="s">
        <v>2692</v>
      </c>
      <c r="C4613" s="89" t="s">
        <v>901</v>
      </c>
    </row>
    <row r="4614" spans="1:3" ht="15">
      <c r="A4614" s="81" t="s">
        <v>252</v>
      </c>
      <c r="B4614" s="80" t="s">
        <v>2494</v>
      </c>
      <c r="C4614" s="89" t="s">
        <v>901</v>
      </c>
    </row>
    <row r="4615" spans="1:3" ht="15">
      <c r="A4615" s="81" t="s">
        <v>252</v>
      </c>
      <c r="B4615" s="80" t="s">
        <v>2492</v>
      </c>
      <c r="C4615" s="89" t="s">
        <v>901</v>
      </c>
    </row>
    <row r="4616" spans="1:3" ht="15">
      <c r="A4616" s="81" t="s">
        <v>252</v>
      </c>
      <c r="B4616" s="80" t="s">
        <v>2495</v>
      </c>
      <c r="C4616" s="89" t="s">
        <v>901</v>
      </c>
    </row>
    <row r="4617" spans="1:3" ht="15">
      <c r="A4617" s="81" t="s">
        <v>252</v>
      </c>
      <c r="B4617" s="80" t="s">
        <v>2493</v>
      </c>
      <c r="C4617" s="89" t="s">
        <v>901</v>
      </c>
    </row>
    <row r="4618" spans="1:3" ht="15">
      <c r="A4618" s="81" t="s">
        <v>251</v>
      </c>
      <c r="B4618" s="80" t="s">
        <v>2691</v>
      </c>
      <c r="C4618" s="89" t="s">
        <v>900</v>
      </c>
    </row>
    <row r="4619" spans="1:3" ht="15">
      <c r="A4619" s="81" t="s">
        <v>251</v>
      </c>
      <c r="B4619" s="80" t="s">
        <v>2692</v>
      </c>
      <c r="C4619" s="89" t="s">
        <v>900</v>
      </c>
    </row>
    <row r="4620" spans="1:3" ht="15">
      <c r="A4620" s="81" t="s">
        <v>251</v>
      </c>
      <c r="B4620" s="80" t="s">
        <v>2494</v>
      </c>
      <c r="C4620" s="89" t="s">
        <v>900</v>
      </c>
    </row>
    <row r="4621" spans="1:3" ht="15">
      <c r="A4621" s="81" t="s">
        <v>251</v>
      </c>
      <c r="B4621" s="80" t="s">
        <v>2492</v>
      </c>
      <c r="C4621" s="89" t="s">
        <v>900</v>
      </c>
    </row>
    <row r="4622" spans="1:3" ht="15">
      <c r="A4622" s="81" t="s">
        <v>251</v>
      </c>
      <c r="B4622" s="80" t="s">
        <v>2495</v>
      </c>
      <c r="C4622" s="89" t="s">
        <v>900</v>
      </c>
    </row>
    <row r="4623" spans="1:3" ht="15">
      <c r="A4623" s="81" t="s">
        <v>251</v>
      </c>
      <c r="B4623" s="80" t="s">
        <v>2493</v>
      </c>
      <c r="C4623" s="89" t="s">
        <v>900</v>
      </c>
    </row>
    <row r="4624" spans="1:3" ht="15">
      <c r="A4624" s="81" t="s">
        <v>250</v>
      </c>
      <c r="B4624" s="80" t="s">
        <v>2691</v>
      </c>
      <c r="C4624" s="89" t="s">
        <v>899</v>
      </c>
    </row>
    <row r="4625" spans="1:3" ht="15">
      <c r="A4625" s="81" t="s">
        <v>250</v>
      </c>
      <c r="B4625" s="80" t="s">
        <v>2692</v>
      </c>
      <c r="C4625" s="89" t="s">
        <v>899</v>
      </c>
    </row>
    <row r="4626" spans="1:3" ht="15">
      <c r="A4626" s="81" t="s">
        <v>250</v>
      </c>
      <c r="B4626" s="80" t="s">
        <v>2494</v>
      </c>
      <c r="C4626" s="89" t="s">
        <v>899</v>
      </c>
    </row>
    <row r="4627" spans="1:3" ht="15">
      <c r="A4627" s="81" t="s">
        <v>250</v>
      </c>
      <c r="B4627" s="80" t="s">
        <v>2492</v>
      </c>
      <c r="C4627" s="89" t="s">
        <v>899</v>
      </c>
    </row>
    <row r="4628" spans="1:3" ht="15">
      <c r="A4628" s="81" t="s">
        <v>250</v>
      </c>
      <c r="B4628" s="80" t="s">
        <v>2495</v>
      </c>
      <c r="C4628" s="89" t="s">
        <v>899</v>
      </c>
    </row>
    <row r="4629" spans="1:3" ht="15">
      <c r="A4629" s="81" t="s">
        <v>250</v>
      </c>
      <c r="B4629" s="80" t="s">
        <v>2493</v>
      </c>
      <c r="C4629" s="89" t="s">
        <v>899</v>
      </c>
    </row>
    <row r="4630" spans="1:3" ht="15">
      <c r="A4630" s="81" t="s">
        <v>249</v>
      </c>
      <c r="B4630" s="80" t="s">
        <v>2691</v>
      </c>
      <c r="C4630" s="89" t="s">
        <v>898</v>
      </c>
    </row>
    <row r="4631" spans="1:3" ht="15">
      <c r="A4631" s="81" t="s">
        <v>249</v>
      </c>
      <c r="B4631" s="80" t="s">
        <v>2692</v>
      </c>
      <c r="C4631" s="89" t="s">
        <v>898</v>
      </c>
    </row>
    <row r="4632" spans="1:3" ht="15">
      <c r="A4632" s="81" t="s">
        <v>249</v>
      </c>
      <c r="B4632" s="80" t="s">
        <v>2494</v>
      </c>
      <c r="C4632" s="89" t="s">
        <v>898</v>
      </c>
    </row>
    <row r="4633" spans="1:3" ht="15">
      <c r="A4633" s="81" t="s">
        <v>249</v>
      </c>
      <c r="B4633" s="80" t="s">
        <v>2492</v>
      </c>
      <c r="C4633" s="89" t="s">
        <v>898</v>
      </c>
    </row>
    <row r="4634" spans="1:3" ht="15">
      <c r="A4634" s="81" t="s">
        <v>249</v>
      </c>
      <c r="B4634" s="80" t="s">
        <v>2495</v>
      </c>
      <c r="C4634" s="89" t="s">
        <v>898</v>
      </c>
    </row>
    <row r="4635" spans="1:3" ht="15">
      <c r="A4635" s="81" t="s">
        <v>249</v>
      </c>
      <c r="B4635" s="80" t="s">
        <v>2493</v>
      </c>
      <c r="C4635" s="89" t="s">
        <v>898</v>
      </c>
    </row>
    <row r="4636" spans="1:3" ht="15">
      <c r="A4636" s="81" t="s">
        <v>248</v>
      </c>
      <c r="B4636" s="80" t="s">
        <v>2691</v>
      </c>
      <c r="C4636" s="89" t="s">
        <v>897</v>
      </c>
    </row>
    <row r="4637" spans="1:3" ht="15">
      <c r="A4637" s="81" t="s">
        <v>248</v>
      </c>
      <c r="B4637" s="80" t="s">
        <v>2692</v>
      </c>
      <c r="C4637" s="89" t="s">
        <v>897</v>
      </c>
    </row>
    <row r="4638" spans="1:3" ht="15">
      <c r="A4638" s="81" t="s">
        <v>248</v>
      </c>
      <c r="B4638" s="80" t="s">
        <v>2494</v>
      </c>
      <c r="C4638" s="89" t="s">
        <v>897</v>
      </c>
    </row>
    <row r="4639" spans="1:3" ht="15">
      <c r="A4639" s="81" t="s">
        <v>248</v>
      </c>
      <c r="B4639" s="80" t="s">
        <v>2492</v>
      </c>
      <c r="C4639" s="89" t="s">
        <v>897</v>
      </c>
    </row>
    <row r="4640" spans="1:3" ht="15">
      <c r="A4640" s="81" t="s">
        <v>248</v>
      </c>
      <c r="B4640" s="80" t="s">
        <v>2495</v>
      </c>
      <c r="C4640" s="89" t="s">
        <v>897</v>
      </c>
    </row>
    <row r="4641" spans="1:3" ht="15">
      <c r="A4641" s="81" t="s">
        <v>248</v>
      </c>
      <c r="B4641" s="80" t="s">
        <v>2493</v>
      </c>
      <c r="C4641" s="89" t="s">
        <v>897</v>
      </c>
    </row>
    <row r="4642" spans="1:3" ht="15">
      <c r="A4642" s="81" t="s">
        <v>247</v>
      </c>
      <c r="B4642" s="80" t="s">
        <v>2691</v>
      </c>
      <c r="C4642" s="89" t="s">
        <v>896</v>
      </c>
    </row>
    <row r="4643" spans="1:3" ht="15">
      <c r="A4643" s="81" t="s">
        <v>247</v>
      </c>
      <c r="B4643" s="80" t="s">
        <v>2692</v>
      </c>
      <c r="C4643" s="89" t="s">
        <v>896</v>
      </c>
    </row>
    <row r="4644" spans="1:3" ht="15">
      <c r="A4644" s="81" t="s">
        <v>247</v>
      </c>
      <c r="B4644" s="80" t="s">
        <v>2494</v>
      </c>
      <c r="C4644" s="89" t="s">
        <v>896</v>
      </c>
    </row>
    <row r="4645" spans="1:3" ht="15">
      <c r="A4645" s="81" t="s">
        <v>247</v>
      </c>
      <c r="B4645" s="80" t="s">
        <v>2492</v>
      </c>
      <c r="C4645" s="89" t="s">
        <v>896</v>
      </c>
    </row>
    <row r="4646" spans="1:3" ht="15">
      <c r="A4646" s="81" t="s">
        <v>247</v>
      </c>
      <c r="B4646" s="80" t="s">
        <v>2495</v>
      </c>
      <c r="C4646" s="89" t="s">
        <v>896</v>
      </c>
    </row>
    <row r="4647" spans="1:3" ht="15">
      <c r="A4647" s="81" t="s">
        <v>247</v>
      </c>
      <c r="B4647" s="80" t="s">
        <v>2493</v>
      </c>
      <c r="C4647" s="89" t="s">
        <v>896</v>
      </c>
    </row>
    <row r="4648" spans="1:3" ht="15">
      <c r="A4648" s="81" t="s">
        <v>246</v>
      </c>
      <c r="B4648" s="80" t="s">
        <v>2691</v>
      </c>
      <c r="C4648" s="89" t="s">
        <v>895</v>
      </c>
    </row>
    <row r="4649" spans="1:3" ht="15">
      <c r="A4649" s="81" t="s">
        <v>246</v>
      </c>
      <c r="B4649" s="80" t="s">
        <v>2692</v>
      </c>
      <c r="C4649" s="89" t="s">
        <v>895</v>
      </c>
    </row>
    <row r="4650" spans="1:3" ht="15">
      <c r="A4650" s="81" t="s">
        <v>246</v>
      </c>
      <c r="B4650" s="80" t="s">
        <v>2494</v>
      </c>
      <c r="C4650" s="89" t="s">
        <v>895</v>
      </c>
    </row>
    <row r="4651" spans="1:3" ht="15">
      <c r="A4651" s="81" t="s">
        <v>246</v>
      </c>
      <c r="B4651" s="80" t="s">
        <v>2492</v>
      </c>
      <c r="C4651" s="89" t="s">
        <v>895</v>
      </c>
    </row>
    <row r="4652" spans="1:3" ht="15">
      <c r="A4652" s="81" t="s">
        <v>246</v>
      </c>
      <c r="B4652" s="80" t="s">
        <v>2495</v>
      </c>
      <c r="C4652" s="89" t="s">
        <v>895</v>
      </c>
    </row>
    <row r="4653" spans="1:3" ht="15">
      <c r="A4653" s="81" t="s">
        <v>246</v>
      </c>
      <c r="B4653" s="80" t="s">
        <v>2493</v>
      </c>
      <c r="C4653" s="89" t="s">
        <v>895</v>
      </c>
    </row>
    <row r="4654" spans="1:3" ht="15">
      <c r="A4654" s="81" t="s">
        <v>245</v>
      </c>
      <c r="B4654" s="80" t="s">
        <v>2691</v>
      </c>
      <c r="C4654" s="89" t="s">
        <v>894</v>
      </c>
    </row>
    <row r="4655" spans="1:3" ht="15">
      <c r="A4655" s="81" t="s">
        <v>245</v>
      </c>
      <c r="B4655" s="80" t="s">
        <v>2692</v>
      </c>
      <c r="C4655" s="89" t="s">
        <v>894</v>
      </c>
    </row>
    <row r="4656" spans="1:3" ht="15">
      <c r="A4656" s="81" t="s">
        <v>245</v>
      </c>
      <c r="B4656" s="80" t="s">
        <v>2494</v>
      </c>
      <c r="C4656" s="89" t="s">
        <v>894</v>
      </c>
    </row>
    <row r="4657" spans="1:3" ht="15">
      <c r="A4657" s="81" t="s">
        <v>245</v>
      </c>
      <c r="B4657" s="80" t="s">
        <v>2492</v>
      </c>
      <c r="C4657" s="89" t="s">
        <v>894</v>
      </c>
    </row>
    <row r="4658" spans="1:3" ht="15">
      <c r="A4658" s="81" t="s">
        <v>245</v>
      </c>
      <c r="B4658" s="80" t="s">
        <v>2495</v>
      </c>
      <c r="C4658" s="89" t="s">
        <v>894</v>
      </c>
    </row>
    <row r="4659" spans="1:3" ht="15">
      <c r="A4659" s="81" t="s">
        <v>245</v>
      </c>
      <c r="B4659" s="80" t="s">
        <v>2493</v>
      </c>
      <c r="C4659" s="89" t="s">
        <v>894</v>
      </c>
    </row>
    <row r="4660" spans="1:3" ht="15">
      <c r="A4660" s="81" t="s">
        <v>244</v>
      </c>
      <c r="B4660" s="80" t="s">
        <v>2691</v>
      </c>
      <c r="C4660" s="89" t="s">
        <v>893</v>
      </c>
    </row>
    <row r="4661" spans="1:3" ht="15">
      <c r="A4661" s="81" t="s">
        <v>244</v>
      </c>
      <c r="B4661" s="80" t="s">
        <v>2692</v>
      </c>
      <c r="C4661" s="89" t="s">
        <v>893</v>
      </c>
    </row>
    <row r="4662" spans="1:3" ht="15">
      <c r="A4662" s="81" t="s">
        <v>244</v>
      </c>
      <c r="B4662" s="80" t="s">
        <v>2494</v>
      </c>
      <c r="C4662" s="89" t="s">
        <v>893</v>
      </c>
    </row>
    <row r="4663" spans="1:3" ht="15">
      <c r="A4663" s="81" t="s">
        <v>244</v>
      </c>
      <c r="B4663" s="80" t="s">
        <v>2492</v>
      </c>
      <c r="C4663" s="89" t="s">
        <v>893</v>
      </c>
    </row>
    <row r="4664" spans="1:3" ht="15">
      <c r="A4664" s="81" t="s">
        <v>244</v>
      </c>
      <c r="B4664" s="80" t="s">
        <v>2495</v>
      </c>
      <c r="C4664" s="89" t="s">
        <v>893</v>
      </c>
    </row>
    <row r="4665" spans="1:3" ht="15">
      <c r="A4665" s="81" t="s">
        <v>244</v>
      </c>
      <c r="B4665" s="80" t="s">
        <v>2493</v>
      </c>
      <c r="C4665" s="89" t="s">
        <v>893</v>
      </c>
    </row>
    <row r="4666" spans="1:3" ht="15">
      <c r="A4666" s="81" t="s">
        <v>243</v>
      </c>
      <c r="B4666" s="80" t="s">
        <v>2691</v>
      </c>
      <c r="C4666" s="89" t="s">
        <v>892</v>
      </c>
    </row>
    <row r="4667" spans="1:3" ht="15">
      <c r="A4667" s="81" t="s">
        <v>243</v>
      </c>
      <c r="B4667" s="80" t="s">
        <v>2692</v>
      </c>
      <c r="C4667" s="89" t="s">
        <v>892</v>
      </c>
    </row>
    <row r="4668" spans="1:3" ht="15">
      <c r="A4668" s="81" t="s">
        <v>243</v>
      </c>
      <c r="B4668" s="80" t="s">
        <v>2494</v>
      </c>
      <c r="C4668" s="89" t="s">
        <v>892</v>
      </c>
    </row>
    <row r="4669" spans="1:3" ht="15">
      <c r="A4669" s="81" t="s">
        <v>243</v>
      </c>
      <c r="B4669" s="80" t="s">
        <v>2492</v>
      </c>
      <c r="C4669" s="89" t="s">
        <v>892</v>
      </c>
    </row>
    <row r="4670" spans="1:3" ht="15">
      <c r="A4670" s="81" t="s">
        <v>243</v>
      </c>
      <c r="B4670" s="80" t="s">
        <v>2495</v>
      </c>
      <c r="C4670" s="89" t="s">
        <v>892</v>
      </c>
    </row>
    <row r="4671" spans="1:3" ht="15">
      <c r="A4671" s="81" t="s">
        <v>243</v>
      </c>
      <c r="B4671" s="80" t="s">
        <v>2493</v>
      </c>
      <c r="C4671" s="89" t="s">
        <v>892</v>
      </c>
    </row>
    <row r="4672" spans="1:3" ht="15">
      <c r="A4672" s="81" t="s">
        <v>242</v>
      </c>
      <c r="B4672" s="80" t="s">
        <v>2691</v>
      </c>
      <c r="C4672" s="89" t="s">
        <v>891</v>
      </c>
    </row>
    <row r="4673" spans="1:3" ht="15">
      <c r="A4673" s="81" t="s">
        <v>242</v>
      </c>
      <c r="B4673" s="80" t="s">
        <v>2692</v>
      </c>
      <c r="C4673" s="89" t="s">
        <v>891</v>
      </c>
    </row>
    <row r="4674" spans="1:3" ht="15">
      <c r="A4674" s="81" t="s">
        <v>242</v>
      </c>
      <c r="B4674" s="80" t="s">
        <v>2494</v>
      </c>
      <c r="C4674" s="89" t="s">
        <v>891</v>
      </c>
    </row>
    <row r="4675" spans="1:3" ht="15">
      <c r="A4675" s="81" t="s">
        <v>242</v>
      </c>
      <c r="B4675" s="80" t="s">
        <v>2492</v>
      </c>
      <c r="C4675" s="89" t="s">
        <v>891</v>
      </c>
    </row>
    <row r="4676" spans="1:3" ht="15">
      <c r="A4676" s="81" t="s">
        <v>242</v>
      </c>
      <c r="B4676" s="80" t="s">
        <v>2495</v>
      </c>
      <c r="C4676" s="89" t="s">
        <v>891</v>
      </c>
    </row>
    <row r="4677" spans="1:3" ht="15">
      <c r="A4677" s="81" t="s">
        <v>242</v>
      </c>
      <c r="B4677" s="80" t="s">
        <v>2493</v>
      </c>
      <c r="C4677" s="89" t="s">
        <v>891</v>
      </c>
    </row>
    <row r="4678" spans="1:3" ht="15">
      <c r="A4678" s="81" t="s">
        <v>241</v>
      </c>
      <c r="B4678" s="80" t="s">
        <v>2691</v>
      </c>
      <c r="C4678" s="89" t="s">
        <v>890</v>
      </c>
    </row>
    <row r="4679" spans="1:3" ht="15">
      <c r="A4679" s="81" t="s">
        <v>241</v>
      </c>
      <c r="B4679" s="80" t="s">
        <v>2692</v>
      </c>
      <c r="C4679" s="89" t="s">
        <v>890</v>
      </c>
    </row>
    <row r="4680" spans="1:3" ht="15">
      <c r="A4680" s="81" t="s">
        <v>241</v>
      </c>
      <c r="B4680" s="80" t="s">
        <v>2494</v>
      </c>
      <c r="C4680" s="89" t="s">
        <v>890</v>
      </c>
    </row>
    <row r="4681" spans="1:3" ht="15">
      <c r="A4681" s="81" t="s">
        <v>241</v>
      </c>
      <c r="B4681" s="80" t="s">
        <v>2492</v>
      </c>
      <c r="C4681" s="89" t="s">
        <v>890</v>
      </c>
    </row>
    <row r="4682" spans="1:3" ht="15">
      <c r="A4682" s="81" t="s">
        <v>241</v>
      </c>
      <c r="B4682" s="80" t="s">
        <v>2495</v>
      </c>
      <c r="C4682" s="89" t="s">
        <v>890</v>
      </c>
    </row>
    <row r="4683" spans="1:3" ht="15">
      <c r="A4683" s="81" t="s">
        <v>241</v>
      </c>
      <c r="B4683" s="80" t="s">
        <v>2493</v>
      </c>
      <c r="C4683" s="89" t="s">
        <v>890</v>
      </c>
    </row>
    <row r="4684" spans="1:3" ht="15">
      <c r="A4684" s="81" t="s">
        <v>240</v>
      </c>
      <c r="B4684" s="80" t="s">
        <v>2691</v>
      </c>
      <c r="C4684" s="89" t="s">
        <v>889</v>
      </c>
    </row>
    <row r="4685" spans="1:3" ht="15">
      <c r="A4685" s="81" t="s">
        <v>240</v>
      </c>
      <c r="B4685" s="80" t="s">
        <v>2692</v>
      </c>
      <c r="C4685" s="89" t="s">
        <v>889</v>
      </c>
    </row>
    <row r="4686" spans="1:3" ht="15">
      <c r="A4686" s="81" t="s">
        <v>240</v>
      </c>
      <c r="B4686" s="80" t="s">
        <v>2494</v>
      </c>
      <c r="C4686" s="89" t="s">
        <v>889</v>
      </c>
    </row>
    <row r="4687" spans="1:3" ht="15">
      <c r="A4687" s="81" t="s">
        <v>240</v>
      </c>
      <c r="B4687" s="80" t="s">
        <v>2492</v>
      </c>
      <c r="C4687" s="89" t="s">
        <v>889</v>
      </c>
    </row>
    <row r="4688" spans="1:3" ht="15">
      <c r="A4688" s="81" t="s">
        <v>240</v>
      </c>
      <c r="B4688" s="80" t="s">
        <v>2495</v>
      </c>
      <c r="C4688" s="89" t="s">
        <v>889</v>
      </c>
    </row>
    <row r="4689" spans="1:3" ht="15">
      <c r="A4689" s="81" t="s">
        <v>240</v>
      </c>
      <c r="B4689" s="80" t="s">
        <v>2493</v>
      </c>
      <c r="C4689" s="89" t="s">
        <v>889</v>
      </c>
    </row>
    <row r="4690" spans="1:3" ht="15">
      <c r="A4690" s="81" t="s">
        <v>239</v>
      </c>
      <c r="B4690" s="80" t="s">
        <v>2691</v>
      </c>
      <c r="C4690" s="89" t="s">
        <v>888</v>
      </c>
    </row>
    <row r="4691" spans="1:3" ht="15">
      <c r="A4691" s="81" t="s">
        <v>239</v>
      </c>
      <c r="B4691" s="80" t="s">
        <v>2692</v>
      </c>
      <c r="C4691" s="89" t="s">
        <v>888</v>
      </c>
    </row>
    <row r="4692" spans="1:3" ht="15">
      <c r="A4692" s="81" t="s">
        <v>239</v>
      </c>
      <c r="B4692" s="80" t="s">
        <v>2494</v>
      </c>
      <c r="C4692" s="89" t="s">
        <v>888</v>
      </c>
    </row>
    <row r="4693" spans="1:3" ht="15">
      <c r="A4693" s="81" t="s">
        <v>239</v>
      </c>
      <c r="B4693" s="80" t="s">
        <v>2492</v>
      </c>
      <c r="C4693" s="89" t="s">
        <v>888</v>
      </c>
    </row>
    <row r="4694" spans="1:3" ht="15">
      <c r="A4694" s="81" t="s">
        <v>239</v>
      </c>
      <c r="B4694" s="80" t="s">
        <v>2495</v>
      </c>
      <c r="C4694" s="89" t="s">
        <v>888</v>
      </c>
    </row>
    <row r="4695" spans="1:3" ht="15">
      <c r="A4695" s="81" t="s">
        <v>239</v>
      </c>
      <c r="B4695" s="80" t="s">
        <v>2493</v>
      </c>
      <c r="C4695" s="89" t="s">
        <v>888</v>
      </c>
    </row>
    <row r="4696" spans="1:3" ht="15">
      <c r="A4696" s="81" t="s">
        <v>238</v>
      </c>
      <c r="B4696" s="80" t="s">
        <v>2691</v>
      </c>
      <c r="C4696" s="89" t="s">
        <v>887</v>
      </c>
    </row>
    <row r="4697" spans="1:3" ht="15">
      <c r="A4697" s="81" t="s">
        <v>238</v>
      </c>
      <c r="B4697" s="80" t="s">
        <v>2692</v>
      </c>
      <c r="C4697" s="89" t="s">
        <v>887</v>
      </c>
    </row>
    <row r="4698" spans="1:3" ht="15">
      <c r="A4698" s="81" t="s">
        <v>238</v>
      </c>
      <c r="B4698" s="80" t="s">
        <v>2494</v>
      </c>
      <c r="C4698" s="89" t="s">
        <v>887</v>
      </c>
    </row>
    <row r="4699" spans="1:3" ht="15">
      <c r="A4699" s="81" t="s">
        <v>238</v>
      </c>
      <c r="B4699" s="80" t="s">
        <v>2492</v>
      </c>
      <c r="C4699" s="89" t="s">
        <v>887</v>
      </c>
    </row>
    <row r="4700" spans="1:3" ht="15">
      <c r="A4700" s="81" t="s">
        <v>238</v>
      </c>
      <c r="B4700" s="80" t="s">
        <v>2495</v>
      </c>
      <c r="C4700" s="89" t="s">
        <v>887</v>
      </c>
    </row>
    <row r="4701" spans="1:3" ht="15">
      <c r="A4701" s="81" t="s">
        <v>238</v>
      </c>
      <c r="B4701" s="80" t="s">
        <v>2493</v>
      </c>
      <c r="C4701" s="89" t="s">
        <v>887</v>
      </c>
    </row>
    <row r="4702" spans="1:3" ht="15">
      <c r="A4702" s="81" t="s">
        <v>237</v>
      </c>
      <c r="B4702" s="80" t="s">
        <v>2691</v>
      </c>
      <c r="C4702" s="89" t="s">
        <v>886</v>
      </c>
    </row>
    <row r="4703" spans="1:3" ht="15">
      <c r="A4703" s="81" t="s">
        <v>237</v>
      </c>
      <c r="B4703" s="80" t="s">
        <v>2692</v>
      </c>
      <c r="C4703" s="89" t="s">
        <v>886</v>
      </c>
    </row>
    <row r="4704" spans="1:3" ht="15">
      <c r="A4704" s="81" t="s">
        <v>237</v>
      </c>
      <c r="B4704" s="80" t="s">
        <v>2494</v>
      </c>
      <c r="C4704" s="89" t="s">
        <v>886</v>
      </c>
    </row>
    <row r="4705" spans="1:3" ht="15">
      <c r="A4705" s="81" t="s">
        <v>237</v>
      </c>
      <c r="B4705" s="80" t="s">
        <v>2492</v>
      </c>
      <c r="C4705" s="89" t="s">
        <v>886</v>
      </c>
    </row>
    <row r="4706" spans="1:3" ht="15">
      <c r="A4706" s="81" t="s">
        <v>237</v>
      </c>
      <c r="B4706" s="80" t="s">
        <v>2495</v>
      </c>
      <c r="C4706" s="89" t="s">
        <v>886</v>
      </c>
    </row>
    <row r="4707" spans="1:3" ht="15">
      <c r="A4707" s="81" t="s">
        <v>237</v>
      </c>
      <c r="B4707" s="80" t="s">
        <v>2493</v>
      </c>
      <c r="C4707" s="89" t="s">
        <v>886</v>
      </c>
    </row>
    <row r="4708" spans="1:3" ht="15">
      <c r="A4708" s="81" t="s">
        <v>236</v>
      </c>
      <c r="B4708" s="80" t="s">
        <v>2691</v>
      </c>
      <c r="C4708" s="89" t="s">
        <v>885</v>
      </c>
    </row>
    <row r="4709" spans="1:3" ht="15">
      <c r="A4709" s="81" t="s">
        <v>236</v>
      </c>
      <c r="B4709" s="80" t="s">
        <v>2692</v>
      </c>
      <c r="C4709" s="89" t="s">
        <v>885</v>
      </c>
    </row>
    <row r="4710" spans="1:3" ht="15">
      <c r="A4710" s="81" t="s">
        <v>236</v>
      </c>
      <c r="B4710" s="80" t="s">
        <v>2494</v>
      </c>
      <c r="C4710" s="89" t="s">
        <v>885</v>
      </c>
    </row>
    <row r="4711" spans="1:3" ht="15">
      <c r="A4711" s="81" t="s">
        <v>236</v>
      </c>
      <c r="B4711" s="80" t="s">
        <v>2492</v>
      </c>
      <c r="C4711" s="89" t="s">
        <v>885</v>
      </c>
    </row>
    <row r="4712" spans="1:3" ht="15">
      <c r="A4712" s="81" t="s">
        <v>236</v>
      </c>
      <c r="B4712" s="80" t="s">
        <v>2495</v>
      </c>
      <c r="C4712" s="89" t="s">
        <v>885</v>
      </c>
    </row>
    <row r="4713" spans="1:3" ht="15">
      <c r="A4713" s="81" t="s">
        <v>236</v>
      </c>
      <c r="B4713" s="80" t="s">
        <v>2493</v>
      </c>
      <c r="C4713" s="89" t="s">
        <v>885</v>
      </c>
    </row>
    <row r="4714" spans="1:3" ht="15">
      <c r="A4714" s="81" t="s">
        <v>235</v>
      </c>
      <c r="B4714" s="80" t="s">
        <v>2691</v>
      </c>
      <c r="C4714" s="89" t="s">
        <v>884</v>
      </c>
    </row>
    <row r="4715" spans="1:3" ht="15">
      <c r="A4715" s="81" t="s">
        <v>235</v>
      </c>
      <c r="B4715" s="80" t="s">
        <v>2692</v>
      </c>
      <c r="C4715" s="89" t="s">
        <v>884</v>
      </c>
    </row>
    <row r="4716" spans="1:3" ht="15">
      <c r="A4716" s="81" t="s">
        <v>235</v>
      </c>
      <c r="B4716" s="80" t="s">
        <v>2494</v>
      </c>
      <c r="C4716" s="89" t="s">
        <v>884</v>
      </c>
    </row>
    <row r="4717" spans="1:3" ht="15">
      <c r="A4717" s="81" t="s">
        <v>235</v>
      </c>
      <c r="B4717" s="80" t="s">
        <v>2492</v>
      </c>
      <c r="C4717" s="89" t="s">
        <v>884</v>
      </c>
    </row>
    <row r="4718" spans="1:3" ht="15">
      <c r="A4718" s="81" t="s">
        <v>235</v>
      </c>
      <c r="B4718" s="80" t="s">
        <v>2495</v>
      </c>
      <c r="C4718" s="89" t="s">
        <v>884</v>
      </c>
    </row>
    <row r="4719" spans="1:3" ht="15">
      <c r="A4719" s="81" t="s">
        <v>235</v>
      </c>
      <c r="B4719" s="80" t="s">
        <v>2493</v>
      </c>
      <c r="C4719" s="89" t="s">
        <v>884</v>
      </c>
    </row>
    <row r="4720" spans="1:3" ht="15">
      <c r="A4720" s="81" t="s">
        <v>234</v>
      </c>
      <c r="B4720" s="80" t="s">
        <v>2691</v>
      </c>
      <c r="C4720" s="89" t="s">
        <v>883</v>
      </c>
    </row>
    <row r="4721" spans="1:3" ht="15">
      <c r="A4721" s="81" t="s">
        <v>234</v>
      </c>
      <c r="B4721" s="80" t="s">
        <v>2692</v>
      </c>
      <c r="C4721" s="89" t="s">
        <v>883</v>
      </c>
    </row>
    <row r="4722" spans="1:3" ht="15">
      <c r="A4722" s="81" t="s">
        <v>234</v>
      </c>
      <c r="B4722" s="80" t="s">
        <v>2494</v>
      </c>
      <c r="C4722" s="89" t="s">
        <v>883</v>
      </c>
    </row>
    <row r="4723" spans="1:3" ht="15">
      <c r="A4723" s="81" t="s">
        <v>234</v>
      </c>
      <c r="B4723" s="80" t="s">
        <v>2492</v>
      </c>
      <c r="C4723" s="89" t="s">
        <v>883</v>
      </c>
    </row>
    <row r="4724" spans="1:3" ht="15">
      <c r="A4724" s="81" t="s">
        <v>234</v>
      </c>
      <c r="B4724" s="80" t="s">
        <v>2495</v>
      </c>
      <c r="C4724" s="89" t="s">
        <v>883</v>
      </c>
    </row>
    <row r="4725" spans="1:3" ht="15">
      <c r="A4725" s="81" t="s">
        <v>234</v>
      </c>
      <c r="B4725" s="80" t="s">
        <v>2493</v>
      </c>
      <c r="C4725" s="89" t="s">
        <v>883</v>
      </c>
    </row>
    <row r="4726" spans="1:3" ht="15">
      <c r="A4726" s="81" t="s">
        <v>430</v>
      </c>
      <c r="B4726" s="80" t="s">
        <v>3175</v>
      </c>
      <c r="C4726" s="89" t="s">
        <v>1082</v>
      </c>
    </row>
    <row r="4727" spans="1:3" ht="15">
      <c r="A4727" s="81" t="s">
        <v>430</v>
      </c>
      <c r="B4727" s="80" t="s">
        <v>3241</v>
      </c>
      <c r="C4727" s="89" t="s">
        <v>1082</v>
      </c>
    </row>
    <row r="4728" spans="1:3" ht="15">
      <c r="A4728" s="81" t="s">
        <v>430</v>
      </c>
      <c r="B4728" s="80" t="s">
        <v>2783</v>
      </c>
      <c r="C4728" s="89" t="s">
        <v>1082</v>
      </c>
    </row>
    <row r="4729" spans="1:3" ht="15">
      <c r="A4729" s="81" t="s">
        <v>430</v>
      </c>
      <c r="B4729" s="80" t="s">
        <v>3242</v>
      </c>
      <c r="C4729" s="89" t="s">
        <v>1082</v>
      </c>
    </row>
    <row r="4730" spans="1:3" ht="15">
      <c r="A4730" s="81" t="s">
        <v>430</v>
      </c>
      <c r="B4730" s="80" t="s">
        <v>2611</v>
      </c>
      <c r="C4730" s="89" t="s">
        <v>1082</v>
      </c>
    </row>
    <row r="4731" spans="1:3" ht="15">
      <c r="A4731" s="81" t="s">
        <v>430</v>
      </c>
      <c r="B4731" s="80" t="s">
        <v>3243</v>
      </c>
      <c r="C4731" s="89" t="s">
        <v>1082</v>
      </c>
    </row>
    <row r="4732" spans="1:3" ht="15">
      <c r="A4732" s="81" t="s">
        <v>430</v>
      </c>
      <c r="B4732" s="80" t="s">
        <v>3244</v>
      </c>
      <c r="C4732" s="89" t="s">
        <v>1082</v>
      </c>
    </row>
    <row r="4733" spans="1:3" ht="15">
      <c r="A4733" s="81" t="s">
        <v>430</v>
      </c>
      <c r="B4733" s="80" t="s">
        <v>2691</v>
      </c>
      <c r="C4733" s="89" t="s">
        <v>1082</v>
      </c>
    </row>
    <row r="4734" spans="1:3" ht="15">
      <c r="A4734" s="81" t="s">
        <v>430</v>
      </c>
      <c r="B4734" s="80" t="s">
        <v>2881</v>
      </c>
      <c r="C4734" s="89" t="s">
        <v>1082</v>
      </c>
    </row>
    <row r="4735" spans="1:3" ht="15">
      <c r="A4735" s="81" t="s">
        <v>430</v>
      </c>
      <c r="B4735" s="80" t="s">
        <v>3245</v>
      </c>
      <c r="C4735" s="89" t="s">
        <v>1082</v>
      </c>
    </row>
    <row r="4736" spans="1:3" ht="15">
      <c r="A4736" s="81" t="s">
        <v>430</v>
      </c>
      <c r="B4736" s="80" t="s">
        <v>3246</v>
      </c>
      <c r="C4736" s="89" t="s">
        <v>1082</v>
      </c>
    </row>
    <row r="4737" spans="1:3" ht="15">
      <c r="A4737" s="81" t="s">
        <v>430</v>
      </c>
      <c r="B4737" s="80" t="s">
        <v>2692</v>
      </c>
      <c r="C4737" s="89" t="s">
        <v>1082</v>
      </c>
    </row>
    <row r="4738" spans="1:3" ht="15">
      <c r="A4738" s="81" t="s">
        <v>430</v>
      </c>
      <c r="B4738" s="80" t="s">
        <v>3247</v>
      </c>
      <c r="C4738" s="89" t="s">
        <v>1082</v>
      </c>
    </row>
    <row r="4739" spans="1:3" ht="15">
      <c r="A4739" s="81" t="s">
        <v>430</v>
      </c>
      <c r="B4739" s="80" t="s">
        <v>3248</v>
      </c>
      <c r="C4739" s="89" t="s">
        <v>1082</v>
      </c>
    </row>
    <row r="4740" spans="1:3" ht="15">
      <c r="A4740" s="81" t="s">
        <v>430</v>
      </c>
      <c r="B4740" s="80" t="s">
        <v>1181</v>
      </c>
      <c r="C4740" s="89" t="s">
        <v>1082</v>
      </c>
    </row>
    <row r="4741" spans="1:3" ht="15">
      <c r="A4741" s="81" t="s">
        <v>430</v>
      </c>
      <c r="B4741" s="80" t="s">
        <v>3249</v>
      </c>
      <c r="C4741" s="89" t="s">
        <v>1082</v>
      </c>
    </row>
    <row r="4742" spans="1:3" ht="15">
      <c r="A4742" s="81" t="s">
        <v>430</v>
      </c>
      <c r="B4742" s="80" t="s">
        <v>3250</v>
      </c>
      <c r="C4742" s="89" t="s">
        <v>1082</v>
      </c>
    </row>
    <row r="4743" spans="1:3" ht="15">
      <c r="A4743" s="81" t="s">
        <v>430</v>
      </c>
      <c r="B4743" s="80" t="s">
        <v>2691</v>
      </c>
      <c r="C4743" s="89" t="s">
        <v>1081</v>
      </c>
    </row>
    <row r="4744" spans="1:3" ht="15">
      <c r="A4744" s="81" t="s">
        <v>430</v>
      </c>
      <c r="B4744" s="80" t="s">
        <v>2692</v>
      </c>
      <c r="C4744" s="89" t="s">
        <v>1081</v>
      </c>
    </row>
    <row r="4745" spans="1:3" ht="15">
      <c r="A4745" s="81" t="s">
        <v>430</v>
      </c>
      <c r="B4745" s="80" t="s">
        <v>2494</v>
      </c>
      <c r="C4745" s="89" t="s">
        <v>1081</v>
      </c>
    </row>
    <row r="4746" spans="1:3" ht="15">
      <c r="A4746" s="81" t="s">
        <v>430</v>
      </c>
      <c r="B4746" s="80" t="s">
        <v>2492</v>
      </c>
      <c r="C4746" s="89" t="s">
        <v>1081</v>
      </c>
    </row>
    <row r="4747" spans="1:3" ht="15">
      <c r="A4747" s="81" t="s">
        <v>430</v>
      </c>
      <c r="B4747" s="80" t="s">
        <v>2495</v>
      </c>
      <c r="C4747" s="89" t="s">
        <v>1081</v>
      </c>
    </row>
    <row r="4748" spans="1:3" ht="15">
      <c r="A4748" s="81" t="s">
        <v>430</v>
      </c>
      <c r="B4748" s="80" t="s">
        <v>2493</v>
      </c>
      <c r="C4748" s="89" t="s">
        <v>1081</v>
      </c>
    </row>
    <row r="4749" spans="1:3" ht="15">
      <c r="A4749" s="81" t="s">
        <v>233</v>
      </c>
      <c r="B4749" s="80" t="s">
        <v>2691</v>
      </c>
      <c r="C4749" s="89" t="s">
        <v>882</v>
      </c>
    </row>
    <row r="4750" spans="1:3" ht="15">
      <c r="A4750" s="81" t="s">
        <v>233</v>
      </c>
      <c r="B4750" s="80" t="s">
        <v>2692</v>
      </c>
      <c r="C4750" s="89" t="s">
        <v>882</v>
      </c>
    </row>
    <row r="4751" spans="1:3" ht="15">
      <c r="A4751" s="81" t="s">
        <v>233</v>
      </c>
      <c r="B4751" s="80" t="s">
        <v>2494</v>
      </c>
      <c r="C4751" s="89" t="s">
        <v>882</v>
      </c>
    </row>
    <row r="4752" spans="1:3" ht="15">
      <c r="A4752" s="81" t="s">
        <v>233</v>
      </c>
      <c r="B4752" s="80" t="s">
        <v>2492</v>
      </c>
      <c r="C4752" s="89" t="s">
        <v>882</v>
      </c>
    </row>
    <row r="4753" spans="1:3" ht="15">
      <c r="A4753" s="81" t="s">
        <v>233</v>
      </c>
      <c r="B4753" s="80" t="s">
        <v>2495</v>
      </c>
      <c r="C4753" s="89" t="s">
        <v>882</v>
      </c>
    </row>
    <row r="4754" spans="1:3" ht="15">
      <c r="A4754" s="81" t="s">
        <v>233</v>
      </c>
      <c r="B4754" s="80" t="s">
        <v>2493</v>
      </c>
      <c r="C4754" s="89" t="s">
        <v>882</v>
      </c>
    </row>
    <row r="4755" spans="1:3" ht="15">
      <c r="A4755" s="81" t="s">
        <v>232</v>
      </c>
      <c r="B4755" s="80" t="s">
        <v>3251</v>
      </c>
      <c r="C4755" s="89" t="s">
        <v>881</v>
      </c>
    </row>
    <row r="4756" spans="1:3" ht="15">
      <c r="A4756" s="81" t="s">
        <v>232</v>
      </c>
      <c r="B4756" s="80" t="s">
        <v>3252</v>
      </c>
      <c r="C4756" s="89" t="s">
        <v>881</v>
      </c>
    </row>
    <row r="4757" spans="1:3" ht="15">
      <c r="A4757" s="81" t="s">
        <v>232</v>
      </c>
      <c r="B4757" s="80" t="s">
        <v>3253</v>
      </c>
      <c r="C4757" s="89" t="s">
        <v>881</v>
      </c>
    </row>
    <row r="4758" spans="1:3" ht="15">
      <c r="A4758" s="81" t="s">
        <v>231</v>
      </c>
      <c r="B4758" s="80" t="s">
        <v>3254</v>
      </c>
      <c r="C4758" s="89" t="s">
        <v>880</v>
      </c>
    </row>
    <row r="4759" spans="1:3" ht="15">
      <c r="A4759" s="81" t="s">
        <v>231</v>
      </c>
      <c r="B4759" s="80" t="s">
        <v>2648</v>
      </c>
      <c r="C4759" s="89" t="s">
        <v>880</v>
      </c>
    </row>
    <row r="4760" spans="1:3" ht="15">
      <c r="A4760" s="81" t="s">
        <v>231</v>
      </c>
      <c r="B4760" s="80" t="s">
        <v>2649</v>
      </c>
      <c r="C4760" s="89" t="s">
        <v>880</v>
      </c>
    </row>
    <row r="4761" spans="1:3" ht="15">
      <c r="A4761" s="81" t="s">
        <v>231</v>
      </c>
      <c r="B4761" s="80" t="s">
        <v>591</v>
      </c>
      <c r="C4761" s="89" t="s">
        <v>880</v>
      </c>
    </row>
    <row r="4762" spans="1:3" ht="15">
      <c r="A4762" s="81" t="s">
        <v>231</v>
      </c>
      <c r="B4762" s="80" t="s">
        <v>2650</v>
      </c>
      <c r="C4762" s="89" t="s">
        <v>880</v>
      </c>
    </row>
    <row r="4763" spans="1:3" ht="15">
      <c r="A4763" s="81" t="s">
        <v>231</v>
      </c>
      <c r="B4763" s="80" t="s">
        <v>2651</v>
      </c>
      <c r="C4763" s="89" t="s">
        <v>880</v>
      </c>
    </row>
    <row r="4764" spans="1:3" ht="15">
      <c r="A4764" s="81" t="s">
        <v>231</v>
      </c>
      <c r="B4764" s="80" t="s">
        <v>2652</v>
      </c>
      <c r="C4764" s="89" t="s">
        <v>880</v>
      </c>
    </row>
    <row r="4765" spans="1:3" ht="15">
      <c r="A4765" s="81" t="s">
        <v>231</v>
      </c>
      <c r="B4765" s="80" t="s">
        <v>3255</v>
      </c>
      <c r="C4765" s="89" t="s">
        <v>880</v>
      </c>
    </row>
    <row r="4766" spans="1:3" ht="15">
      <c r="A4766" s="81" t="s">
        <v>231</v>
      </c>
      <c r="B4766" s="80" t="s">
        <v>3256</v>
      </c>
      <c r="C4766" s="89" t="s">
        <v>880</v>
      </c>
    </row>
    <row r="4767" spans="1:3" ht="15">
      <c r="A4767" s="81" t="s">
        <v>231</v>
      </c>
      <c r="B4767" s="80" t="s">
        <v>3257</v>
      </c>
      <c r="C4767" s="89" t="s">
        <v>880</v>
      </c>
    </row>
    <row r="4768" spans="1:3" ht="15">
      <c r="A4768" s="81" t="s">
        <v>231</v>
      </c>
      <c r="B4768" s="80" t="s">
        <v>3258</v>
      </c>
      <c r="C4768" s="89" t="s">
        <v>880</v>
      </c>
    </row>
    <row r="4769" spans="1:3" ht="15">
      <c r="A4769" s="81" t="s">
        <v>231</v>
      </c>
      <c r="B4769" s="80" t="s">
        <v>3259</v>
      </c>
      <c r="C4769" s="89" t="s">
        <v>880</v>
      </c>
    </row>
    <row r="4770" spans="1:3" ht="15">
      <c r="A4770" s="81" t="s">
        <v>230</v>
      </c>
      <c r="B4770" s="80" t="s">
        <v>3254</v>
      </c>
      <c r="C4770" s="89" t="s">
        <v>879</v>
      </c>
    </row>
    <row r="4771" spans="1:3" ht="15">
      <c r="A4771" s="81" t="s">
        <v>230</v>
      </c>
      <c r="B4771" s="80" t="s">
        <v>2648</v>
      </c>
      <c r="C4771" s="89" t="s">
        <v>879</v>
      </c>
    </row>
    <row r="4772" spans="1:3" ht="15">
      <c r="A4772" s="81" t="s">
        <v>230</v>
      </c>
      <c r="B4772" s="80" t="s">
        <v>2649</v>
      </c>
      <c r="C4772" s="89" t="s">
        <v>879</v>
      </c>
    </row>
    <row r="4773" spans="1:3" ht="15">
      <c r="A4773" s="81" t="s">
        <v>230</v>
      </c>
      <c r="B4773" s="80" t="s">
        <v>591</v>
      </c>
      <c r="C4773" s="89" t="s">
        <v>879</v>
      </c>
    </row>
    <row r="4774" spans="1:3" ht="15">
      <c r="A4774" s="81" t="s">
        <v>230</v>
      </c>
      <c r="B4774" s="80" t="s">
        <v>2650</v>
      </c>
      <c r="C4774" s="89" t="s">
        <v>879</v>
      </c>
    </row>
    <row r="4775" spans="1:3" ht="15">
      <c r="A4775" s="81" t="s">
        <v>230</v>
      </c>
      <c r="B4775" s="80" t="s">
        <v>2651</v>
      </c>
      <c r="C4775" s="89" t="s">
        <v>879</v>
      </c>
    </row>
    <row r="4776" spans="1:3" ht="15">
      <c r="A4776" s="81" t="s">
        <v>230</v>
      </c>
      <c r="B4776" s="80" t="s">
        <v>2652</v>
      </c>
      <c r="C4776" s="89" t="s">
        <v>879</v>
      </c>
    </row>
    <row r="4777" spans="1:3" ht="15">
      <c r="A4777" s="81" t="s">
        <v>230</v>
      </c>
      <c r="B4777" s="80" t="s">
        <v>3255</v>
      </c>
      <c r="C4777" s="89" t="s">
        <v>879</v>
      </c>
    </row>
    <row r="4778" spans="1:3" ht="15">
      <c r="A4778" s="81" t="s">
        <v>230</v>
      </c>
      <c r="B4778" s="80" t="s">
        <v>3256</v>
      </c>
      <c r="C4778" s="89" t="s">
        <v>879</v>
      </c>
    </row>
    <row r="4779" spans="1:3" ht="15">
      <c r="A4779" s="81" t="s">
        <v>230</v>
      </c>
      <c r="B4779" s="80" t="s">
        <v>3257</v>
      </c>
      <c r="C4779" s="89" t="s">
        <v>879</v>
      </c>
    </row>
    <row r="4780" spans="1:3" ht="15">
      <c r="A4780" s="81" t="s">
        <v>230</v>
      </c>
      <c r="B4780" s="80" t="s">
        <v>3258</v>
      </c>
      <c r="C4780" s="89" t="s">
        <v>879</v>
      </c>
    </row>
    <row r="4781" spans="1:3" ht="15">
      <c r="A4781" s="81" t="s">
        <v>230</v>
      </c>
      <c r="B4781" s="80" t="s">
        <v>3259</v>
      </c>
      <c r="C4781" s="89" t="s">
        <v>879</v>
      </c>
    </row>
    <row r="4782" spans="1:3" ht="15">
      <c r="A4782" s="81" t="s">
        <v>229</v>
      </c>
      <c r="B4782" s="80" t="s">
        <v>3260</v>
      </c>
      <c r="C4782" s="89" t="s">
        <v>878</v>
      </c>
    </row>
    <row r="4783" spans="1:3" ht="15">
      <c r="A4783" s="81" t="s">
        <v>229</v>
      </c>
      <c r="B4783" s="80" t="s">
        <v>2553</v>
      </c>
      <c r="C4783" s="89" t="s">
        <v>878</v>
      </c>
    </row>
    <row r="4784" spans="1:3" ht="15">
      <c r="A4784" s="81" t="s">
        <v>229</v>
      </c>
      <c r="B4784" s="80" t="s">
        <v>3261</v>
      </c>
      <c r="C4784" s="89" t="s">
        <v>878</v>
      </c>
    </row>
    <row r="4785" spans="1:3" ht="15">
      <c r="A4785" s="81" t="s">
        <v>229</v>
      </c>
      <c r="B4785" s="80" t="s">
        <v>3262</v>
      </c>
      <c r="C4785" s="89" t="s">
        <v>878</v>
      </c>
    </row>
    <row r="4786" spans="1:3" ht="15">
      <c r="A4786" s="81" t="s">
        <v>229</v>
      </c>
      <c r="B4786" s="80" t="s">
        <v>3263</v>
      </c>
      <c r="C4786" s="89" t="s">
        <v>878</v>
      </c>
    </row>
    <row r="4787" spans="1:3" ht="15">
      <c r="A4787" s="81" t="s">
        <v>229</v>
      </c>
      <c r="B4787" s="80" t="s">
        <v>2557</v>
      </c>
      <c r="C4787" s="89" t="s">
        <v>878</v>
      </c>
    </row>
    <row r="4788" spans="1:3" ht="15">
      <c r="A4788" s="81" t="s">
        <v>229</v>
      </c>
      <c r="B4788" s="80" t="s">
        <v>3264</v>
      </c>
      <c r="C4788" s="89" t="s">
        <v>878</v>
      </c>
    </row>
    <row r="4789" spans="1:3" ht="15">
      <c r="A4789" s="81" t="s">
        <v>229</v>
      </c>
      <c r="B4789" s="80" t="s">
        <v>3252</v>
      </c>
      <c r="C4789" s="89" t="s">
        <v>878</v>
      </c>
    </row>
    <row r="4790" spans="1:3" ht="15">
      <c r="A4790" s="81" t="s">
        <v>229</v>
      </c>
      <c r="B4790" s="80" t="s">
        <v>1201</v>
      </c>
      <c r="C4790" s="89" t="s">
        <v>878</v>
      </c>
    </row>
    <row r="4791" spans="1:3" ht="15">
      <c r="A4791" s="81" t="s">
        <v>229</v>
      </c>
      <c r="B4791" s="80" t="s">
        <v>3265</v>
      </c>
      <c r="C4791" s="89" t="s">
        <v>878</v>
      </c>
    </row>
    <row r="4792" spans="1:3" ht="15">
      <c r="A4792" s="81" t="s">
        <v>229</v>
      </c>
      <c r="B4792" s="80" t="s">
        <v>3266</v>
      </c>
      <c r="C4792" s="89" t="s">
        <v>878</v>
      </c>
    </row>
    <row r="4793" spans="1:3" ht="15">
      <c r="A4793" s="81" t="s">
        <v>229</v>
      </c>
      <c r="B4793" s="80" t="s">
        <v>3267</v>
      </c>
      <c r="C4793" s="89" t="s">
        <v>878</v>
      </c>
    </row>
    <row r="4794" spans="1:3" ht="15">
      <c r="A4794" s="81" t="s">
        <v>229</v>
      </c>
      <c r="B4794" s="80" t="s">
        <v>3268</v>
      </c>
      <c r="C4794" s="89" t="s">
        <v>878</v>
      </c>
    </row>
    <row r="4795" spans="1:3" ht="15">
      <c r="A4795" s="81" t="s">
        <v>229</v>
      </c>
      <c r="B4795" s="80" t="s">
        <v>2545</v>
      </c>
      <c r="C4795" s="89" t="s">
        <v>878</v>
      </c>
    </row>
    <row r="4796" spans="1:3" ht="15">
      <c r="A4796" s="81" t="s">
        <v>229</v>
      </c>
      <c r="B4796" s="80" t="s">
        <v>1244</v>
      </c>
      <c r="C4796" s="89" t="s">
        <v>878</v>
      </c>
    </row>
    <row r="4797" spans="1:3" ht="15">
      <c r="A4797" s="81" t="s">
        <v>228</v>
      </c>
      <c r="B4797" s="80" t="s">
        <v>3260</v>
      </c>
      <c r="C4797" s="89" t="s">
        <v>877</v>
      </c>
    </row>
    <row r="4798" spans="1:3" ht="15">
      <c r="A4798" s="81" t="s">
        <v>228</v>
      </c>
      <c r="B4798" s="80" t="s">
        <v>2553</v>
      </c>
      <c r="C4798" s="89" t="s">
        <v>877</v>
      </c>
    </row>
    <row r="4799" spans="1:3" ht="15">
      <c r="A4799" s="81" t="s">
        <v>228</v>
      </c>
      <c r="B4799" s="80" t="s">
        <v>3261</v>
      </c>
      <c r="C4799" s="89" t="s">
        <v>877</v>
      </c>
    </row>
    <row r="4800" spans="1:3" ht="15">
      <c r="A4800" s="81" t="s">
        <v>228</v>
      </c>
      <c r="B4800" s="80" t="s">
        <v>3262</v>
      </c>
      <c r="C4800" s="89" t="s">
        <v>877</v>
      </c>
    </row>
    <row r="4801" spans="1:3" ht="15">
      <c r="A4801" s="81" t="s">
        <v>228</v>
      </c>
      <c r="B4801" s="80" t="s">
        <v>3263</v>
      </c>
      <c r="C4801" s="89" t="s">
        <v>877</v>
      </c>
    </row>
    <row r="4802" spans="1:3" ht="15">
      <c r="A4802" s="81" t="s">
        <v>228</v>
      </c>
      <c r="B4802" s="80" t="s">
        <v>2557</v>
      </c>
      <c r="C4802" s="89" t="s">
        <v>877</v>
      </c>
    </row>
    <row r="4803" spans="1:3" ht="15">
      <c r="A4803" s="81" t="s">
        <v>228</v>
      </c>
      <c r="B4803" s="80" t="s">
        <v>3264</v>
      </c>
      <c r="C4803" s="89" t="s">
        <v>877</v>
      </c>
    </row>
    <row r="4804" spans="1:3" ht="15">
      <c r="A4804" s="81" t="s">
        <v>228</v>
      </c>
      <c r="B4804" s="80" t="s">
        <v>3252</v>
      </c>
      <c r="C4804" s="89" t="s">
        <v>877</v>
      </c>
    </row>
    <row r="4805" spans="1:3" ht="15">
      <c r="A4805" s="81" t="s">
        <v>228</v>
      </c>
      <c r="B4805" s="80" t="s">
        <v>1201</v>
      </c>
      <c r="C4805" s="89" t="s">
        <v>877</v>
      </c>
    </row>
    <row r="4806" spans="1:3" ht="15">
      <c r="A4806" s="81" t="s">
        <v>228</v>
      </c>
      <c r="B4806" s="80" t="s">
        <v>3265</v>
      </c>
      <c r="C4806" s="89" t="s">
        <v>877</v>
      </c>
    </row>
    <row r="4807" spans="1:3" ht="15">
      <c r="A4807" s="81" t="s">
        <v>228</v>
      </c>
      <c r="B4807" s="80" t="s">
        <v>3266</v>
      </c>
      <c r="C4807" s="89" t="s">
        <v>877</v>
      </c>
    </row>
    <row r="4808" spans="1:3" ht="15">
      <c r="A4808" s="81" t="s">
        <v>228</v>
      </c>
      <c r="B4808" s="80" t="s">
        <v>3267</v>
      </c>
      <c r="C4808" s="89" t="s">
        <v>877</v>
      </c>
    </row>
    <row r="4809" spans="1:3" ht="15">
      <c r="A4809" s="81" t="s">
        <v>228</v>
      </c>
      <c r="B4809" s="80" t="s">
        <v>3268</v>
      </c>
      <c r="C4809" s="89" t="s">
        <v>877</v>
      </c>
    </row>
    <row r="4810" spans="1:3" ht="15">
      <c r="A4810" s="81" t="s">
        <v>228</v>
      </c>
      <c r="B4810" s="80" t="s">
        <v>2545</v>
      </c>
      <c r="C4810" s="89" t="s">
        <v>877</v>
      </c>
    </row>
    <row r="4811" spans="1:3" ht="15">
      <c r="A4811" s="81" t="s">
        <v>228</v>
      </c>
      <c r="B4811" s="80" t="s">
        <v>1244</v>
      </c>
      <c r="C4811" s="89" t="s">
        <v>877</v>
      </c>
    </row>
    <row r="4812" spans="1:3" ht="15">
      <c r="A4812" s="81" t="s">
        <v>228</v>
      </c>
      <c r="B4812" s="80" t="s">
        <v>3260</v>
      </c>
      <c r="C4812" s="89" t="s">
        <v>876</v>
      </c>
    </row>
    <row r="4813" spans="1:3" ht="15">
      <c r="A4813" s="81" t="s">
        <v>228</v>
      </c>
      <c r="B4813" s="80" t="s">
        <v>2553</v>
      </c>
      <c r="C4813" s="89" t="s">
        <v>876</v>
      </c>
    </row>
    <row r="4814" spans="1:3" ht="15">
      <c r="A4814" s="81" t="s">
        <v>228</v>
      </c>
      <c r="B4814" s="80" t="s">
        <v>3261</v>
      </c>
      <c r="C4814" s="89" t="s">
        <v>876</v>
      </c>
    </row>
    <row r="4815" spans="1:3" ht="15">
      <c r="A4815" s="81" t="s">
        <v>228</v>
      </c>
      <c r="B4815" s="80" t="s">
        <v>3262</v>
      </c>
      <c r="C4815" s="89" t="s">
        <v>876</v>
      </c>
    </row>
    <row r="4816" spans="1:3" ht="15">
      <c r="A4816" s="81" t="s">
        <v>228</v>
      </c>
      <c r="B4816" s="80" t="s">
        <v>3263</v>
      </c>
      <c r="C4816" s="89" t="s">
        <v>876</v>
      </c>
    </row>
    <row r="4817" spans="1:3" ht="15">
      <c r="A4817" s="81" t="s">
        <v>228</v>
      </c>
      <c r="B4817" s="80" t="s">
        <v>2557</v>
      </c>
      <c r="C4817" s="89" t="s">
        <v>876</v>
      </c>
    </row>
    <row r="4818" spans="1:3" ht="15">
      <c r="A4818" s="81" t="s">
        <v>228</v>
      </c>
      <c r="B4818" s="80" t="s">
        <v>3264</v>
      </c>
      <c r="C4818" s="89" t="s">
        <v>876</v>
      </c>
    </row>
    <row r="4819" spans="1:3" ht="15">
      <c r="A4819" s="81" t="s">
        <v>228</v>
      </c>
      <c r="B4819" s="80" t="s">
        <v>3252</v>
      </c>
      <c r="C4819" s="89" t="s">
        <v>876</v>
      </c>
    </row>
    <row r="4820" spans="1:3" ht="15">
      <c r="A4820" s="81" t="s">
        <v>228</v>
      </c>
      <c r="B4820" s="80" t="s">
        <v>1201</v>
      </c>
      <c r="C4820" s="89" t="s">
        <v>876</v>
      </c>
    </row>
    <row r="4821" spans="1:3" ht="15">
      <c r="A4821" s="81" t="s">
        <v>228</v>
      </c>
      <c r="B4821" s="80" t="s">
        <v>3265</v>
      </c>
      <c r="C4821" s="89" t="s">
        <v>876</v>
      </c>
    </row>
    <row r="4822" spans="1:3" ht="15">
      <c r="A4822" s="81" t="s">
        <v>228</v>
      </c>
      <c r="B4822" s="80" t="s">
        <v>3266</v>
      </c>
      <c r="C4822" s="89" t="s">
        <v>876</v>
      </c>
    </row>
    <row r="4823" spans="1:3" ht="15">
      <c r="A4823" s="81" t="s">
        <v>228</v>
      </c>
      <c r="B4823" s="80" t="s">
        <v>3267</v>
      </c>
      <c r="C4823" s="89" t="s">
        <v>876</v>
      </c>
    </row>
    <row r="4824" spans="1:3" ht="15">
      <c r="A4824" s="81" t="s">
        <v>228</v>
      </c>
      <c r="B4824" s="80" t="s">
        <v>3268</v>
      </c>
      <c r="C4824" s="89" t="s">
        <v>876</v>
      </c>
    </row>
    <row r="4825" spans="1:3" ht="15">
      <c r="A4825" s="81" t="s">
        <v>228</v>
      </c>
      <c r="B4825" s="80" t="s">
        <v>2545</v>
      </c>
      <c r="C4825" s="89" t="s">
        <v>876</v>
      </c>
    </row>
    <row r="4826" spans="1:3" ht="15">
      <c r="A4826" s="81" t="s">
        <v>228</v>
      </c>
      <c r="B4826" s="80" t="s">
        <v>1244</v>
      </c>
      <c r="C4826" s="89" t="s">
        <v>876</v>
      </c>
    </row>
    <row r="4827" spans="1:3" ht="15">
      <c r="A4827" s="81" t="s">
        <v>227</v>
      </c>
      <c r="B4827" s="80" t="s">
        <v>3269</v>
      </c>
      <c r="C4827" s="89" t="s">
        <v>875</v>
      </c>
    </row>
    <row r="4828" spans="1:3" ht="15">
      <c r="A4828" s="81" t="s">
        <v>227</v>
      </c>
      <c r="B4828" s="80" t="s">
        <v>2691</v>
      </c>
      <c r="C4828" s="89" t="s">
        <v>875</v>
      </c>
    </row>
    <row r="4829" spans="1:3" ht="15">
      <c r="A4829" s="81" t="s">
        <v>227</v>
      </c>
      <c r="B4829" s="80" t="s">
        <v>3270</v>
      </c>
      <c r="C4829" s="89" t="s">
        <v>875</v>
      </c>
    </row>
    <row r="4830" spans="1:3" ht="15">
      <c r="A4830" s="81" t="s">
        <v>227</v>
      </c>
      <c r="B4830" s="80" t="s">
        <v>3271</v>
      </c>
      <c r="C4830" s="89" t="s">
        <v>875</v>
      </c>
    </row>
    <row r="4831" spans="1:3" ht="15">
      <c r="A4831" s="81" t="s">
        <v>227</v>
      </c>
      <c r="B4831" s="80" t="s">
        <v>3272</v>
      </c>
      <c r="C4831" s="89" t="s">
        <v>875</v>
      </c>
    </row>
    <row r="4832" spans="1:3" ht="15">
      <c r="A4832" s="81" t="s">
        <v>227</v>
      </c>
      <c r="B4832" s="80" t="s">
        <v>3273</v>
      </c>
      <c r="C4832" s="89" t="s">
        <v>875</v>
      </c>
    </row>
    <row r="4833" spans="1:3" ht="15">
      <c r="A4833" s="81" t="s">
        <v>227</v>
      </c>
      <c r="B4833" s="80" t="s">
        <v>3274</v>
      </c>
      <c r="C4833" s="89" t="s">
        <v>875</v>
      </c>
    </row>
    <row r="4834" spans="1:3" ht="15">
      <c r="A4834" s="81" t="s">
        <v>226</v>
      </c>
      <c r="B4834" s="80" t="s">
        <v>3275</v>
      </c>
      <c r="C4834" s="89" t="s">
        <v>874</v>
      </c>
    </row>
    <row r="4835" spans="1:3" ht="15">
      <c r="A4835" s="81" t="s">
        <v>226</v>
      </c>
      <c r="B4835" s="80" t="s">
        <v>3276</v>
      </c>
      <c r="C4835" s="89" t="s">
        <v>874</v>
      </c>
    </row>
    <row r="4836" spans="1:3" ht="15">
      <c r="A4836" s="81" t="s">
        <v>226</v>
      </c>
      <c r="B4836" s="80">
        <v>1</v>
      </c>
      <c r="C4836" s="89" t="s">
        <v>874</v>
      </c>
    </row>
    <row r="4837" spans="1:3" ht="15">
      <c r="A4837" s="81" t="s">
        <v>226</v>
      </c>
      <c r="B4837" s="80" t="s">
        <v>3277</v>
      </c>
      <c r="C4837" s="89" t="s">
        <v>874</v>
      </c>
    </row>
    <row r="4838" spans="1:3" ht="15">
      <c r="A4838" s="81" t="s">
        <v>226</v>
      </c>
      <c r="B4838" s="80" t="s">
        <v>3278</v>
      </c>
      <c r="C4838" s="89" t="s">
        <v>874</v>
      </c>
    </row>
    <row r="4839" spans="1:3" ht="15">
      <c r="A4839" s="81" t="s">
        <v>226</v>
      </c>
      <c r="B4839" s="80" t="s">
        <v>3279</v>
      </c>
      <c r="C4839" s="89" t="s">
        <v>874</v>
      </c>
    </row>
    <row r="4840" spans="1:3" ht="15">
      <c r="A4840" s="81" t="s">
        <v>226</v>
      </c>
      <c r="B4840" s="80" t="s">
        <v>2658</v>
      </c>
      <c r="C4840" s="89" t="s">
        <v>874</v>
      </c>
    </row>
    <row r="4841" spans="1:3" ht="15">
      <c r="A4841" s="81" t="s">
        <v>226</v>
      </c>
      <c r="B4841" s="80" t="s">
        <v>2642</v>
      </c>
      <c r="C4841" s="89" t="s">
        <v>874</v>
      </c>
    </row>
    <row r="4842" spans="1:3" ht="15">
      <c r="A4842" s="81" t="s">
        <v>226</v>
      </c>
      <c r="B4842" s="80" t="s">
        <v>591</v>
      </c>
      <c r="C4842" s="89" t="s">
        <v>874</v>
      </c>
    </row>
    <row r="4843" spans="1:3" ht="15">
      <c r="A4843" s="81" t="s">
        <v>226</v>
      </c>
      <c r="B4843" s="80" t="s">
        <v>3280</v>
      </c>
      <c r="C4843" s="89" t="s">
        <v>874</v>
      </c>
    </row>
    <row r="4844" spans="1:3" ht="15">
      <c r="A4844" s="81" t="s">
        <v>226</v>
      </c>
      <c r="B4844" s="80" t="s">
        <v>3281</v>
      </c>
      <c r="C4844" s="89" t="s">
        <v>874</v>
      </c>
    </row>
    <row r="4845" spans="1:3" ht="15">
      <c r="A4845" s="81" t="s">
        <v>226</v>
      </c>
      <c r="B4845" s="80" t="s">
        <v>2646</v>
      </c>
      <c r="C4845" s="89" t="s">
        <v>874</v>
      </c>
    </row>
    <row r="4846" spans="1:3" ht="15">
      <c r="A4846" s="81" t="s">
        <v>225</v>
      </c>
      <c r="B4846" s="80" t="s">
        <v>487</v>
      </c>
      <c r="C4846" s="89" t="s">
        <v>873</v>
      </c>
    </row>
    <row r="4847" spans="1:3" ht="15">
      <c r="A4847" s="81" t="s">
        <v>225</v>
      </c>
      <c r="B4847" s="80" t="s">
        <v>486</v>
      </c>
      <c r="C4847" s="89" t="s">
        <v>873</v>
      </c>
    </row>
    <row r="4848" spans="1:3" ht="15">
      <c r="A4848" s="81" t="s">
        <v>225</v>
      </c>
      <c r="B4848" s="80" t="s">
        <v>3282</v>
      </c>
      <c r="C4848" s="89" t="s">
        <v>873</v>
      </c>
    </row>
    <row r="4849" spans="1:3" ht="15">
      <c r="A4849" s="81" t="s">
        <v>225</v>
      </c>
      <c r="B4849" s="80" t="s">
        <v>2659</v>
      </c>
      <c r="C4849" s="89" t="s">
        <v>873</v>
      </c>
    </row>
    <row r="4850" spans="1:3" ht="15">
      <c r="A4850" s="81" t="s">
        <v>225</v>
      </c>
      <c r="B4850" s="80" t="s">
        <v>3283</v>
      </c>
      <c r="C4850" s="89" t="s">
        <v>873</v>
      </c>
    </row>
    <row r="4851" spans="1:3" ht="15">
      <c r="A4851" s="81" t="s">
        <v>225</v>
      </c>
      <c r="B4851" s="80" t="s">
        <v>3284</v>
      </c>
      <c r="C4851" s="89" t="s">
        <v>873</v>
      </c>
    </row>
    <row r="4852" spans="1:3" ht="15">
      <c r="A4852" s="81" t="s">
        <v>225</v>
      </c>
      <c r="B4852" s="80" t="s">
        <v>591</v>
      </c>
      <c r="C4852" s="89" t="s">
        <v>873</v>
      </c>
    </row>
    <row r="4853" spans="1:3" ht="15">
      <c r="A4853" s="81" t="s">
        <v>225</v>
      </c>
      <c r="B4853" s="80" t="s">
        <v>3285</v>
      </c>
      <c r="C4853" s="89" t="s">
        <v>873</v>
      </c>
    </row>
    <row r="4854" spans="1:3" ht="15">
      <c r="A4854" s="81" t="s">
        <v>485</v>
      </c>
      <c r="B4854" s="80" t="s">
        <v>500</v>
      </c>
      <c r="C4854" s="89" t="s">
        <v>1142</v>
      </c>
    </row>
    <row r="4855" spans="1:3" ht="15">
      <c r="A4855" s="81" t="s">
        <v>485</v>
      </c>
      <c r="B4855" s="80" t="s">
        <v>3286</v>
      </c>
      <c r="C4855" s="89" t="s">
        <v>1142</v>
      </c>
    </row>
    <row r="4856" spans="1:3" ht="15">
      <c r="A4856" s="81" t="s">
        <v>485</v>
      </c>
      <c r="B4856" s="80" t="s">
        <v>3287</v>
      </c>
      <c r="C4856" s="89" t="s">
        <v>1142</v>
      </c>
    </row>
    <row r="4857" spans="1:3" ht="15">
      <c r="A4857" s="81" t="s">
        <v>485</v>
      </c>
      <c r="B4857" s="80" t="s">
        <v>591</v>
      </c>
      <c r="C4857" s="89" t="s">
        <v>1142</v>
      </c>
    </row>
    <row r="4858" spans="1:3" ht="15">
      <c r="A4858" s="81" t="s">
        <v>485</v>
      </c>
      <c r="B4858" s="80" t="s">
        <v>3288</v>
      </c>
      <c r="C4858" s="89" t="s">
        <v>1142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57FE9-7283-4DB9-A954-8D3AF779594F}">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2465</v>
      </c>
      <c r="B1" s="13" t="s">
        <v>3950</v>
      </c>
    </row>
    <row r="2" spans="1:2" ht="15">
      <c r="A2" s="80" t="s">
        <v>3289</v>
      </c>
      <c r="B2" s="80" t="s">
        <v>3951</v>
      </c>
    </row>
    <row r="3" spans="1:2" ht="15">
      <c r="A3" s="81" t="s">
        <v>3071</v>
      </c>
      <c r="B3" s="80" t="s">
        <v>3951</v>
      </c>
    </row>
    <row r="4" spans="1:2" ht="15">
      <c r="A4" s="81" t="s">
        <v>3290</v>
      </c>
      <c r="B4" s="80" t="s">
        <v>3951</v>
      </c>
    </row>
    <row r="5" spans="1:2" ht="15">
      <c r="A5" s="81" t="s">
        <v>3291</v>
      </c>
      <c r="B5" s="80" t="s">
        <v>3951</v>
      </c>
    </row>
    <row r="6" spans="1:2" ht="15">
      <c r="A6" s="81" t="s">
        <v>3292</v>
      </c>
      <c r="B6" s="80" t="s">
        <v>3951</v>
      </c>
    </row>
    <row r="7" spans="1:2" ht="15">
      <c r="A7" s="81" t="s">
        <v>3293</v>
      </c>
      <c r="B7" s="80" t="s">
        <v>3951</v>
      </c>
    </row>
    <row r="8" spans="1:2" ht="15">
      <c r="A8" s="81" t="s">
        <v>3294</v>
      </c>
      <c r="B8" s="80" t="s">
        <v>3951</v>
      </c>
    </row>
    <row r="9" spans="1:2" ht="15">
      <c r="A9" s="81" t="s">
        <v>3295</v>
      </c>
      <c r="B9" s="80" t="s">
        <v>3951</v>
      </c>
    </row>
    <row r="10" spans="1:2" ht="15">
      <c r="A10" s="81" t="s">
        <v>3296</v>
      </c>
      <c r="B10" s="80" t="s">
        <v>3951</v>
      </c>
    </row>
    <row r="11" spans="1:2" ht="15">
      <c r="A11" s="81" t="s">
        <v>3297</v>
      </c>
      <c r="B11" s="80" t="s">
        <v>3951</v>
      </c>
    </row>
    <row r="12" spans="1:2" ht="15">
      <c r="A12" s="81" t="s">
        <v>3298</v>
      </c>
      <c r="B12" s="80" t="s">
        <v>3951</v>
      </c>
    </row>
    <row r="13" spans="1:2" ht="15">
      <c r="A13" s="81" t="s">
        <v>3299</v>
      </c>
      <c r="B13" s="80" t="s">
        <v>3951</v>
      </c>
    </row>
    <row r="14" spans="1:2" ht="15">
      <c r="A14" s="81" t="s">
        <v>3300</v>
      </c>
      <c r="B14" s="80" t="s">
        <v>3951</v>
      </c>
    </row>
    <row r="15" spans="1:2" ht="15">
      <c r="A15" s="81" t="s">
        <v>3301</v>
      </c>
      <c r="B15" s="80" t="s">
        <v>3951</v>
      </c>
    </row>
    <row r="16" spans="1:2" ht="15">
      <c r="A16" s="81" t="s">
        <v>3302</v>
      </c>
      <c r="B16" s="80" t="s">
        <v>3951</v>
      </c>
    </row>
    <row r="17" spans="1:2" ht="15">
      <c r="A17" s="81" t="s">
        <v>3303</v>
      </c>
      <c r="B17" s="80" t="s">
        <v>3951</v>
      </c>
    </row>
    <row r="18" spans="1:2" ht="15">
      <c r="A18" s="81" t="s">
        <v>3304</v>
      </c>
      <c r="B18" s="80" t="s">
        <v>3951</v>
      </c>
    </row>
    <row r="19" spans="1:2" ht="15">
      <c r="A19" s="81" t="s">
        <v>3305</v>
      </c>
      <c r="B19" s="80" t="s">
        <v>3951</v>
      </c>
    </row>
    <row r="20" spans="1:2" ht="15">
      <c r="A20" s="81" t="s">
        <v>3306</v>
      </c>
      <c r="B20" s="80" t="s">
        <v>3951</v>
      </c>
    </row>
    <row r="21" spans="1:2" ht="15">
      <c r="A21" s="81" t="s">
        <v>3307</v>
      </c>
      <c r="B21" s="80" t="s">
        <v>3951</v>
      </c>
    </row>
    <row r="22" spans="1:2" ht="15">
      <c r="A22" s="81" t="s">
        <v>2850</v>
      </c>
      <c r="B22" s="80" t="s">
        <v>3951</v>
      </c>
    </row>
    <row r="23" spans="1:2" ht="15">
      <c r="A23" s="81" t="s">
        <v>3308</v>
      </c>
      <c r="B23" s="80" t="s">
        <v>3951</v>
      </c>
    </row>
    <row r="24" spans="1:2" ht="15">
      <c r="A24" s="81" t="s">
        <v>3309</v>
      </c>
      <c r="B24" s="80" t="s">
        <v>3951</v>
      </c>
    </row>
    <row r="25" spans="1:2" ht="15">
      <c r="A25" s="81" t="s">
        <v>3310</v>
      </c>
      <c r="B25" s="80" t="s">
        <v>3951</v>
      </c>
    </row>
    <row r="26" spans="1:2" ht="15">
      <c r="A26" s="81" t="s">
        <v>3311</v>
      </c>
      <c r="B26" s="80" t="s">
        <v>3951</v>
      </c>
    </row>
    <row r="27" spans="1:2" ht="15">
      <c r="A27" s="81" t="s">
        <v>3312</v>
      </c>
      <c r="B27" s="80" t="s">
        <v>3951</v>
      </c>
    </row>
    <row r="28" spans="1:2" ht="15">
      <c r="A28" s="81" t="s">
        <v>3313</v>
      </c>
      <c r="B28" s="80" t="s">
        <v>3951</v>
      </c>
    </row>
    <row r="29" spans="1:2" ht="15">
      <c r="A29" s="81" t="s">
        <v>2821</v>
      </c>
      <c r="B29" s="80" t="s">
        <v>3951</v>
      </c>
    </row>
    <row r="30" spans="1:2" ht="15">
      <c r="A30" s="81" t="s">
        <v>3314</v>
      </c>
      <c r="B30" s="80" t="s">
        <v>3951</v>
      </c>
    </row>
    <row r="31" spans="1:2" ht="15">
      <c r="A31" s="81" t="s">
        <v>3315</v>
      </c>
      <c r="B31" s="80" t="s">
        <v>3951</v>
      </c>
    </row>
    <row r="32" spans="1:2" ht="15">
      <c r="A32" s="81" t="s">
        <v>3316</v>
      </c>
      <c r="B32" s="80" t="s">
        <v>3951</v>
      </c>
    </row>
    <row r="33" spans="1:2" ht="15">
      <c r="A33" s="81" t="s">
        <v>3317</v>
      </c>
      <c r="B33" s="80" t="s">
        <v>3951</v>
      </c>
    </row>
    <row r="34" spans="1:2" ht="15">
      <c r="A34" s="81" t="s">
        <v>3318</v>
      </c>
      <c r="B34" s="80" t="s">
        <v>3951</v>
      </c>
    </row>
    <row r="35" spans="1:2" ht="15">
      <c r="A35" s="81" t="s">
        <v>3319</v>
      </c>
      <c r="B35" s="80" t="s">
        <v>3951</v>
      </c>
    </row>
    <row r="36" spans="1:2" ht="15">
      <c r="A36" s="81" t="s">
        <v>3320</v>
      </c>
      <c r="B36" s="80" t="s">
        <v>3951</v>
      </c>
    </row>
    <row r="37" spans="1:2" ht="15">
      <c r="A37" s="81" t="s">
        <v>3321</v>
      </c>
      <c r="B37" s="80" t="s">
        <v>3951</v>
      </c>
    </row>
    <row r="38" spans="1:2" ht="15">
      <c r="A38" s="81" t="s">
        <v>3322</v>
      </c>
      <c r="B38" s="80" t="s">
        <v>3951</v>
      </c>
    </row>
    <row r="39" spans="1:2" ht="15">
      <c r="A39" s="81" t="s">
        <v>3323</v>
      </c>
      <c r="B39" s="80" t="s">
        <v>3951</v>
      </c>
    </row>
    <row r="40" spans="1:2" ht="15">
      <c r="A40" s="81" t="s">
        <v>3324</v>
      </c>
      <c r="B40" s="80" t="s">
        <v>3951</v>
      </c>
    </row>
    <row r="41" spans="1:2" ht="15">
      <c r="A41" s="81" t="s">
        <v>3325</v>
      </c>
      <c r="B41" s="80" t="s">
        <v>3951</v>
      </c>
    </row>
    <row r="42" spans="1:2" ht="15">
      <c r="A42" s="81" t="s">
        <v>3326</v>
      </c>
      <c r="B42" s="80" t="s">
        <v>3951</v>
      </c>
    </row>
    <row r="43" spans="1:2" ht="15">
      <c r="A43" s="81" t="s">
        <v>3327</v>
      </c>
      <c r="B43" s="80" t="s">
        <v>3951</v>
      </c>
    </row>
    <row r="44" spans="1:2" ht="15">
      <c r="A44" s="81" t="s">
        <v>3328</v>
      </c>
      <c r="B44" s="80" t="s">
        <v>3951</v>
      </c>
    </row>
    <row r="45" spans="1:2" ht="15">
      <c r="A45" s="81" t="s">
        <v>3329</v>
      </c>
      <c r="B45" s="80" t="s">
        <v>3951</v>
      </c>
    </row>
    <row r="46" spans="1:2" ht="15">
      <c r="A46" s="81" t="s">
        <v>3330</v>
      </c>
      <c r="B46" s="80" t="s">
        <v>3951</v>
      </c>
    </row>
    <row r="47" spans="1:2" ht="15">
      <c r="A47" s="81" t="s">
        <v>3331</v>
      </c>
      <c r="B47" s="80" t="s">
        <v>3951</v>
      </c>
    </row>
    <row r="48" spans="1:2" ht="15">
      <c r="A48" s="81" t="s">
        <v>3332</v>
      </c>
      <c r="B48" s="80" t="s">
        <v>3951</v>
      </c>
    </row>
    <row r="49" spans="1:2" ht="15">
      <c r="A49" s="81" t="s">
        <v>3333</v>
      </c>
      <c r="B49" s="80" t="s">
        <v>3951</v>
      </c>
    </row>
    <row r="50" spans="1:2" ht="15">
      <c r="A50" s="81" t="s">
        <v>3334</v>
      </c>
      <c r="B50" s="80" t="s">
        <v>3951</v>
      </c>
    </row>
    <row r="51" spans="1:2" ht="15">
      <c r="A51" s="81" t="s">
        <v>2723</v>
      </c>
      <c r="B51" s="80" t="s">
        <v>3951</v>
      </c>
    </row>
    <row r="52" spans="1:2" ht="15">
      <c r="A52" s="81" t="s">
        <v>3335</v>
      </c>
      <c r="B52" s="80" t="s">
        <v>3951</v>
      </c>
    </row>
    <row r="53" spans="1:2" ht="15">
      <c r="A53" s="81" t="s">
        <v>3336</v>
      </c>
      <c r="B53" s="80" t="s">
        <v>3951</v>
      </c>
    </row>
    <row r="54" spans="1:2" ht="15">
      <c r="A54" s="81" t="s">
        <v>3337</v>
      </c>
      <c r="B54" s="80" t="s">
        <v>3951</v>
      </c>
    </row>
    <row r="55" spans="1:2" ht="15">
      <c r="A55" s="81" t="s">
        <v>3338</v>
      </c>
      <c r="B55" s="80" t="s">
        <v>3951</v>
      </c>
    </row>
    <row r="56" spans="1:2" ht="15">
      <c r="A56" s="81" t="s">
        <v>3339</v>
      </c>
      <c r="B56" s="80" t="s">
        <v>3951</v>
      </c>
    </row>
    <row r="57" spans="1:2" ht="15">
      <c r="A57" s="81" t="s">
        <v>3340</v>
      </c>
      <c r="B57" s="80" t="s">
        <v>3951</v>
      </c>
    </row>
    <row r="58" spans="1:2" ht="15">
      <c r="A58" s="81" t="s">
        <v>3341</v>
      </c>
      <c r="B58" s="80" t="s">
        <v>3951</v>
      </c>
    </row>
    <row r="59" spans="1:2" ht="15">
      <c r="A59" s="81" t="s">
        <v>3342</v>
      </c>
      <c r="B59" s="80" t="s">
        <v>3951</v>
      </c>
    </row>
    <row r="60" spans="1:2" ht="15">
      <c r="A60" s="81" t="s">
        <v>3343</v>
      </c>
      <c r="B60" s="80" t="s">
        <v>3951</v>
      </c>
    </row>
    <row r="61" spans="1:2" ht="15">
      <c r="A61" s="81" t="s">
        <v>3344</v>
      </c>
      <c r="B61" s="80" t="s">
        <v>3951</v>
      </c>
    </row>
    <row r="62" spans="1:2" ht="15">
      <c r="A62" s="81" t="s">
        <v>3345</v>
      </c>
      <c r="B62" s="80" t="s">
        <v>3951</v>
      </c>
    </row>
    <row r="63" spans="1:2" ht="15">
      <c r="A63" s="81" t="s">
        <v>3346</v>
      </c>
      <c r="B63" s="80" t="s">
        <v>3951</v>
      </c>
    </row>
    <row r="64" spans="1:2" ht="15">
      <c r="A64" s="81" t="s">
        <v>3347</v>
      </c>
      <c r="B64" s="80" t="s">
        <v>3951</v>
      </c>
    </row>
    <row r="65" spans="1:2" ht="15">
      <c r="A65" s="81" t="s">
        <v>3348</v>
      </c>
      <c r="B65" s="80" t="s">
        <v>3951</v>
      </c>
    </row>
    <row r="66" spans="1:2" ht="15">
      <c r="A66" s="81" t="s">
        <v>3349</v>
      </c>
      <c r="B66" s="80" t="s">
        <v>3951</v>
      </c>
    </row>
    <row r="67" spans="1:2" ht="15">
      <c r="A67" s="81" t="s">
        <v>3350</v>
      </c>
      <c r="B67" s="80" t="s">
        <v>3951</v>
      </c>
    </row>
    <row r="68" spans="1:2" ht="15">
      <c r="A68" s="81" t="s">
        <v>3162</v>
      </c>
      <c r="B68" s="80" t="s">
        <v>3951</v>
      </c>
    </row>
    <row r="69" spans="1:2" ht="15">
      <c r="A69" s="81" t="s">
        <v>3351</v>
      </c>
      <c r="B69" s="80" t="s">
        <v>3951</v>
      </c>
    </row>
    <row r="70" spans="1:2" ht="15">
      <c r="A70" s="81" t="s">
        <v>3352</v>
      </c>
      <c r="B70" s="80" t="s">
        <v>3951</v>
      </c>
    </row>
    <row r="71" spans="1:2" ht="15">
      <c r="A71" s="81" t="s">
        <v>3353</v>
      </c>
      <c r="B71" s="80" t="s">
        <v>3951</v>
      </c>
    </row>
    <row r="72" spans="1:2" ht="15">
      <c r="A72" s="81" t="s">
        <v>3354</v>
      </c>
      <c r="B72" s="80" t="s">
        <v>3951</v>
      </c>
    </row>
    <row r="73" spans="1:2" ht="15">
      <c r="A73" s="81" t="s">
        <v>3355</v>
      </c>
      <c r="B73" s="80" t="s">
        <v>3951</v>
      </c>
    </row>
    <row r="74" spans="1:2" ht="15">
      <c r="A74" s="81" t="s">
        <v>3356</v>
      </c>
      <c r="B74" s="80" t="s">
        <v>3951</v>
      </c>
    </row>
    <row r="75" spans="1:2" ht="15">
      <c r="A75" s="81" t="s">
        <v>3357</v>
      </c>
      <c r="B75" s="80" t="s">
        <v>3951</v>
      </c>
    </row>
    <row r="76" spans="1:2" ht="15">
      <c r="A76" s="81" t="s">
        <v>3358</v>
      </c>
      <c r="B76" s="80" t="s">
        <v>3951</v>
      </c>
    </row>
    <row r="77" spans="1:2" ht="15">
      <c r="A77" s="81" t="s">
        <v>3359</v>
      </c>
      <c r="B77" s="80" t="s">
        <v>3951</v>
      </c>
    </row>
    <row r="78" spans="1:2" ht="15">
      <c r="A78" s="81" t="s">
        <v>3360</v>
      </c>
      <c r="B78" s="80" t="s">
        <v>3951</v>
      </c>
    </row>
    <row r="79" spans="1:2" ht="15">
      <c r="A79" s="81" t="s">
        <v>3361</v>
      </c>
      <c r="B79" s="80" t="s">
        <v>3951</v>
      </c>
    </row>
    <row r="80" spans="1:2" ht="15">
      <c r="A80" s="81" t="s">
        <v>3362</v>
      </c>
      <c r="B80" s="80" t="s">
        <v>3951</v>
      </c>
    </row>
    <row r="81" spans="1:2" ht="15">
      <c r="A81" s="81" t="s">
        <v>3363</v>
      </c>
      <c r="B81" s="80" t="s">
        <v>3951</v>
      </c>
    </row>
    <row r="82" spans="1:2" ht="15">
      <c r="A82" s="81" t="s">
        <v>2781</v>
      </c>
      <c r="B82" s="80" t="s">
        <v>3951</v>
      </c>
    </row>
    <row r="83" spans="1:2" ht="15">
      <c r="A83" s="81" t="s">
        <v>3364</v>
      </c>
      <c r="B83" s="80" t="s">
        <v>3951</v>
      </c>
    </row>
    <row r="84" spans="1:2" ht="15">
      <c r="A84" s="81" t="s">
        <v>2795</v>
      </c>
      <c r="B84" s="80" t="s">
        <v>3951</v>
      </c>
    </row>
    <row r="85" spans="1:2" ht="15">
      <c r="A85" s="81" t="s">
        <v>3365</v>
      </c>
      <c r="B85" s="80" t="s">
        <v>3951</v>
      </c>
    </row>
    <row r="86" spans="1:2" ht="15">
      <c r="A86" s="81" t="s">
        <v>3366</v>
      </c>
      <c r="B86" s="80" t="s">
        <v>3951</v>
      </c>
    </row>
    <row r="87" spans="1:2" ht="15">
      <c r="A87" s="81" t="s">
        <v>3367</v>
      </c>
      <c r="B87" s="80" t="s">
        <v>3951</v>
      </c>
    </row>
    <row r="88" spans="1:2" ht="15">
      <c r="A88" s="81" t="s">
        <v>3368</v>
      </c>
      <c r="B88" s="80" t="s">
        <v>3951</v>
      </c>
    </row>
    <row r="89" spans="1:2" ht="15">
      <c r="A89" s="81" t="s">
        <v>3369</v>
      </c>
      <c r="B89" s="80" t="s">
        <v>3951</v>
      </c>
    </row>
    <row r="90" spans="1:2" ht="15">
      <c r="A90" s="81" t="s">
        <v>3370</v>
      </c>
      <c r="B90" s="80" t="s">
        <v>3951</v>
      </c>
    </row>
    <row r="91" spans="1:2" ht="15">
      <c r="A91" s="81" t="s">
        <v>3371</v>
      </c>
      <c r="B91" s="80" t="s">
        <v>3951</v>
      </c>
    </row>
    <row r="92" spans="1:2" ht="15">
      <c r="A92" s="81" t="s">
        <v>3372</v>
      </c>
      <c r="B92" s="80" t="s">
        <v>3951</v>
      </c>
    </row>
    <row r="93" spans="1:2" ht="15">
      <c r="A93" s="81" t="s">
        <v>3373</v>
      </c>
      <c r="B93" s="80" t="s">
        <v>3951</v>
      </c>
    </row>
    <row r="94" spans="1:2" ht="15">
      <c r="A94" s="81" t="s">
        <v>1178</v>
      </c>
      <c r="B94" s="80" t="s">
        <v>3951</v>
      </c>
    </row>
    <row r="95" spans="1:2" ht="15">
      <c r="A95" s="81" t="s">
        <v>3374</v>
      </c>
      <c r="B95" s="80" t="s">
        <v>3951</v>
      </c>
    </row>
    <row r="96" spans="1:2" ht="15">
      <c r="A96" s="81" t="s">
        <v>3375</v>
      </c>
      <c r="B96" s="80" t="s">
        <v>3951</v>
      </c>
    </row>
    <row r="97" spans="1:2" ht="15">
      <c r="A97" s="81" t="s">
        <v>3376</v>
      </c>
      <c r="B97" s="80" t="s">
        <v>3951</v>
      </c>
    </row>
    <row r="98" spans="1:2" ht="15">
      <c r="A98" s="81" t="s">
        <v>3377</v>
      </c>
      <c r="B98" s="80" t="s">
        <v>3951</v>
      </c>
    </row>
    <row r="99" spans="1:2" ht="15">
      <c r="A99" s="81" t="s">
        <v>3378</v>
      </c>
      <c r="B99" s="80" t="s">
        <v>3951</v>
      </c>
    </row>
    <row r="100" spans="1:2" ht="15">
      <c r="A100" s="81" t="s">
        <v>3379</v>
      </c>
      <c r="B100" s="80" t="s">
        <v>3951</v>
      </c>
    </row>
    <row r="101" spans="1:2" ht="15">
      <c r="A101" s="81" t="s">
        <v>3380</v>
      </c>
      <c r="B101" s="80" t="s">
        <v>3951</v>
      </c>
    </row>
    <row r="102" spans="1:2" ht="15">
      <c r="A102" s="81" t="s">
        <v>3381</v>
      </c>
      <c r="B102" s="80" t="s">
        <v>3951</v>
      </c>
    </row>
    <row r="103" spans="1:2" ht="15">
      <c r="A103" s="81" t="s">
        <v>3382</v>
      </c>
      <c r="B103" s="80" t="s">
        <v>3951</v>
      </c>
    </row>
    <row r="104" spans="1:2" ht="15">
      <c r="A104" s="81" t="s">
        <v>3383</v>
      </c>
      <c r="B104" s="80" t="s">
        <v>3951</v>
      </c>
    </row>
    <row r="105" spans="1:2" ht="15">
      <c r="A105" s="81" t="s">
        <v>3384</v>
      </c>
      <c r="B105" s="80" t="s">
        <v>3951</v>
      </c>
    </row>
    <row r="106" spans="1:2" ht="15">
      <c r="A106" s="81" t="s">
        <v>3385</v>
      </c>
      <c r="B106" s="80" t="s">
        <v>3951</v>
      </c>
    </row>
    <row r="107" spans="1:2" ht="15">
      <c r="A107" s="81" t="s">
        <v>3386</v>
      </c>
      <c r="B107" s="80" t="s">
        <v>3951</v>
      </c>
    </row>
    <row r="108" spans="1:2" ht="15">
      <c r="A108" s="81" t="s">
        <v>3387</v>
      </c>
      <c r="B108" s="80" t="s">
        <v>3951</v>
      </c>
    </row>
    <row r="109" spans="1:2" ht="15">
      <c r="A109" s="81" t="s">
        <v>3388</v>
      </c>
      <c r="B109" s="80" t="s">
        <v>3951</v>
      </c>
    </row>
    <row r="110" spans="1:2" ht="15">
      <c r="A110" s="81" t="s">
        <v>3389</v>
      </c>
      <c r="B110" s="80" t="s">
        <v>3951</v>
      </c>
    </row>
    <row r="111" spans="1:2" ht="15">
      <c r="A111" s="81" t="s">
        <v>3390</v>
      </c>
      <c r="B111" s="80" t="s">
        <v>3951</v>
      </c>
    </row>
    <row r="112" spans="1:2" ht="15">
      <c r="A112" s="81" t="s">
        <v>3391</v>
      </c>
      <c r="B112" s="80" t="s">
        <v>3951</v>
      </c>
    </row>
    <row r="113" spans="1:2" ht="15">
      <c r="A113" s="81" t="s">
        <v>3392</v>
      </c>
      <c r="B113" s="80" t="s">
        <v>3951</v>
      </c>
    </row>
    <row r="114" spans="1:2" ht="15">
      <c r="A114" s="81" t="s">
        <v>3393</v>
      </c>
      <c r="B114" s="80" t="s">
        <v>3951</v>
      </c>
    </row>
    <row r="115" spans="1:2" ht="15">
      <c r="A115" s="81" t="s">
        <v>3394</v>
      </c>
      <c r="B115" s="80" t="s">
        <v>3951</v>
      </c>
    </row>
    <row r="116" spans="1:2" ht="15">
      <c r="A116" s="81" t="s">
        <v>3395</v>
      </c>
      <c r="B116" s="80" t="s">
        <v>3951</v>
      </c>
    </row>
    <row r="117" spans="1:2" ht="15">
      <c r="A117" s="81" t="s">
        <v>3396</v>
      </c>
      <c r="B117" s="80" t="s">
        <v>3951</v>
      </c>
    </row>
    <row r="118" spans="1:2" ht="15">
      <c r="A118" s="81" t="s">
        <v>2872</v>
      </c>
      <c r="B118" s="80" t="s">
        <v>3951</v>
      </c>
    </row>
    <row r="119" spans="1:2" ht="15">
      <c r="A119" s="81" t="s">
        <v>3397</v>
      </c>
      <c r="B119" s="80" t="s">
        <v>3951</v>
      </c>
    </row>
    <row r="120" spans="1:2" ht="15">
      <c r="A120" s="81" t="s">
        <v>3398</v>
      </c>
      <c r="B120" s="80" t="s">
        <v>3951</v>
      </c>
    </row>
    <row r="121" spans="1:2" ht="15">
      <c r="A121" s="81" t="s">
        <v>3399</v>
      </c>
      <c r="B121" s="80" t="s">
        <v>3951</v>
      </c>
    </row>
    <row r="122" spans="1:2" ht="15">
      <c r="A122" s="81" t="s">
        <v>3400</v>
      </c>
      <c r="B122" s="80" t="s">
        <v>3951</v>
      </c>
    </row>
    <row r="123" spans="1:2" ht="15">
      <c r="A123" s="81" t="s">
        <v>3401</v>
      </c>
      <c r="B123" s="80" t="s">
        <v>3951</v>
      </c>
    </row>
    <row r="124" spans="1:2" ht="15">
      <c r="A124" s="81" t="s">
        <v>3402</v>
      </c>
      <c r="B124" s="80" t="s">
        <v>3951</v>
      </c>
    </row>
    <row r="125" spans="1:2" ht="15">
      <c r="A125" s="81" t="s">
        <v>1182</v>
      </c>
      <c r="B125" s="80" t="s">
        <v>3951</v>
      </c>
    </row>
    <row r="126" spans="1:2" ht="15">
      <c r="A126" s="81" t="s">
        <v>3403</v>
      </c>
      <c r="B126" s="80" t="s">
        <v>3951</v>
      </c>
    </row>
    <row r="127" spans="1:2" ht="15">
      <c r="A127" s="81" t="s">
        <v>3073</v>
      </c>
      <c r="B127" s="80" t="s">
        <v>3951</v>
      </c>
    </row>
    <row r="128" spans="1:2" ht="15">
      <c r="A128" s="81" t="s">
        <v>2703</v>
      </c>
      <c r="B128" s="80" t="s">
        <v>3951</v>
      </c>
    </row>
    <row r="129" spans="1:2" ht="15">
      <c r="A129" s="81" t="s">
        <v>2886</v>
      </c>
      <c r="B129" s="80" t="s">
        <v>3951</v>
      </c>
    </row>
    <row r="130" spans="1:2" ht="15">
      <c r="A130" s="81" t="s">
        <v>2977</v>
      </c>
      <c r="B130" s="80" t="s">
        <v>3951</v>
      </c>
    </row>
    <row r="131" spans="1:2" ht="15">
      <c r="A131" s="81" t="s">
        <v>3404</v>
      </c>
      <c r="B131" s="80" t="s">
        <v>3951</v>
      </c>
    </row>
    <row r="132" spans="1:2" ht="15">
      <c r="A132" s="81" t="s">
        <v>3405</v>
      </c>
      <c r="B132" s="80" t="s">
        <v>3951</v>
      </c>
    </row>
    <row r="133" spans="1:2" ht="15">
      <c r="A133" s="81" t="s">
        <v>3406</v>
      </c>
      <c r="B133" s="80" t="s">
        <v>3951</v>
      </c>
    </row>
    <row r="134" spans="1:2" ht="15">
      <c r="A134" s="81" t="s">
        <v>3407</v>
      </c>
      <c r="B134" s="80" t="s">
        <v>3951</v>
      </c>
    </row>
    <row r="135" spans="1:2" ht="15">
      <c r="A135" s="81" t="s">
        <v>3408</v>
      </c>
      <c r="B135" s="80" t="s">
        <v>3951</v>
      </c>
    </row>
    <row r="136" spans="1:2" ht="15">
      <c r="A136" s="81" t="s">
        <v>3409</v>
      </c>
      <c r="B136" s="80" t="s">
        <v>3951</v>
      </c>
    </row>
    <row r="137" spans="1:2" ht="15">
      <c r="A137" s="81" t="s">
        <v>3410</v>
      </c>
      <c r="B137" s="80" t="s">
        <v>3951</v>
      </c>
    </row>
    <row r="138" spans="1:2" ht="15">
      <c r="A138" s="81" t="s">
        <v>3411</v>
      </c>
      <c r="B138" s="80" t="s">
        <v>3951</v>
      </c>
    </row>
    <row r="139" spans="1:2" ht="15">
      <c r="A139" s="81" t="s">
        <v>3412</v>
      </c>
      <c r="B139" s="80" t="s">
        <v>3951</v>
      </c>
    </row>
    <row r="140" spans="1:2" ht="15">
      <c r="A140" s="81" t="s">
        <v>3413</v>
      </c>
      <c r="B140" s="80" t="s">
        <v>3951</v>
      </c>
    </row>
    <row r="141" spans="1:2" ht="15">
      <c r="A141" s="81" t="s">
        <v>3414</v>
      </c>
      <c r="B141" s="80" t="s">
        <v>3951</v>
      </c>
    </row>
    <row r="142" spans="1:2" ht="15">
      <c r="A142" s="81" t="s">
        <v>3415</v>
      </c>
      <c r="B142" s="80" t="s">
        <v>3951</v>
      </c>
    </row>
    <row r="143" spans="1:2" ht="15">
      <c r="A143" s="81" t="s">
        <v>3416</v>
      </c>
      <c r="B143" s="80" t="s">
        <v>3951</v>
      </c>
    </row>
    <row r="144" spans="1:2" ht="15">
      <c r="A144" s="81" t="s">
        <v>3417</v>
      </c>
      <c r="B144" s="80" t="s">
        <v>3951</v>
      </c>
    </row>
    <row r="145" spans="1:2" ht="15">
      <c r="A145" s="81" t="s">
        <v>3418</v>
      </c>
      <c r="B145" s="80" t="s">
        <v>3951</v>
      </c>
    </row>
    <row r="146" spans="1:2" ht="15">
      <c r="A146" s="81" t="s">
        <v>3419</v>
      </c>
      <c r="B146" s="80" t="s">
        <v>3951</v>
      </c>
    </row>
    <row r="147" spans="1:2" ht="15">
      <c r="A147" s="81" t="s">
        <v>3420</v>
      </c>
      <c r="B147" s="80" t="s">
        <v>3951</v>
      </c>
    </row>
    <row r="148" spans="1:2" ht="15">
      <c r="A148" s="81" t="s">
        <v>2966</v>
      </c>
      <c r="B148" s="80" t="s">
        <v>3951</v>
      </c>
    </row>
    <row r="149" spans="1:2" ht="15">
      <c r="A149" s="81" t="s">
        <v>3421</v>
      </c>
      <c r="B149" s="80" t="s">
        <v>3951</v>
      </c>
    </row>
    <row r="150" spans="1:2" ht="15">
      <c r="A150" s="81" t="s">
        <v>3422</v>
      </c>
      <c r="B150" s="80" t="s">
        <v>3951</v>
      </c>
    </row>
    <row r="151" spans="1:2" ht="15">
      <c r="A151" s="81" t="s">
        <v>3423</v>
      </c>
      <c r="B151" s="80" t="s">
        <v>3951</v>
      </c>
    </row>
    <row r="152" spans="1:2" ht="15">
      <c r="A152" s="81" t="s">
        <v>3424</v>
      </c>
      <c r="B152" s="80" t="s">
        <v>3951</v>
      </c>
    </row>
    <row r="153" spans="1:2" ht="15">
      <c r="A153" s="81" t="s">
        <v>3425</v>
      </c>
      <c r="B153" s="80" t="s">
        <v>3951</v>
      </c>
    </row>
    <row r="154" spans="1:2" ht="15">
      <c r="A154" s="81" t="s">
        <v>3426</v>
      </c>
      <c r="B154" s="80" t="s">
        <v>3951</v>
      </c>
    </row>
    <row r="155" spans="1:2" ht="15">
      <c r="A155" s="81" t="s">
        <v>3427</v>
      </c>
      <c r="B155" s="80" t="s">
        <v>3951</v>
      </c>
    </row>
    <row r="156" spans="1:2" ht="15">
      <c r="A156" s="81" t="s">
        <v>3428</v>
      </c>
      <c r="B156" s="80" t="s">
        <v>3951</v>
      </c>
    </row>
    <row r="157" spans="1:2" ht="15">
      <c r="A157" s="81" t="s">
        <v>3429</v>
      </c>
      <c r="B157" s="80" t="s">
        <v>3951</v>
      </c>
    </row>
    <row r="158" spans="1:2" ht="15">
      <c r="A158" s="81" t="s">
        <v>3430</v>
      </c>
      <c r="B158" s="80" t="s">
        <v>3951</v>
      </c>
    </row>
    <row r="159" spans="1:2" ht="15">
      <c r="A159" s="81" t="s">
        <v>3431</v>
      </c>
      <c r="B159" s="80" t="s">
        <v>3951</v>
      </c>
    </row>
    <row r="160" spans="1:2" ht="15">
      <c r="A160" s="81" t="s">
        <v>3432</v>
      </c>
      <c r="B160" s="80" t="s">
        <v>3951</v>
      </c>
    </row>
    <row r="161" spans="1:2" ht="15">
      <c r="A161" s="81" t="s">
        <v>3433</v>
      </c>
      <c r="B161" s="80" t="s">
        <v>3951</v>
      </c>
    </row>
    <row r="162" spans="1:2" ht="15">
      <c r="A162" s="81" t="s">
        <v>3434</v>
      </c>
      <c r="B162" s="80" t="s">
        <v>3951</v>
      </c>
    </row>
    <row r="163" spans="1:2" ht="15">
      <c r="A163" s="81" t="s">
        <v>3435</v>
      </c>
      <c r="B163" s="80" t="s">
        <v>3951</v>
      </c>
    </row>
    <row r="164" spans="1:2" ht="15">
      <c r="A164" s="81" t="s">
        <v>3436</v>
      </c>
      <c r="B164" s="80" t="s">
        <v>3951</v>
      </c>
    </row>
    <row r="165" spans="1:2" ht="15">
      <c r="A165" s="81" t="s">
        <v>3437</v>
      </c>
      <c r="B165" s="80" t="s">
        <v>3951</v>
      </c>
    </row>
    <row r="166" spans="1:2" ht="15">
      <c r="A166" s="81" t="s">
        <v>3438</v>
      </c>
      <c r="B166" s="80" t="s">
        <v>3951</v>
      </c>
    </row>
    <row r="167" spans="1:2" ht="15">
      <c r="A167" s="81" t="s">
        <v>3439</v>
      </c>
      <c r="B167" s="80" t="s">
        <v>3951</v>
      </c>
    </row>
    <row r="168" spans="1:2" ht="15">
      <c r="A168" s="81" t="s">
        <v>3440</v>
      </c>
      <c r="B168" s="80" t="s">
        <v>3951</v>
      </c>
    </row>
    <row r="169" spans="1:2" ht="15">
      <c r="A169" s="81" t="s">
        <v>3441</v>
      </c>
      <c r="B169" s="80" t="s">
        <v>3951</v>
      </c>
    </row>
    <row r="170" spans="1:2" ht="15">
      <c r="A170" s="81" t="s">
        <v>3442</v>
      </c>
      <c r="B170" s="80" t="s">
        <v>3951</v>
      </c>
    </row>
    <row r="171" spans="1:2" ht="15">
      <c r="A171" s="81" t="s">
        <v>3443</v>
      </c>
      <c r="B171" s="80" t="s">
        <v>3951</v>
      </c>
    </row>
    <row r="172" spans="1:2" ht="15">
      <c r="A172" s="81" t="s">
        <v>3244</v>
      </c>
      <c r="B172" s="80" t="s">
        <v>3951</v>
      </c>
    </row>
    <row r="173" spans="1:2" ht="15">
      <c r="A173" s="81" t="s">
        <v>2910</v>
      </c>
      <c r="B173" s="80" t="s">
        <v>3951</v>
      </c>
    </row>
    <row r="174" spans="1:2" ht="15">
      <c r="A174" s="81" t="s">
        <v>3444</v>
      </c>
      <c r="B174" s="80" t="s">
        <v>3951</v>
      </c>
    </row>
    <row r="175" spans="1:2" ht="15">
      <c r="A175" s="81" t="s">
        <v>3445</v>
      </c>
      <c r="B175" s="80" t="s">
        <v>3951</v>
      </c>
    </row>
    <row r="176" spans="1:2" ht="15">
      <c r="A176" s="81" t="s">
        <v>3446</v>
      </c>
      <c r="B176" s="80" t="s">
        <v>3951</v>
      </c>
    </row>
    <row r="177" spans="1:2" ht="15">
      <c r="A177" s="81" t="s">
        <v>3447</v>
      </c>
      <c r="B177" s="80" t="s">
        <v>3951</v>
      </c>
    </row>
    <row r="178" spans="1:2" ht="15">
      <c r="A178" s="81" t="s">
        <v>3448</v>
      </c>
      <c r="B178" s="80" t="s">
        <v>3951</v>
      </c>
    </row>
    <row r="179" spans="1:2" ht="15">
      <c r="A179" s="81" t="s">
        <v>3449</v>
      </c>
      <c r="B179" s="80" t="s">
        <v>3951</v>
      </c>
    </row>
    <row r="180" spans="1:2" ht="15">
      <c r="A180" s="81" t="s">
        <v>3450</v>
      </c>
      <c r="B180" s="80" t="s">
        <v>3951</v>
      </c>
    </row>
    <row r="181" spans="1:2" ht="15">
      <c r="A181" s="81" t="s">
        <v>3451</v>
      </c>
      <c r="B181" s="80" t="s">
        <v>3951</v>
      </c>
    </row>
    <row r="182" spans="1:2" ht="15">
      <c r="A182" s="81" t="s">
        <v>3452</v>
      </c>
      <c r="B182" s="80" t="s">
        <v>3951</v>
      </c>
    </row>
    <row r="183" spans="1:2" ht="15">
      <c r="A183" s="81" t="s">
        <v>3453</v>
      </c>
      <c r="B183" s="80" t="s">
        <v>3951</v>
      </c>
    </row>
    <row r="184" spans="1:2" ht="15">
      <c r="A184" s="81" t="s">
        <v>3454</v>
      </c>
      <c r="B184" s="80" t="s">
        <v>3951</v>
      </c>
    </row>
    <row r="185" spans="1:2" ht="15">
      <c r="A185" s="81" t="s">
        <v>2960</v>
      </c>
      <c r="B185" s="80" t="s">
        <v>3951</v>
      </c>
    </row>
    <row r="186" spans="1:2" ht="15">
      <c r="A186" s="81" t="s">
        <v>2902</v>
      </c>
      <c r="B186" s="80" t="s">
        <v>3951</v>
      </c>
    </row>
    <row r="187" spans="1:2" ht="15">
      <c r="A187" s="81" t="s">
        <v>3455</v>
      </c>
      <c r="B187" s="80" t="s">
        <v>3951</v>
      </c>
    </row>
    <row r="188" spans="1:2" ht="15">
      <c r="A188" s="81" t="s">
        <v>3456</v>
      </c>
      <c r="B188" s="80" t="s">
        <v>3951</v>
      </c>
    </row>
    <row r="189" spans="1:2" ht="15">
      <c r="A189" s="81" t="s">
        <v>3457</v>
      </c>
      <c r="B189" s="80" t="s">
        <v>3951</v>
      </c>
    </row>
    <row r="190" spans="1:2" ht="15">
      <c r="A190" s="81" t="s">
        <v>3458</v>
      </c>
      <c r="B190" s="80" t="s">
        <v>3951</v>
      </c>
    </row>
    <row r="191" spans="1:2" ht="15">
      <c r="A191" s="81" t="s">
        <v>1181</v>
      </c>
      <c r="B191" s="80" t="s">
        <v>3951</v>
      </c>
    </row>
    <row r="192" spans="1:2" ht="15">
      <c r="A192" s="81" t="s">
        <v>3459</v>
      </c>
      <c r="B192" s="80" t="s">
        <v>3951</v>
      </c>
    </row>
    <row r="193" spans="1:2" ht="15">
      <c r="A193" s="81" t="s">
        <v>3198</v>
      </c>
      <c r="B193" s="80" t="s">
        <v>3951</v>
      </c>
    </row>
    <row r="194" spans="1:2" ht="15">
      <c r="A194" s="81" t="s">
        <v>3460</v>
      </c>
      <c r="B194" s="80" t="s">
        <v>3951</v>
      </c>
    </row>
    <row r="195" spans="1:2" ht="15">
      <c r="A195" s="81" t="s">
        <v>3167</v>
      </c>
      <c r="B195" s="80" t="s">
        <v>3951</v>
      </c>
    </row>
    <row r="196" spans="1:2" ht="15">
      <c r="A196" s="81" t="s">
        <v>3461</v>
      </c>
      <c r="B196" s="80" t="s">
        <v>3951</v>
      </c>
    </row>
    <row r="197" spans="1:2" ht="15">
      <c r="A197" s="81" t="s">
        <v>3462</v>
      </c>
      <c r="B197" s="80" t="s">
        <v>3951</v>
      </c>
    </row>
    <row r="198" spans="1:2" ht="15">
      <c r="A198" s="81" t="s">
        <v>3463</v>
      </c>
      <c r="B198" s="80" t="s">
        <v>3951</v>
      </c>
    </row>
    <row r="199" spans="1:2" ht="15">
      <c r="A199" s="81" t="s">
        <v>3464</v>
      </c>
      <c r="B199" s="80" t="s">
        <v>3951</v>
      </c>
    </row>
    <row r="200" spans="1:2" ht="15">
      <c r="A200" s="81" t="s">
        <v>3465</v>
      </c>
      <c r="B200" s="80" t="s">
        <v>3951</v>
      </c>
    </row>
    <row r="201" spans="1:2" ht="15">
      <c r="A201" s="81" t="s">
        <v>3466</v>
      </c>
      <c r="B201" s="80" t="s">
        <v>3951</v>
      </c>
    </row>
    <row r="202" spans="1:2" ht="15">
      <c r="A202" s="81" t="s">
        <v>3467</v>
      </c>
      <c r="B202" s="80" t="s">
        <v>3951</v>
      </c>
    </row>
    <row r="203" spans="1:2" ht="15">
      <c r="A203" s="81" t="s">
        <v>3468</v>
      </c>
      <c r="B203" s="80" t="s">
        <v>3951</v>
      </c>
    </row>
    <row r="204" spans="1:2" ht="15">
      <c r="A204" s="81" t="s">
        <v>3469</v>
      </c>
      <c r="B204" s="80" t="s">
        <v>3951</v>
      </c>
    </row>
    <row r="205" spans="1:2" ht="15">
      <c r="A205" s="81" t="s">
        <v>3470</v>
      </c>
      <c r="B205" s="80" t="s">
        <v>3951</v>
      </c>
    </row>
    <row r="206" spans="1:2" ht="15">
      <c r="A206" s="81" t="s">
        <v>3032</v>
      </c>
      <c r="B206" s="80" t="s">
        <v>3951</v>
      </c>
    </row>
    <row r="207" spans="1:2" ht="15">
      <c r="A207" s="81" t="s">
        <v>3471</v>
      </c>
      <c r="B207" s="80" t="s">
        <v>3951</v>
      </c>
    </row>
    <row r="208" spans="1:2" ht="15">
      <c r="A208" s="81" t="s">
        <v>3472</v>
      </c>
      <c r="B208" s="80" t="s">
        <v>3951</v>
      </c>
    </row>
    <row r="209" spans="1:2" ht="15">
      <c r="A209" s="81" t="s">
        <v>3473</v>
      </c>
      <c r="B209" s="80" t="s">
        <v>3951</v>
      </c>
    </row>
    <row r="210" spans="1:2" ht="15">
      <c r="A210" s="81" t="s">
        <v>2871</v>
      </c>
      <c r="B210" s="80" t="s">
        <v>3951</v>
      </c>
    </row>
    <row r="211" spans="1:2" ht="15">
      <c r="A211" s="81" t="s">
        <v>3046</v>
      </c>
      <c r="B211" s="80" t="s">
        <v>3951</v>
      </c>
    </row>
    <row r="212" spans="1:2" ht="15">
      <c r="A212" s="81" t="s">
        <v>3474</v>
      </c>
      <c r="B212" s="80" t="s">
        <v>3951</v>
      </c>
    </row>
    <row r="213" spans="1:2" ht="15">
      <c r="A213" s="81" t="s">
        <v>2907</v>
      </c>
      <c r="B213" s="80" t="s">
        <v>3951</v>
      </c>
    </row>
    <row r="214" spans="1:2" ht="15">
      <c r="A214" s="81" t="s">
        <v>3475</v>
      </c>
      <c r="B214" s="80" t="s">
        <v>3951</v>
      </c>
    </row>
    <row r="215" spans="1:2" ht="15">
      <c r="A215" s="81" t="s">
        <v>3476</v>
      </c>
      <c r="B215" s="80" t="s">
        <v>3951</v>
      </c>
    </row>
    <row r="216" spans="1:2" ht="15">
      <c r="A216" s="81" t="s">
        <v>3477</v>
      </c>
      <c r="B216" s="80" t="s">
        <v>3951</v>
      </c>
    </row>
    <row r="217" spans="1:2" ht="15">
      <c r="A217" s="81" t="s">
        <v>3478</v>
      </c>
      <c r="B217" s="80" t="s">
        <v>3951</v>
      </c>
    </row>
    <row r="218" spans="1:2" ht="15">
      <c r="A218" s="81" t="s">
        <v>3479</v>
      </c>
      <c r="B218" s="80" t="s">
        <v>3951</v>
      </c>
    </row>
    <row r="219" spans="1:2" ht="15">
      <c r="A219" s="81" t="s">
        <v>3480</v>
      </c>
      <c r="B219" s="80" t="s">
        <v>3951</v>
      </c>
    </row>
    <row r="220" spans="1:2" ht="15">
      <c r="A220" s="81" t="s">
        <v>3481</v>
      </c>
      <c r="B220" s="80" t="s">
        <v>3951</v>
      </c>
    </row>
    <row r="221" spans="1:2" ht="15">
      <c r="A221" s="81" t="s">
        <v>2803</v>
      </c>
      <c r="B221" s="80" t="s">
        <v>3951</v>
      </c>
    </row>
    <row r="222" spans="1:2" ht="15">
      <c r="A222" s="81" t="s">
        <v>2813</v>
      </c>
      <c r="B222" s="80" t="s">
        <v>3951</v>
      </c>
    </row>
    <row r="223" spans="1:2" ht="15">
      <c r="A223" s="81" t="s">
        <v>3482</v>
      </c>
      <c r="B223" s="80" t="s">
        <v>3951</v>
      </c>
    </row>
    <row r="224" spans="1:2" ht="15">
      <c r="A224" s="81" t="s">
        <v>3483</v>
      </c>
      <c r="B224" s="80" t="s">
        <v>3951</v>
      </c>
    </row>
    <row r="225" spans="1:2" ht="15">
      <c r="A225" s="81" t="s">
        <v>3484</v>
      </c>
      <c r="B225" s="80" t="s">
        <v>3951</v>
      </c>
    </row>
    <row r="226" spans="1:2" ht="15">
      <c r="A226" s="81" t="s">
        <v>2887</v>
      </c>
      <c r="B226" s="80" t="s">
        <v>3951</v>
      </c>
    </row>
    <row r="227" spans="1:2" ht="15">
      <c r="A227" s="81" t="s">
        <v>2822</v>
      </c>
      <c r="B227" s="80" t="s">
        <v>3951</v>
      </c>
    </row>
    <row r="228" spans="1:2" ht="15">
      <c r="A228" s="81" t="s">
        <v>3485</v>
      </c>
      <c r="B228" s="80" t="s">
        <v>3951</v>
      </c>
    </row>
    <row r="229" spans="1:2" ht="15">
      <c r="A229" s="81" t="s">
        <v>3486</v>
      </c>
      <c r="B229" s="80" t="s">
        <v>3951</v>
      </c>
    </row>
    <row r="230" spans="1:2" ht="15">
      <c r="A230" s="81" t="s">
        <v>3487</v>
      </c>
      <c r="B230" s="80" t="s">
        <v>3951</v>
      </c>
    </row>
    <row r="231" spans="1:2" ht="15">
      <c r="A231" s="81" t="s">
        <v>3488</v>
      </c>
      <c r="B231" s="80" t="s">
        <v>3951</v>
      </c>
    </row>
    <row r="232" spans="1:2" ht="15">
      <c r="A232" s="81" t="s">
        <v>3489</v>
      </c>
      <c r="B232" s="80" t="s">
        <v>3951</v>
      </c>
    </row>
    <row r="233" spans="1:2" ht="15">
      <c r="A233" s="81" t="s">
        <v>3490</v>
      </c>
      <c r="B233" s="80" t="s">
        <v>3951</v>
      </c>
    </row>
    <row r="234" spans="1:2" ht="15">
      <c r="A234" s="81" t="s">
        <v>3491</v>
      </c>
      <c r="B234" s="80" t="s">
        <v>3951</v>
      </c>
    </row>
    <row r="235" spans="1:2" ht="15">
      <c r="A235" s="81" t="s">
        <v>3492</v>
      </c>
      <c r="B235" s="80" t="s">
        <v>3951</v>
      </c>
    </row>
    <row r="236" spans="1:2" ht="15">
      <c r="A236" s="81" t="s">
        <v>3493</v>
      </c>
      <c r="B236" s="80" t="s">
        <v>3951</v>
      </c>
    </row>
    <row r="237" spans="1:2" ht="15">
      <c r="A237" s="81" t="s">
        <v>3494</v>
      </c>
      <c r="B237" s="80" t="s">
        <v>3951</v>
      </c>
    </row>
    <row r="238" spans="1:2" ht="15">
      <c r="A238" s="81" t="s">
        <v>3495</v>
      </c>
      <c r="B238" s="80" t="s">
        <v>3951</v>
      </c>
    </row>
    <row r="239" spans="1:2" ht="15">
      <c r="A239" s="81" t="s">
        <v>3496</v>
      </c>
      <c r="B239" s="80" t="s">
        <v>3951</v>
      </c>
    </row>
    <row r="240" spans="1:2" ht="15">
      <c r="A240" s="81" t="s">
        <v>3497</v>
      </c>
      <c r="B240" s="80" t="s">
        <v>3951</v>
      </c>
    </row>
    <row r="241" spans="1:2" ht="15">
      <c r="A241" s="81" t="s">
        <v>3498</v>
      </c>
      <c r="B241" s="80" t="s">
        <v>3951</v>
      </c>
    </row>
    <row r="242" spans="1:2" ht="15">
      <c r="A242" s="81" t="s">
        <v>3499</v>
      </c>
      <c r="B242" s="80" t="s">
        <v>3951</v>
      </c>
    </row>
    <row r="243" spans="1:2" ht="15">
      <c r="A243" s="81" t="s">
        <v>3500</v>
      </c>
      <c r="B243" s="80" t="s">
        <v>3951</v>
      </c>
    </row>
    <row r="244" spans="1:2" ht="15">
      <c r="A244" s="81" t="s">
        <v>3501</v>
      </c>
      <c r="B244" s="80" t="s">
        <v>3951</v>
      </c>
    </row>
    <row r="245" spans="1:2" ht="15">
      <c r="A245" s="81" t="s">
        <v>3502</v>
      </c>
      <c r="B245" s="80" t="s">
        <v>3951</v>
      </c>
    </row>
    <row r="246" spans="1:2" ht="15">
      <c r="A246" s="81" t="s">
        <v>3503</v>
      </c>
      <c r="B246" s="80" t="s">
        <v>3951</v>
      </c>
    </row>
    <row r="247" spans="1:2" ht="15">
      <c r="A247" s="81" t="s">
        <v>3504</v>
      </c>
      <c r="B247" s="80" t="s">
        <v>3951</v>
      </c>
    </row>
    <row r="248" spans="1:2" ht="15">
      <c r="A248" s="81" t="s">
        <v>3505</v>
      </c>
      <c r="B248" s="80" t="s">
        <v>3951</v>
      </c>
    </row>
    <row r="249" spans="1:2" ht="15">
      <c r="A249" s="81" t="s">
        <v>3506</v>
      </c>
      <c r="B249" s="80" t="s">
        <v>3951</v>
      </c>
    </row>
    <row r="250" spans="1:2" ht="15">
      <c r="A250" s="81" t="s">
        <v>3507</v>
      </c>
      <c r="B250" s="80" t="s">
        <v>3951</v>
      </c>
    </row>
    <row r="251" spans="1:2" ht="15">
      <c r="A251" s="81" t="s">
        <v>3508</v>
      </c>
      <c r="B251" s="80" t="s">
        <v>3951</v>
      </c>
    </row>
    <row r="252" spans="1:2" ht="15">
      <c r="A252" s="81" t="s">
        <v>3509</v>
      </c>
      <c r="B252" s="80" t="s">
        <v>3951</v>
      </c>
    </row>
    <row r="253" spans="1:2" ht="15">
      <c r="A253" s="81" t="s">
        <v>3510</v>
      </c>
      <c r="B253" s="80" t="s">
        <v>3951</v>
      </c>
    </row>
    <row r="254" spans="1:2" ht="15">
      <c r="A254" s="81" t="s">
        <v>3511</v>
      </c>
      <c r="B254" s="80" t="s">
        <v>3951</v>
      </c>
    </row>
    <row r="255" spans="1:2" ht="15">
      <c r="A255" s="81" t="s">
        <v>3512</v>
      </c>
      <c r="B255" s="80" t="s">
        <v>3951</v>
      </c>
    </row>
    <row r="256" spans="1:2" ht="15">
      <c r="A256" s="81" t="s">
        <v>3513</v>
      </c>
      <c r="B256" s="80" t="s">
        <v>3951</v>
      </c>
    </row>
    <row r="257" spans="1:2" ht="15">
      <c r="A257" s="81" t="s">
        <v>3514</v>
      </c>
      <c r="B257" s="80" t="s">
        <v>3951</v>
      </c>
    </row>
    <row r="258" spans="1:2" ht="15">
      <c r="A258" s="81" t="s">
        <v>3515</v>
      </c>
      <c r="B258" s="80" t="s">
        <v>3951</v>
      </c>
    </row>
    <row r="259" spans="1:2" ht="15">
      <c r="A259" s="81" t="s">
        <v>2811</v>
      </c>
      <c r="B259" s="80" t="s">
        <v>3951</v>
      </c>
    </row>
    <row r="260" spans="1:2" ht="15">
      <c r="A260" s="81" t="s">
        <v>3516</v>
      </c>
      <c r="B260" s="80" t="s">
        <v>3951</v>
      </c>
    </row>
    <row r="261" spans="1:2" ht="15">
      <c r="A261" s="81" t="s">
        <v>3517</v>
      </c>
      <c r="B261" s="80" t="s">
        <v>3951</v>
      </c>
    </row>
    <row r="262" spans="1:2" ht="15">
      <c r="A262" s="81" t="s">
        <v>3518</v>
      </c>
      <c r="B262" s="80" t="s">
        <v>3951</v>
      </c>
    </row>
    <row r="263" spans="1:2" ht="15">
      <c r="A263" s="81" t="s">
        <v>3519</v>
      </c>
      <c r="B263" s="80" t="s">
        <v>3951</v>
      </c>
    </row>
    <row r="264" spans="1:2" ht="15">
      <c r="A264" s="81" t="s">
        <v>3520</v>
      </c>
      <c r="B264" s="80" t="s">
        <v>3951</v>
      </c>
    </row>
    <row r="265" spans="1:2" ht="15">
      <c r="A265" s="81" t="s">
        <v>3521</v>
      </c>
      <c r="B265" s="80" t="s">
        <v>3951</v>
      </c>
    </row>
    <row r="266" spans="1:2" ht="15">
      <c r="A266" s="81" t="s">
        <v>3522</v>
      </c>
      <c r="B266" s="80" t="s">
        <v>3951</v>
      </c>
    </row>
    <row r="267" spans="1:2" ht="15">
      <c r="A267" s="81" t="s">
        <v>3523</v>
      </c>
      <c r="B267" s="80" t="s">
        <v>3951</v>
      </c>
    </row>
    <row r="268" spans="1:2" ht="15">
      <c r="A268" s="81" t="s">
        <v>3524</v>
      </c>
      <c r="B268" s="80" t="s">
        <v>3951</v>
      </c>
    </row>
    <row r="269" spans="1:2" ht="15">
      <c r="A269" s="81" t="s">
        <v>3525</v>
      </c>
      <c r="B269" s="80" t="s">
        <v>3951</v>
      </c>
    </row>
    <row r="270" spans="1:2" ht="15">
      <c r="A270" s="81" t="s">
        <v>2861</v>
      </c>
      <c r="B270" s="80" t="s">
        <v>3951</v>
      </c>
    </row>
    <row r="271" spans="1:2" ht="15">
      <c r="A271" s="81" t="s">
        <v>3526</v>
      </c>
      <c r="B271" s="80" t="s">
        <v>3951</v>
      </c>
    </row>
    <row r="272" spans="1:2" ht="15">
      <c r="A272" s="81" t="s">
        <v>3527</v>
      </c>
      <c r="B272" s="80" t="s">
        <v>3951</v>
      </c>
    </row>
    <row r="273" spans="1:2" ht="15">
      <c r="A273" s="81" t="s">
        <v>3528</v>
      </c>
      <c r="B273" s="80" t="s">
        <v>3951</v>
      </c>
    </row>
    <row r="274" spans="1:2" ht="15">
      <c r="A274" s="81" t="s">
        <v>3529</v>
      </c>
      <c r="B274" s="80" t="s">
        <v>3951</v>
      </c>
    </row>
    <row r="275" spans="1:2" ht="15">
      <c r="A275" s="81" t="s">
        <v>3530</v>
      </c>
      <c r="B275" s="80" t="s">
        <v>3951</v>
      </c>
    </row>
    <row r="276" spans="1:2" ht="15">
      <c r="A276" s="81" t="s">
        <v>3531</v>
      </c>
      <c r="B276" s="80" t="s">
        <v>3951</v>
      </c>
    </row>
    <row r="277" spans="1:2" ht="15">
      <c r="A277" s="81" t="s">
        <v>3532</v>
      </c>
      <c r="B277" s="80" t="s">
        <v>3951</v>
      </c>
    </row>
    <row r="278" spans="1:2" ht="15">
      <c r="A278" s="81" t="s">
        <v>3533</v>
      </c>
      <c r="B278" s="80" t="s">
        <v>3951</v>
      </c>
    </row>
    <row r="279" spans="1:2" ht="15">
      <c r="A279" s="81" t="s">
        <v>3534</v>
      </c>
      <c r="B279" s="80" t="s">
        <v>3951</v>
      </c>
    </row>
    <row r="280" spans="1:2" ht="15">
      <c r="A280" s="81" t="s">
        <v>3535</v>
      </c>
      <c r="B280" s="80" t="s">
        <v>3951</v>
      </c>
    </row>
    <row r="281" spans="1:2" ht="15">
      <c r="A281" s="81" t="s">
        <v>3536</v>
      </c>
      <c r="B281" s="80" t="s">
        <v>3951</v>
      </c>
    </row>
    <row r="282" spans="1:2" ht="15">
      <c r="A282" s="81" t="s">
        <v>3537</v>
      </c>
      <c r="B282" s="80" t="s">
        <v>3951</v>
      </c>
    </row>
    <row r="283" spans="1:2" ht="15">
      <c r="A283" s="81" t="s">
        <v>3538</v>
      </c>
      <c r="B283" s="80" t="s">
        <v>3951</v>
      </c>
    </row>
    <row r="284" spans="1:2" ht="15">
      <c r="A284" s="81" t="s">
        <v>3539</v>
      </c>
      <c r="B284" s="80" t="s">
        <v>3951</v>
      </c>
    </row>
    <row r="285" spans="1:2" ht="15">
      <c r="A285" s="81" t="s">
        <v>3540</v>
      </c>
      <c r="B285" s="80" t="s">
        <v>3951</v>
      </c>
    </row>
    <row r="286" spans="1:2" ht="15">
      <c r="A286" s="81" t="s">
        <v>3541</v>
      </c>
      <c r="B286" s="80" t="s">
        <v>3951</v>
      </c>
    </row>
    <row r="287" spans="1:2" ht="15">
      <c r="A287" s="81" t="s">
        <v>3542</v>
      </c>
      <c r="B287" s="80" t="s">
        <v>3951</v>
      </c>
    </row>
    <row r="288" spans="1:2" ht="15">
      <c r="A288" s="81" t="s">
        <v>3543</v>
      </c>
      <c r="B288" s="80" t="s">
        <v>3951</v>
      </c>
    </row>
    <row r="289" spans="1:2" ht="15">
      <c r="A289" s="81" t="s">
        <v>3544</v>
      </c>
      <c r="B289" s="80" t="s">
        <v>3951</v>
      </c>
    </row>
    <row r="290" spans="1:2" ht="15">
      <c r="A290" s="81" t="s">
        <v>3545</v>
      </c>
      <c r="B290" s="80" t="s">
        <v>3951</v>
      </c>
    </row>
    <row r="291" spans="1:2" ht="15">
      <c r="A291" s="81" t="s">
        <v>3546</v>
      </c>
      <c r="B291" s="80" t="s">
        <v>3951</v>
      </c>
    </row>
    <row r="292" spans="1:2" ht="15">
      <c r="A292" s="81" t="s">
        <v>3547</v>
      </c>
      <c r="B292" s="80" t="s">
        <v>3951</v>
      </c>
    </row>
    <row r="293" spans="1:2" ht="15">
      <c r="A293" s="81" t="s">
        <v>3548</v>
      </c>
      <c r="B293" s="80" t="s">
        <v>3951</v>
      </c>
    </row>
    <row r="294" spans="1:2" ht="15">
      <c r="A294" s="81" t="s">
        <v>3549</v>
      </c>
      <c r="B294" s="80" t="s">
        <v>3951</v>
      </c>
    </row>
    <row r="295" spans="1:2" ht="15">
      <c r="A295" s="81" t="s">
        <v>3550</v>
      </c>
      <c r="B295" s="80" t="s">
        <v>3951</v>
      </c>
    </row>
    <row r="296" spans="1:2" ht="15">
      <c r="A296" s="81" t="s">
        <v>3551</v>
      </c>
      <c r="B296" s="80" t="s">
        <v>3951</v>
      </c>
    </row>
    <row r="297" spans="1:2" ht="15">
      <c r="A297" s="81" t="s">
        <v>3552</v>
      </c>
      <c r="B297" s="80" t="s">
        <v>3951</v>
      </c>
    </row>
    <row r="298" spans="1:2" ht="15">
      <c r="A298" s="81" t="s">
        <v>3553</v>
      </c>
      <c r="B298" s="80" t="s">
        <v>3951</v>
      </c>
    </row>
    <row r="299" spans="1:2" ht="15">
      <c r="A299" s="81" t="s">
        <v>3554</v>
      </c>
      <c r="B299" s="80" t="s">
        <v>3951</v>
      </c>
    </row>
    <row r="300" spans="1:2" ht="15">
      <c r="A300" s="81" t="s">
        <v>3555</v>
      </c>
      <c r="B300" s="80" t="s">
        <v>3951</v>
      </c>
    </row>
    <row r="301" spans="1:2" ht="15">
      <c r="A301" s="81" t="s">
        <v>3556</v>
      </c>
      <c r="B301" s="80" t="s">
        <v>3951</v>
      </c>
    </row>
    <row r="302" spans="1:2" ht="15">
      <c r="A302" s="81" t="s">
        <v>3557</v>
      </c>
      <c r="B302" s="80" t="s">
        <v>3951</v>
      </c>
    </row>
    <row r="303" spans="1:2" ht="15">
      <c r="A303" s="81" t="s">
        <v>3558</v>
      </c>
      <c r="B303" s="80" t="s">
        <v>3951</v>
      </c>
    </row>
    <row r="304" spans="1:2" ht="15">
      <c r="A304" s="81" t="s">
        <v>3559</v>
      </c>
      <c r="B304" s="80" t="s">
        <v>3951</v>
      </c>
    </row>
    <row r="305" spans="1:2" ht="15">
      <c r="A305" s="81" t="s">
        <v>3560</v>
      </c>
      <c r="B305" s="80" t="s">
        <v>3951</v>
      </c>
    </row>
    <row r="306" spans="1:2" ht="15">
      <c r="A306" s="81" t="s">
        <v>3561</v>
      </c>
      <c r="B306" s="80" t="s">
        <v>3951</v>
      </c>
    </row>
    <row r="307" spans="1:2" ht="15">
      <c r="A307" s="81" t="s">
        <v>3562</v>
      </c>
      <c r="B307" s="80" t="s">
        <v>3951</v>
      </c>
    </row>
    <row r="308" spans="1:2" ht="15">
      <c r="A308" s="81" t="s">
        <v>3563</v>
      </c>
      <c r="B308" s="80" t="s">
        <v>3951</v>
      </c>
    </row>
    <row r="309" spans="1:2" ht="15">
      <c r="A309" s="81" t="s">
        <v>3564</v>
      </c>
      <c r="B309" s="80" t="s">
        <v>3951</v>
      </c>
    </row>
    <row r="310" spans="1:2" ht="15">
      <c r="A310" s="81" t="s">
        <v>3565</v>
      </c>
      <c r="B310" s="80" t="s">
        <v>3951</v>
      </c>
    </row>
    <row r="311" spans="1:2" ht="15">
      <c r="A311" s="81" t="s">
        <v>3566</v>
      </c>
      <c r="B311" s="80" t="s">
        <v>3951</v>
      </c>
    </row>
    <row r="312" spans="1:2" ht="15">
      <c r="A312" s="81" t="s">
        <v>3567</v>
      </c>
      <c r="B312" s="80" t="s">
        <v>3951</v>
      </c>
    </row>
    <row r="313" spans="1:2" ht="15">
      <c r="A313" s="81" t="s">
        <v>3568</v>
      </c>
      <c r="B313" s="80" t="s">
        <v>3951</v>
      </c>
    </row>
    <row r="314" spans="1:2" ht="15">
      <c r="A314" s="81" t="s">
        <v>3569</v>
      </c>
      <c r="B314" s="80" t="s">
        <v>3951</v>
      </c>
    </row>
    <row r="315" spans="1:2" ht="15">
      <c r="A315" s="81" t="s">
        <v>3570</v>
      </c>
      <c r="B315" s="80" t="s">
        <v>3951</v>
      </c>
    </row>
    <row r="316" spans="1:2" ht="15">
      <c r="A316" s="81" t="s">
        <v>3571</v>
      </c>
      <c r="B316" s="80" t="s">
        <v>3951</v>
      </c>
    </row>
    <row r="317" spans="1:2" ht="15">
      <c r="A317" s="81" t="s">
        <v>3572</v>
      </c>
      <c r="B317" s="80" t="s">
        <v>3951</v>
      </c>
    </row>
    <row r="318" spans="1:2" ht="15">
      <c r="A318" s="81" t="s">
        <v>2911</v>
      </c>
      <c r="B318" s="80" t="s">
        <v>3951</v>
      </c>
    </row>
    <row r="319" spans="1:2" ht="15">
      <c r="A319" s="81" t="s">
        <v>3573</v>
      </c>
      <c r="B319" s="80" t="s">
        <v>3951</v>
      </c>
    </row>
    <row r="320" spans="1:2" ht="15">
      <c r="A320" s="81" t="s">
        <v>3574</v>
      </c>
      <c r="B320" s="80" t="s">
        <v>3951</v>
      </c>
    </row>
    <row r="321" spans="1:2" ht="15">
      <c r="A321" s="81" t="s">
        <v>3575</v>
      </c>
      <c r="B321" s="80" t="s">
        <v>3951</v>
      </c>
    </row>
    <row r="322" spans="1:2" ht="15">
      <c r="A322" s="81" t="s">
        <v>3576</v>
      </c>
      <c r="B322" s="80" t="s">
        <v>3951</v>
      </c>
    </row>
    <row r="323" spans="1:2" ht="15">
      <c r="A323" s="81" t="s">
        <v>3577</v>
      </c>
      <c r="B323" s="80" t="s">
        <v>3951</v>
      </c>
    </row>
    <row r="324" spans="1:2" ht="15">
      <c r="A324" s="81" t="s">
        <v>3578</v>
      </c>
      <c r="B324" s="80" t="s">
        <v>3951</v>
      </c>
    </row>
    <row r="325" spans="1:2" ht="15">
      <c r="A325" s="81" t="s">
        <v>3579</v>
      </c>
      <c r="B325" s="80" t="s">
        <v>3951</v>
      </c>
    </row>
    <row r="326" spans="1:2" ht="15">
      <c r="A326" s="81" t="s">
        <v>3580</v>
      </c>
      <c r="B326" s="80" t="s">
        <v>3951</v>
      </c>
    </row>
    <row r="327" spans="1:2" ht="15">
      <c r="A327" s="81" t="s">
        <v>2839</v>
      </c>
      <c r="B327" s="80" t="s">
        <v>3951</v>
      </c>
    </row>
    <row r="328" spans="1:2" ht="15">
      <c r="A328" s="81" t="s">
        <v>3581</v>
      </c>
      <c r="B328" s="80" t="s">
        <v>3951</v>
      </c>
    </row>
    <row r="329" spans="1:2" ht="15">
      <c r="A329" s="81" t="s">
        <v>3582</v>
      </c>
      <c r="B329" s="80" t="s">
        <v>3951</v>
      </c>
    </row>
    <row r="330" spans="1:2" ht="15">
      <c r="A330" s="81" t="s">
        <v>3583</v>
      </c>
      <c r="B330" s="80" t="s">
        <v>3951</v>
      </c>
    </row>
    <row r="331" spans="1:2" ht="15">
      <c r="A331" s="81" t="s">
        <v>3584</v>
      </c>
      <c r="B331" s="80" t="s">
        <v>3951</v>
      </c>
    </row>
    <row r="332" spans="1:2" ht="15">
      <c r="A332" s="81" t="s">
        <v>3585</v>
      </c>
      <c r="B332" s="80" t="s">
        <v>3951</v>
      </c>
    </row>
    <row r="333" spans="1:2" ht="15">
      <c r="A333" s="81" t="s">
        <v>3586</v>
      </c>
      <c r="B333" s="80" t="s">
        <v>3951</v>
      </c>
    </row>
    <row r="334" spans="1:2" ht="15">
      <c r="A334" s="81" t="s">
        <v>3587</v>
      </c>
      <c r="B334" s="80" t="s">
        <v>3951</v>
      </c>
    </row>
    <row r="335" spans="1:2" ht="15">
      <c r="A335" s="81" t="s">
        <v>3588</v>
      </c>
      <c r="B335" s="80" t="s">
        <v>3951</v>
      </c>
    </row>
    <row r="336" spans="1:2" ht="15">
      <c r="A336" s="81" t="s">
        <v>3589</v>
      </c>
      <c r="B336" s="80" t="s">
        <v>3951</v>
      </c>
    </row>
    <row r="337" spans="1:2" ht="15">
      <c r="A337" s="81" t="s">
        <v>3590</v>
      </c>
      <c r="B337" s="80" t="s">
        <v>3951</v>
      </c>
    </row>
    <row r="338" spans="1:2" ht="15">
      <c r="A338" s="81" t="s">
        <v>3591</v>
      </c>
      <c r="B338" s="80" t="s">
        <v>3951</v>
      </c>
    </row>
    <row r="339" spans="1:2" ht="15">
      <c r="A339" s="81" t="s">
        <v>2882</v>
      </c>
      <c r="B339" s="80" t="s">
        <v>3951</v>
      </c>
    </row>
    <row r="340" spans="1:2" ht="15">
      <c r="A340" s="81" t="s">
        <v>3592</v>
      </c>
      <c r="B340" s="80" t="s">
        <v>3951</v>
      </c>
    </row>
    <row r="341" spans="1:2" ht="15">
      <c r="A341" s="81" t="s">
        <v>3593</v>
      </c>
      <c r="B341" s="80" t="s">
        <v>3951</v>
      </c>
    </row>
    <row r="342" spans="1:2" ht="15">
      <c r="A342" s="81" t="s">
        <v>3594</v>
      </c>
      <c r="B342" s="80" t="s">
        <v>3951</v>
      </c>
    </row>
    <row r="343" spans="1:2" ht="15">
      <c r="A343" s="81" t="s">
        <v>3595</v>
      </c>
      <c r="B343" s="80" t="s">
        <v>3951</v>
      </c>
    </row>
    <row r="344" spans="1:2" ht="15">
      <c r="A344" s="81" t="s">
        <v>2767</v>
      </c>
      <c r="B344" s="80" t="s">
        <v>3951</v>
      </c>
    </row>
    <row r="345" spans="1:2" ht="15">
      <c r="A345" s="81" t="s">
        <v>3596</v>
      </c>
      <c r="B345" s="80" t="s">
        <v>3951</v>
      </c>
    </row>
    <row r="346" spans="1:2" ht="15">
      <c r="A346" s="81" t="s">
        <v>3597</v>
      </c>
      <c r="B346" s="80" t="s">
        <v>3951</v>
      </c>
    </row>
    <row r="347" spans="1:2" ht="15">
      <c r="A347" s="81" t="s">
        <v>3598</v>
      </c>
      <c r="B347" s="80" t="s">
        <v>3951</v>
      </c>
    </row>
    <row r="348" spans="1:2" ht="15">
      <c r="A348" s="81" t="s">
        <v>3599</v>
      </c>
      <c r="B348" s="80" t="s">
        <v>3951</v>
      </c>
    </row>
    <row r="349" spans="1:2" ht="15">
      <c r="A349" s="81" t="s">
        <v>3600</v>
      </c>
      <c r="B349" s="80" t="s">
        <v>3951</v>
      </c>
    </row>
    <row r="350" spans="1:2" ht="15">
      <c r="A350" s="81" t="s">
        <v>3601</v>
      </c>
      <c r="B350" s="80" t="s">
        <v>3951</v>
      </c>
    </row>
    <row r="351" spans="1:2" ht="15">
      <c r="A351" s="81" t="s">
        <v>3602</v>
      </c>
      <c r="B351" s="80" t="s">
        <v>3951</v>
      </c>
    </row>
    <row r="352" spans="1:2" ht="15">
      <c r="A352" s="81" t="s">
        <v>3603</v>
      </c>
      <c r="B352" s="80" t="s">
        <v>3951</v>
      </c>
    </row>
    <row r="353" spans="1:2" ht="15">
      <c r="A353" s="81" t="s">
        <v>3604</v>
      </c>
      <c r="B353" s="80" t="s">
        <v>3951</v>
      </c>
    </row>
    <row r="354" spans="1:2" ht="15">
      <c r="A354" s="81" t="s">
        <v>3605</v>
      </c>
      <c r="B354" s="80" t="s">
        <v>3951</v>
      </c>
    </row>
    <row r="355" spans="1:2" ht="15">
      <c r="A355" s="81" t="s">
        <v>3606</v>
      </c>
      <c r="B355" s="80" t="s">
        <v>3951</v>
      </c>
    </row>
    <row r="356" spans="1:2" ht="15">
      <c r="A356" s="81" t="s">
        <v>3607</v>
      </c>
      <c r="B356" s="80" t="s">
        <v>3951</v>
      </c>
    </row>
    <row r="357" spans="1:2" ht="15">
      <c r="A357" s="81" t="s">
        <v>3608</v>
      </c>
      <c r="B357" s="80" t="s">
        <v>3951</v>
      </c>
    </row>
    <row r="358" spans="1:2" ht="15">
      <c r="A358" s="81" t="s">
        <v>3609</v>
      </c>
      <c r="B358" s="80" t="s">
        <v>3951</v>
      </c>
    </row>
    <row r="359" spans="1:2" ht="15">
      <c r="A359" s="81" t="s">
        <v>3610</v>
      </c>
      <c r="B359" s="80" t="s">
        <v>3951</v>
      </c>
    </row>
    <row r="360" spans="1:2" ht="15">
      <c r="A360" s="81" t="s">
        <v>3611</v>
      </c>
      <c r="B360" s="80" t="s">
        <v>3951</v>
      </c>
    </row>
    <row r="361" spans="1:2" ht="15">
      <c r="A361" s="81" t="s">
        <v>3612</v>
      </c>
      <c r="B361" s="80" t="s">
        <v>3951</v>
      </c>
    </row>
    <row r="362" spans="1:2" ht="15">
      <c r="A362" s="81" t="s">
        <v>3613</v>
      </c>
      <c r="B362" s="80" t="s">
        <v>3951</v>
      </c>
    </row>
    <row r="363" spans="1:2" ht="15">
      <c r="A363" s="81" t="s">
        <v>3614</v>
      </c>
      <c r="B363" s="80" t="s">
        <v>3951</v>
      </c>
    </row>
    <row r="364" spans="1:2" ht="15">
      <c r="A364" s="81" t="s">
        <v>2852</v>
      </c>
      <c r="B364" s="80" t="s">
        <v>3951</v>
      </c>
    </row>
    <row r="365" spans="1:2" ht="15">
      <c r="A365" s="81" t="s">
        <v>3615</v>
      </c>
      <c r="B365" s="80" t="s">
        <v>3951</v>
      </c>
    </row>
    <row r="366" spans="1:2" ht="15">
      <c r="A366" s="81" t="s">
        <v>3034</v>
      </c>
      <c r="B366" s="80" t="s">
        <v>3951</v>
      </c>
    </row>
    <row r="367" spans="1:2" ht="15">
      <c r="A367" s="81" t="s">
        <v>3616</v>
      </c>
      <c r="B367" s="80" t="s">
        <v>3951</v>
      </c>
    </row>
    <row r="368" spans="1:2" ht="15">
      <c r="A368" s="81" t="s">
        <v>3617</v>
      </c>
      <c r="B368" s="80" t="s">
        <v>3951</v>
      </c>
    </row>
    <row r="369" spans="1:2" ht="15">
      <c r="A369" s="81" t="s">
        <v>3618</v>
      </c>
      <c r="B369" s="80" t="s">
        <v>3951</v>
      </c>
    </row>
    <row r="370" spans="1:2" ht="15">
      <c r="A370" s="81" t="s">
        <v>3619</v>
      </c>
      <c r="B370" s="80" t="s">
        <v>3951</v>
      </c>
    </row>
    <row r="371" spans="1:2" ht="15">
      <c r="A371" s="81" t="s">
        <v>3620</v>
      </c>
      <c r="B371" s="80" t="s">
        <v>3951</v>
      </c>
    </row>
    <row r="372" spans="1:2" ht="15">
      <c r="A372" s="81" t="s">
        <v>3621</v>
      </c>
      <c r="B372" s="80" t="s">
        <v>3951</v>
      </c>
    </row>
    <row r="373" spans="1:2" ht="15">
      <c r="A373" s="81" t="s">
        <v>3622</v>
      </c>
      <c r="B373" s="80" t="s">
        <v>3951</v>
      </c>
    </row>
    <row r="374" spans="1:2" ht="15">
      <c r="A374" s="81" t="s">
        <v>3623</v>
      </c>
      <c r="B374" s="80" t="s">
        <v>3951</v>
      </c>
    </row>
    <row r="375" spans="1:2" ht="15">
      <c r="A375" s="81" t="s">
        <v>3624</v>
      </c>
      <c r="B375" s="80" t="s">
        <v>3951</v>
      </c>
    </row>
    <row r="376" spans="1:2" ht="15">
      <c r="A376" s="81" t="s">
        <v>3625</v>
      </c>
      <c r="B376" s="80" t="s">
        <v>3951</v>
      </c>
    </row>
    <row r="377" spans="1:2" ht="15">
      <c r="A377" s="81" t="s">
        <v>3626</v>
      </c>
      <c r="B377" s="80" t="s">
        <v>3951</v>
      </c>
    </row>
    <row r="378" spans="1:2" ht="15">
      <c r="A378" s="81" t="s">
        <v>3627</v>
      </c>
      <c r="B378" s="80" t="s">
        <v>3951</v>
      </c>
    </row>
    <row r="379" spans="1:2" ht="15">
      <c r="A379" s="81" t="s">
        <v>3628</v>
      </c>
      <c r="B379" s="80" t="s">
        <v>3951</v>
      </c>
    </row>
    <row r="380" spans="1:2" ht="15">
      <c r="A380" s="81" t="s">
        <v>3629</v>
      </c>
      <c r="B380" s="80" t="s">
        <v>3951</v>
      </c>
    </row>
    <row r="381" spans="1:2" ht="15">
      <c r="A381" s="81" t="s">
        <v>3630</v>
      </c>
      <c r="B381" s="80" t="s">
        <v>3951</v>
      </c>
    </row>
    <row r="382" spans="1:2" ht="15">
      <c r="A382" s="81" t="s">
        <v>3631</v>
      </c>
      <c r="B382" s="80" t="s">
        <v>3951</v>
      </c>
    </row>
    <row r="383" spans="1:2" ht="15">
      <c r="A383" s="81" t="s">
        <v>3632</v>
      </c>
      <c r="B383" s="80" t="s">
        <v>3951</v>
      </c>
    </row>
    <row r="384" spans="1:2" ht="15">
      <c r="A384" s="81" t="s">
        <v>3633</v>
      </c>
      <c r="B384" s="80" t="s">
        <v>3951</v>
      </c>
    </row>
    <row r="385" spans="1:2" ht="15">
      <c r="A385" s="81" t="s">
        <v>3634</v>
      </c>
      <c r="B385" s="80" t="s">
        <v>3951</v>
      </c>
    </row>
    <row r="386" spans="1:2" ht="15">
      <c r="A386" s="81" t="s">
        <v>2834</v>
      </c>
      <c r="B386" s="80" t="s">
        <v>3951</v>
      </c>
    </row>
    <row r="387" spans="1:2" ht="15">
      <c r="A387" s="81" t="s">
        <v>3635</v>
      </c>
      <c r="B387" s="80" t="s">
        <v>3951</v>
      </c>
    </row>
    <row r="388" spans="1:2" ht="15">
      <c r="A388" s="81" t="s">
        <v>3636</v>
      </c>
      <c r="B388" s="80" t="s">
        <v>3951</v>
      </c>
    </row>
    <row r="389" spans="1:2" ht="15">
      <c r="A389" s="81" t="s">
        <v>3637</v>
      </c>
      <c r="B389" s="80" t="s">
        <v>3951</v>
      </c>
    </row>
    <row r="390" spans="1:2" ht="15">
      <c r="A390" s="81" t="s">
        <v>3638</v>
      </c>
      <c r="B390" s="80" t="s">
        <v>3951</v>
      </c>
    </row>
    <row r="391" spans="1:2" ht="15">
      <c r="A391" s="81" t="s">
        <v>3639</v>
      </c>
      <c r="B391" s="80" t="s">
        <v>3951</v>
      </c>
    </row>
    <row r="392" spans="1:2" ht="15">
      <c r="A392" s="81" t="s">
        <v>3640</v>
      </c>
      <c r="B392" s="80" t="s">
        <v>3951</v>
      </c>
    </row>
    <row r="393" spans="1:2" ht="15">
      <c r="A393" s="81" t="s">
        <v>3641</v>
      </c>
      <c r="B393" s="80" t="s">
        <v>3951</v>
      </c>
    </row>
    <row r="394" spans="1:2" ht="15">
      <c r="A394" s="81" t="s">
        <v>3642</v>
      </c>
      <c r="B394" s="80" t="s">
        <v>3951</v>
      </c>
    </row>
    <row r="395" spans="1:2" ht="15">
      <c r="A395" s="81" t="s">
        <v>3643</v>
      </c>
      <c r="B395" s="80" t="s">
        <v>3951</v>
      </c>
    </row>
    <row r="396" spans="1:2" ht="15">
      <c r="A396" s="81" t="s">
        <v>3644</v>
      </c>
      <c r="B396" s="80" t="s">
        <v>3951</v>
      </c>
    </row>
    <row r="397" spans="1:2" ht="15">
      <c r="A397" s="81" t="s">
        <v>3005</v>
      </c>
      <c r="B397" s="80" t="s">
        <v>3951</v>
      </c>
    </row>
    <row r="398" spans="1:2" ht="15">
      <c r="A398" s="81" t="s">
        <v>2879</v>
      </c>
      <c r="B398" s="80" t="s">
        <v>3951</v>
      </c>
    </row>
    <row r="399" spans="1:2" ht="15">
      <c r="A399" s="81" t="s">
        <v>3645</v>
      </c>
      <c r="B399" s="80" t="s">
        <v>3951</v>
      </c>
    </row>
    <row r="400" spans="1:2" ht="15">
      <c r="A400" s="81" t="s">
        <v>3646</v>
      </c>
      <c r="B400" s="80" t="s">
        <v>3951</v>
      </c>
    </row>
    <row r="401" spans="1:2" ht="15">
      <c r="A401" s="81" t="s">
        <v>3647</v>
      </c>
      <c r="B401" s="80" t="s">
        <v>3951</v>
      </c>
    </row>
    <row r="402" spans="1:2" ht="15">
      <c r="A402" s="81" t="s">
        <v>3648</v>
      </c>
      <c r="B402" s="80" t="s">
        <v>3951</v>
      </c>
    </row>
    <row r="403" spans="1:2" ht="15">
      <c r="A403" s="81" t="s">
        <v>3649</v>
      </c>
      <c r="B403" s="80" t="s">
        <v>3951</v>
      </c>
    </row>
    <row r="404" spans="1:2" ht="15">
      <c r="A404" s="81" t="s">
        <v>3650</v>
      </c>
      <c r="B404" s="80" t="s">
        <v>3951</v>
      </c>
    </row>
    <row r="405" spans="1:2" ht="15">
      <c r="A405" s="81" t="s">
        <v>3651</v>
      </c>
      <c r="B405" s="80" t="s">
        <v>3951</v>
      </c>
    </row>
    <row r="406" spans="1:2" ht="15">
      <c r="A406" s="81" t="s">
        <v>3652</v>
      </c>
      <c r="B406" s="80" t="s">
        <v>3951</v>
      </c>
    </row>
    <row r="407" spans="1:2" ht="15">
      <c r="A407" s="81" t="s">
        <v>3653</v>
      </c>
      <c r="B407" s="80" t="s">
        <v>3951</v>
      </c>
    </row>
    <row r="408" spans="1:2" ht="15">
      <c r="A408" s="81" t="s">
        <v>3654</v>
      </c>
      <c r="B408" s="80" t="s">
        <v>3951</v>
      </c>
    </row>
    <row r="409" spans="1:2" ht="15">
      <c r="A409" s="81" t="s">
        <v>3655</v>
      </c>
      <c r="B409" s="80" t="s">
        <v>3951</v>
      </c>
    </row>
    <row r="410" spans="1:2" ht="15">
      <c r="A410" s="81" t="s">
        <v>3656</v>
      </c>
      <c r="B410" s="80" t="s">
        <v>3951</v>
      </c>
    </row>
    <row r="411" spans="1:2" ht="15">
      <c r="A411" s="81" t="s">
        <v>3657</v>
      </c>
      <c r="B411" s="80" t="s">
        <v>3951</v>
      </c>
    </row>
    <row r="412" spans="1:2" ht="15">
      <c r="A412" s="81" t="s">
        <v>3658</v>
      </c>
      <c r="B412" s="80" t="s">
        <v>3951</v>
      </c>
    </row>
    <row r="413" spans="1:2" ht="15">
      <c r="A413" s="81" t="s">
        <v>3659</v>
      </c>
      <c r="B413" s="80" t="s">
        <v>3951</v>
      </c>
    </row>
    <row r="414" spans="1:2" ht="15">
      <c r="A414" s="81" t="s">
        <v>3021</v>
      </c>
      <c r="B414" s="80" t="s">
        <v>3951</v>
      </c>
    </row>
    <row r="415" spans="1:2" ht="15">
      <c r="A415" s="81" t="s">
        <v>3660</v>
      </c>
      <c r="B415" s="80" t="s">
        <v>3951</v>
      </c>
    </row>
    <row r="416" spans="1:2" ht="15">
      <c r="A416" s="81" t="s">
        <v>3661</v>
      </c>
      <c r="B416" s="80" t="s">
        <v>3951</v>
      </c>
    </row>
    <row r="417" spans="1:2" ht="15">
      <c r="A417" s="81" t="s">
        <v>2766</v>
      </c>
      <c r="B417" s="80" t="s">
        <v>3951</v>
      </c>
    </row>
    <row r="418" spans="1:2" ht="15">
      <c r="A418" s="81" t="s">
        <v>2835</v>
      </c>
      <c r="B418" s="80" t="s">
        <v>3951</v>
      </c>
    </row>
    <row r="419" spans="1:2" ht="15">
      <c r="A419" s="81" t="s">
        <v>3662</v>
      </c>
      <c r="B419" s="80" t="s">
        <v>3951</v>
      </c>
    </row>
    <row r="420" spans="1:2" ht="15">
      <c r="A420" s="81" t="s">
        <v>3663</v>
      </c>
      <c r="B420" s="80" t="s">
        <v>3951</v>
      </c>
    </row>
    <row r="421" spans="1:2" ht="15">
      <c r="A421" s="81" t="s">
        <v>3664</v>
      </c>
      <c r="B421" s="80" t="s">
        <v>3951</v>
      </c>
    </row>
    <row r="422" spans="1:2" ht="15">
      <c r="A422" s="81" t="s">
        <v>3665</v>
      </c>
      <c r="B422" s="80" t="s">
        <v>3951</v>
      </c>
    </row>
    <row r="423" spans="1:2" ht="15">
      <c r="A423" s="81" t="s">
        <v>3666</v>
      </c>
      <c r="B423" s="80" t="s">
        <v>3951</v>
      </c>
    </row>
    <row r="424" spans="1:2" ht="15">
      <c r="A424" s="81" t="s">
        <v>3667</v>
      </c>
      <c r="B424" s="80" t="s">
        <v>3951</v>
      </c>
    </row>
    <row r="425" spans="1:2" ht="15">
      <c r="A425" s="81" t="s">
        <v>3668</v>
      </c>
      <c r="B425" s="80" t="s">
        <v>3951</v>
      </c>
    </row>
    <row r="426" spans="1:2" ht="15">
      <c r="A426" s="81" t="s">
        <v>3669</v>
      </c>
      <c r="B426" s="80" t="s">
        <v>3951</v>
      </c>
    </row>
    <row r="427" spans="1:2" ht="15">
      <c r="A427" s="81" t="s">
        <v>3670</v>
      </c>
      <c r="B427" s="80" t="s">
        <v>3951</v>
      </c>
    </row>
    <row r="428" spans="1:2" ht="15">
      <c r="A428" s="81" t="s">
        <v>3671</v>
      </c>
      <c r="B428" s="80" t="s">
        <v>3951</v>
      </c>
    </row>
    <row r="429" spans="1:2" ht="15">
      <c r="A429" s="81" t="s">
        <v>2833</v>
      </c>
      <c r="B429" s="80" t="s">
        <v>3951</v>
      </c>
    </row>
    <row r="430" spans="1:2" ht="15">
      <c r="A430" s="81" t="s">
        <v>2814</v>
      </c>
      <c r="B430" s="80" t="s">
        <v>3951</v>
      </c>
    </row>
    <row r="431" spans="1:2" ht="15">
      <c r="A431" s="81" t="s">
        <v>2769</v>
      </c>
      <c r="B431" s="80" t="s">
        <v>3951</v>
      </c>
    </row>
    <row r="432" spans="1:2" ht="15">
      <c r="A432" s="81" t="s">
        <v>3672</v>
      </c>
      <c r="B432" s="80" t="s">
        <v>3951</v>
      </c>
    </row>
    <row r="433" spans="1:2" ht="15">
      <c r="A433" s="81" t="s">
        <v>3673</v>
      </c>
      <c r="B433" s="80" t="s">
        <v>3951</v>
      </c>
    </row>
    <row r="434" spans="1:2" ht="15">
      <c r="A434" s="81" t="s">
        <v>3674</v>
      </c>
      <c r="B434" s="80" t="s">
        <v>3951</v>
      </c>
    </row>
    <row r="435" spans="1:2" ht="15">
      <c r="A435" s="81" t="s">
        <v>3675</v>
      </c>
      <c r="B435" s="80" t="s">
        <v>3951</v>
      </c>
    </row>
    <row r="436" spans="1:2" ht="15">
      <c r="A436" s="81" t="s">
        <v>3676</v>
      </c>
      <c r="B436" s="80" t="s">
        <v>3951</v>
      </c>
    </row>
    <row r="437" spans="1:2" ht="15">
      <c r="A437" s="81" t="s">
        <v>3677</v>
      </c>
      <c r="B437" s="80" t="s">
        <v>3951</v>
      </c>
    </row>
    <row r="438" spans="1:2" ht="15">
      <c r="A438" s="81" t="s">
        <v>3678</v>
      </c>
      <c r="B438" s="80" t="s">
        <v>3951</v>
      </c>
    </row>
    <row r="439" spans="1:2" ht="15">
      <c r="A439" s="81" t="s">
        <v>3679</v>
      </c>
      <c r="B439" s="80" t="s">
        <v>3951</v>
      </c>
    </row>
    <row r="440" spans="1:2" ht="15">
      <c r="A440" s="81" t="s">
        <v>3680</v>
      </c>
      <c r="B440" s="80" t="s">
        <v>3951</v>
      </c>
    </row>
    <row r="441" spans="1:2" ht="15">
      <c r="A441" s="81" t="s">
        <v>3681</v>
      </c>
      <c r="B441" s="80" t="s">
        <v>3951</v>
      </c>
    </row>
    <row r="442" spans="1:2" ht="15">
      <c r="A442" s="81" t="s">
        <v>3682</v>
      </c>
      <c r="B442" s="80" t="s">
        <v>3951</v>
      </c>
    </row>
    <row r="443" spans="1:2" ht="15">
      <c r="A443" s="81" t="s">
        <v>3683</v>
      </c>
      <c r="B443" s="80" t="s">
        <v>3951</v>
      </c>
    </row>
    <row r="444" spans="1:2" ht="15">
      <c r="A444" s="81" t="s">
        <v>3684</v>
      </c>
      <c r="B444" s="80" t="s">
        <v>3951</v>
      </c>
    </row>
    <row r="445" spans="1:2" ht="15">
      <c r="A445" s="81" t="s">
        <v>3685</v>
      </c>
      <c r="B445" s="80" t="s">
        <v>3951</v>
      </c>
    </row>
    <row r="446" spans="1:2" ht="15">
      <c r="A446" s="81" t="s">
        <v>3686</v>
      </c>
      <c r="B446" s="80" t="s">
        <v>3951</v>
      </c>
    </row>
    <row r="447" spans="1:2" ht="15">
      <c r="A447" s="81" t="s">
        <v>3687</v>
      </c>
      <c r="B447" s="80" t="s">
        <v>3951</v>
      </c>
    </row>
    <row r="448" spans="1:2" ht="15">
      <c r="A448" s="81" t="s">
        <v>3688</v>
      </c>
      <c r="B448" s="80" t="s">
        <v>3951</v>
      </c>
    </row>
    <row r="449" spans="1:2" ht="15">
      <c r="A449" s="81" t="s">
        <v>2707</v>
      </c>
      <c r="B449" s="80" t="s">
        <v>3951</v>
      </c>
    </row>
    <row r="450" spans="1:2" ht="15">
      <c r="A450" s="81" t="s">
        <v>3689</v>
      </c>
      <c r="B450" s="80" t="s">
        <v>3951</v>
      </c>
    </row>
    <row r="451" spans="1:2" ht="15">
      <c r="A451" s="81" t="s">
        <v>2868</v>
      </c>
      <c r="B451" s="80" t="s">
        <v>3951</v>
      </c>
    </row>
    <row r="452" spans="1:2" ht="15">
      <c r="A452" s="81" t="s">
        <v>3690</v>
      </c>
      <c r="B452" s="80" t="s">
        <v>3951</v>
      </c>
    </row>
    <row r="453" spans="1:2" ht="15">
      <c r="A453" s="81" t="s">
        <v>3691</v>
      </c>
      <c r="B453" s="80" t="s">
        <v>3951</v>
      </c>
    </row>
    <row r="454" spans="1:2" ht="15">
      <c r="A454" s="81" t="s">
        <v>3692</v>
      </c>
      <c r="B454" s="80" t="s">
        <v>3951</v>
      </c>
    </row>
    <row r="455" spans="1:2" ht="15">
      <c r="A455" s="81" t="s">
        <v>3693</v>
      </c>
      <c r="B455" s="80" t="s">
        <v>3951</v>
      </c>
    </row>
    <row r="456" spans="1:2" ht="15">
      <c r="A456" s="81" t="s">
        <v>3694</v>
      </c>
      <c r="B456" s="80" t="s">
        <v>3951</v>
      </c>
    </row>
    <row r="457" spans="1:2" ht="15">
      <c r="A457" s="81" t="s">
        <v>3695</v>
      </c>
      <c r="B457" s="80" t="s">
        <v>3951</v>
      </c>
    </row>
    <row r="458" spans="1:2" ht="15">
      <c r="A458" s="81" t="s">
        <v>3006</v>
      </c>
      <c r="B458" s="80" t="s">
        <v>3951</v>
      </c>
    </row>
    <row r="459" spans="1:2" ht="15">
      <c r="A459" s="81" t="s">
        <v>3696</v>
      </c>
      <c r="B459" s="80" t="s">
        <v>3951</v>
      </c>
    </row>
    <row r="460" spans="1:2" ht="15">
      <c r="A460" s="81" t="s">
        <v>3697</v>
      </c>
      <c r="B460" s="80" t="s">
        <v>3951</v>
      </c>
    </row>
    <row r="461" spans="1:2" ht="15">
      <c r="A461" s="81" t="s">
        <v>3698</v>
      </c>
      <c r="B461" s="80" t="s">
        <v>3951</v>
      </c>
    </row>
    <row r="462" spans="1:2" ht="15">
      <c r="A462" s="81" t="s">
        <v>3699</v>
      </c>
      <c r="B462" s="80" t="s">
        <v>3951</v>
      </c>
    </row>
    <row r="463" spans="1:2" ht="15">
      <c r="A463" s="81" t="s">
        <v>3700</v>
      </c>
      <c r="B463" s="80" t="s">
        <v>3951</v>
      </c>
    </row>
    <row r="464" spans="1:2" ht="15">
      <c r="A464" s="81" t="s">
        <v>3701</v>
      </c>
      <c r="B464" s="80" t="s">
        <v>3951</v>
      </c>
    </row>
    <row r="465" spans="1:2" ht="15">
      <c r="A465" s="81" t="s">
        <v>3702</v>
      </c>
      <c r="B465" s="80" t="s">
        <v>3951</v>
      </c>
    </row>
    <row r="466" spans="1:2" ht="15">
      <c r="A466" s="81" t="s">
        <v>3703</v>
      </c>
      <c r="B466" s="80" t="s">
        <v>3951</v>
      </c>
    </row>
    <row r="467" spans="1:2" ht="15">
      <c r="A467" s="81" t="s">
        <v>3704</v>
      </c>
      <c r="B467" s="80" t="s">
        <v>3951</v>
      </c>
    </row>
    <row r="468" spans="1:2" ht="15">
      <c r="A468" s="81" t="s">
        <v>3705</v>
      </c>
      <c r="B468" s="80" t="s">
        <v>3951</v>
      </c>
    </row>
    <row r="469" spans="1:2" ht="15">
      <c r="A469" s="81" t="s">
        <v>2845</v>
      </c>
      <c r="B469" s="80" t="s">
        <v>3951</v>
      </c>
    </row>
    <row r="470" spans="1:2" ht="15">
      <c r="A470" s="81" t="s">
        <v>3706</v>
      </c>
      <c r="B470" s="80" t="s">
        <v>3951</v>
      </c>
    </row>
    <row r="471" spans="1:2" ht="15">
      <c r="A471" s="81" t="s">
        <v>3156</v>
      </c>
      <c r="B471" s="80" t="s">
        <v>3951</v>
      </c>
    </row>
    <row r="472" spans="1:2" ht="15">
      <c r="A472" s="81" t="s">
        <v>3043</v>
      </c>
      <c r="B472" s="80" t="s">
        <v>3951</v>
      </c>
    </row>
    <row r="473" spans="1:2" ht="15">
      <c r="A473" s="81" t="s">
        <v>3707</v>
      </c>
      <c r="B473" s="80" t="s">
        <v>3951</v>
      </c>
    </row>
    <row r="474" spans="1:2" ht="15">
      <c r="A474" s="81" t="s">
        <v>3708</v>
      </c>
      <c r="B474" s="80" t="s">
        <v>3951</v>
      </c>
    </row>
    <row r="475" spans="1:2" ht="15">
      <c r="A475" s="81" t="s">
        <v>3709</v>
      </c>
      <c r="B475" s="80" t="s">
        <v>3951</v>
      </c>
    </row>
    <row r="476" spans="1:2" ht="15">
      <c r="A476" s="81" t="s">
        <v>3710</v>
      </c>
      <c r="B476" s="80" t="s">
        <v>3951</v>
      </c>
    </row>
    <row r="477" spans="1:2" ht="15">
      <c r="A477" s="81" t="s">
        <v>3711</v>
      </c>
      <c r="B477" s="80" t="s">
        <v>3951</v>
      </c>
    </row>
    <row r="478" spans="1:2" ht="15">
      <c r="A478" s="81" t="s">
        <v>3226</v>
      </c>
      <c r="B478" s="80" t="s">
        <v>3951</v>
      </c>
    </row>
    <row r="479" spans="1:2" ht="15">
      <c r="A479" s="81" t="s">
        <v>3712</v>
      </c>
      <c r="B479" s="80" t="s">
        <v>3951</v>
      </c>
    </row>
    <row r="480" spans="1:2" ht="15">
      <c r="A480" s="81" t="s">
        <v>2812</v>
      </c>
      <c r="B480" s="80" t="s">
        <v>3951</v>
      </c>
    </row>
    <row r="481" spans="1:2" ht="15">
      <c r="A481" s="81" t="s">
        <v>3713</v>
      </c>
      <c r="B481" s="80" t="s">
        <v>3951</v>
      </c>
    </row>
    <row r="482" spans="1:2" ht="15">
      <c r="A482" s="81" t="s">
        <v>3714</v>
      </c>
      <c r="B482" s="80" t="s">
        <v>3951</v>
      </c>
    </row>
    <row r="483" spans="1:2" ht="15">
      <c r="A483" s="81" t="s">
        <v>3715</v>
      </c>
      <c r="B483" s="80" t="s">
        <v>3951</v>
      </c>
    </row>
    <row r="484" spans="1:2" ht="15">
      <c r="A484" s="81" t="s">
        <v>2978</v>
      </c>
      <c r="B484" s="80" t="s">
        <v>3951</v>
      </c>
    </row>
    <row r="485" spans="1:2" ht="15">
      <c r="A485" s="81" t="s">
        <v>3716</v>
      </c>
      <c r="B485" s="80" t="s">
        <v>3951</v>
      </c>
    </row>
    <row r="486" spans="1:2" ht="15">
      <c r="A486" s="81" t="s">
        <v>3717</v>
      </c>
      <c r="B486" s="80" t="s">
        <v>3951</v>
      </c>
    </row>
    <row r="487" spans="1:2" ht="15">
      <c r="A487" s="81" t="s">
        <v>3718</v>
      </c>
      <c r="B487" s="80" t="s">
        <v>3951</v>
      </c>
    </row>
    <row r="488" spans="1:2" ht="15">
      <c r="A488" s="81" t="s">
        <v>3719</v>
      </c>
      <c r="B488" s="80" t="s">
        <v>3951</v>
      </c>
    </row>
    <row r="489" spans="1:2" ht="15">
      <c r="A489" s="81" t="s">
        <v>3720</v>
      </c>
      <c r="B489" s="80" t="s">
        <v>3951</v>
      </c>
    </row>
    <row r="490" spans="1:2" ht="15">
      <c r="A490" s="81" t="s">
        <v>3721</v>
      </c>
      <c r="B490" s="80" t="s">
        <v>3951</v>
      </c>
    </row>
    <row r="491" spans="1:2" ht="15">
      <c r="A491" s="81" t="s">
        <v>3722</v>
      </c>
      <c r="B491" s="80" t="s">
        <v>3951</v>
      </c>
    </row>
    <row r="492" spans="1:2" ht="15">
      <c r="A492" s="81" t="s">
        <v>3723</v>
      </c>
      <c r="B492" s="80" t="s">
        <v>3951</v>
      </c>
    </row>
    <row r="493" spans="1:2" ht="15">
      <c r="A493" s="81" t="s">
        <v>3724</v>
      </c>
      <c r="B493" s="80" t="s">
        <v>3951</v>
      </c>
    </row>
    <row r="494" spans="1:2" ht="15">
      <c r="A494" s="81" t="s">
        <v>3725</v>
      </c>
      <c r="B494" s="80" t="s">
        <v>3951</v>
      </c>
    </row>
    <row r="495" spans="1:2" ht="15">
      <c r="A495" s="81" t="s">
        <v>3726</v>
      </c>
      <c r="B495" s="80" t="s">
        <v>3951</v>
      </c>
    </row>
    <row r="496" spans="1:2" ht="15">
      <c r="A496" s="81" t="s">
        <v>3727</v>
      </c>
      <c r="B496" s="80" t="s">
        <v>3951</v>
      </c>
    </row>
    <row r="497" spans="1:2" ht="15">
      <c r="A497" s="81" t="s">
        <v>3728</v>
      </c>
      <c r="B497" s="80" t="s">
        <v>3951</v>
      </c>
    </row>
    <row r="498" spans="1:2" ht="15">
      <c r="A498" s="81" t="s">
        <v>3729</v>
      </c>
      <c r="B498" s="80" t="s">
        <v>3951</v>
      </c>
    </row>
    <row r="499" spans="1:2" ht="15">
      <c r="A499" s="81" t="s">
        <v>3730</v>
      </c>
      <c r="B499" s="80" t="s">
        <v>3951</v>
      </c>
    </row>
    <row r="500" spans="1:2" ht="15">
      <c r="A500" s="81" t="s">
        <v>3731</v>
      </c>
      <c r="B500" s="80" t="s">
        <v>3951</v>
      </c>
    </row>
    <row r="501" spans="1:2" ht="15">
      <c r="A501" s="81" t="s">
        <v>3732</v>
      </c>
      <c r="B501" s="80" t="s">
        <v>3951</v>
      </c>
    </row>
    <row r="502" spans="1:2" ht="15">
      <c r="A502" s="81" t="s">
        <v>2693</v>
      </c>
      <c r="B502" s="80" t="s">
        <v>3951</v>
      </c>
    </row>
    <row r="503" spans="1:2" ht="15">
      <c r="A503" s="81" t="s">
        <v>3733</v>
      </c>
      <c r="B503" s="80" t="s">
        <v>3951</v>
      </c>
    </row>
    <row r="504" spans="1:2" ht="15">
      <c r="A504" s="81" t="s">
        <v>3734</v>
      </c>
      <c r="B504" s="80" t="s">
        <v>3951</v>
      </c>
    </row>
    <row r="505" spans="1:2" ht="15">
      <c r="A505" s="81" t="s">
        <v>3735</v>
      </c>
      <c r="B505" s="80" t="s">
        <v>3951</v>
      </c>
    </row>
    <row r="506" spans="1:2" ht="15">
      <c r="A506" s="81" t="s">
        <v>3736</v>
      </c>
      <c r="B506" s="80" t="s">
        <v>3951</v>
      </c>
    </row>
    <row r="507" spans="1:2" ht="15">
      <c r="A507" s="81" t="s">
        <v>3737</v>
      </c>
      <c r="B507" s="80" t="s">
        <v>3951</v>
      </c>
    </row>
    <row r="508" spans="1:2" ht="15">
      <c r="A508" s="81" t="s">
        <v>3738</v>
      </c>
      <c r="B508" s="80" t="s">
        <v>3951</v>
      </c>
    </row>
    <row r="509" spans="1:2" ht="15">
      <c r="A509" s="81" t="s">
        <v>3739</v>
      </c>
      <c r="B509" s="80" t="s">
        <v>3951</v>
      </c>
    </row>
    <row r="510" spans="1:2" ht="15">
      <c r="A510" s="81" t="s">
        <v>3740</v>
      </c>
      <c r="B510" s="80" t="s">
        <v>3951</v>
      </c>
    </row>
    <row r="511" spans="1:2" ht="15">
      <c r="A511" s="81" t="s">
        <v>3741</v>
      </c>
      <c r="B511" s="80" t="s">
        <v>3951</v>
      </c>
    </row>
    <row r="512" spans="1:2" ht="15">
      <c r="A512" s="81" t="s">
        <v>2973</v>
      </c>
      <c r="B512" s="80" t="s">
        <v>3951</v>
      </c>
    </row>
    <row r="513" spans="1:2" ht="15">
      <c r="A513" s="81" t="s">
        <v>3742</v>
      </c>
      <c r="B513" s="80" t="s">
        <v>3951</v>
      </c>
    </row>
    <row r="514" spans="1:2" ht="15">
      <c r="A514" s="81" t="s">
        <v>3743</v>
      </c>
      <c r="B514" s="80" t="s">
        <v>3951</v>
      </c>
    </row>
    <row r="515" spans="1:2" ht="15">
      <c r="A515" s="81" t="s">
        <v>3744</v>
      </c>
      <c r="B515" s="80" t="s">
        <v>3951</v>
      </c>
    </row>
    <row r="516" spans="1:2" ht="15">
      <c r="A516" s="81" t="s">
        <v>3745</v>
      </c>
      <c r="B516" s="80" t="s">
        <v>3951</v>
      </c>
    </row>
    <row r="517" spans="1:2" ht="15">
      <c r="A517" s="81" t="s">
        <v>3746</v>
      </c>
      <c r="B517" s="80" t="s">
        <v>3951</v>
      </c>
    </row>
    <row r="518" spans="1:2" ht="15">
      <c r="A518" s="81" t="s">
        <v>3747</v>
      </c>
      <c r="B518" s="80" t="s">
        <v>3951</v>
      </c>
    </row>
    <row r="519" spans="1:2" ht="15">
      <c r="A519" s="81" t="s">
        <v>3748</v>
      </c>
      <c r="B519" s="80" t="s">
        <v>3951</v>
      </c>
    </row>
    <row r="520" spans="1:2" ht="15">
      <c r="A520" s="81" t="s">
        <v>3749</v>
      </c>
      <c r="B520" s="80" t="s">
        <v>3951</v>
      </c>
    </row>
    <row r="521" spans="1:2" ht="15">
      <c r="A521" s="81" t="s">
        <v>3750</v>
      </c>
      <c r="B521" s="80" t="s">
        <v>3951</v>
      </c>
    </row>
    <row r="522" spans="1:2" ht="15">
      <c r="A522" s="81" t="s">
        <v>3751</v>
      </c>
      <c r="B522" s="80" t="s">
        <v>3951</v>
      </c>
    </row>
    <row r="523" spans="1:2" ht="15">
      <c r="A523" s="81" t="s">
        <v>3752</v>
      </c>
      <c r="B523" s="80" t="s">
        <v>3951</v>
      </c>
    </row>
    <row r="524" spans="1:2" ht="15">
      <c r="A524" s="81" t="s">
        <v>3753</v>
      </c>
      <c r="B524" s="80" t="s">
        <v>3951</v>
      </c>
    </row>
    <row r="525" spans="1:2" ht="15">
      <c r="A525" s="81" t="s">
        <v>3754</v>
      </c>
      <c r="B525" s="80" t="s">
        <v>3951</v>
      </c>
    </row>
    <row r="526" spans="1:2" ht="15">
      <c r="A526" s="81" t="s">
        <v>3755</v>
      </c>
      <c r="B526" s="80" t="s">
        <v>3951</v>
      </c>
    </row>
    <row r="527" spans="1:2" ht="15">
      <c r="A527" s="81" t="s">
        <v>2885</v>
      </c>
      <c r="B527" s="80" t="s">
        <v>3951</v>
      </c>
    </row>
    <row r="528" spans="1:2" ht="15">
      <c r="A528" s="81" t="s">
        <v>2784</v>
      </c>
      <c r="B528" s="80" t="s">
        <v>3951</v>
      </c>
    </row>
    <row r="529" spans="1:2" ht="15">
      <c r="A529" s="81" t="s">
        <v>3756</v>
      </c>
      <c r="B529" s="80" t="s">
        <v>3951</v>
      </c>
    </row>
    <row r="530" spans="1:2" ht="15">
      <c r="A530" s="81" t="s">
        <v>2698</v>
      </c>
      <c r="B530" s="80" t="s">
        <v>3951</v>
      </c>
    </row>
    <row r="531" spans="1:2" ht="15">
      <c r="A531" s="81" t="s">
        <v>3757</v>
      </c>
      <c r="B531" s="80" t="s">
        <v>3951</v>
      </c>
    </row>
    <row r="532" spans="1:2" ht="15">
      <c r="A532" s="81" t="s">
        <v>3120</v>
      </c>
      <c r="B532" s="80" t="s">
        <v>3951</v>
      </c>
    </row>
    <row r="533" spans="1:2" ht="15">
      <c r="A533" s="81" t="s">
        <v>3758</v>
      </c>
      <c r="B533" s="80" t="s">
        <v>3951</v>
      </c>
    </row>
    <row r="534" spans="1:2" ht="15">
      <c r="A534" s="81" t="s">
        <v>3759</v>
      </c>
      <c r="B534" s="80" t="s">
        <v>3951</v>
      </c>
    </row>
    <row r="535" spans="1:2" ht="15">
      <c r="A535" s="81" t="s">
        <v>3760</v>
      </c>
      <c r="B535" s="80" t="s">
        <v>3951</v>
      </c>
    </row>
    <row r="536" spans="1:2" ht="15">
      <c r="A536" s="81" t="s">
        <v>3761</v>
      </c>
      <c r="B536" s="80" t="s">
        <v>3951</v>
      </c>
    </row>
    <row r="537" spans="1:2" ht="15">
      <c r="A537" s="81" t="s">
        <v>3762</v>
      </c>
      <c r="B537" s="80" t="s">
        <v>3951</v>
      </c>
    </row>
    <row r="538" spans="1:2" ht="15">
      <c r="A538" s="81" t="s">
        <v>3763</v>
      </c>
      <c r="B538" s="80" t="s">
        <v>3951</v>
      </c>
    </row>
    <row r="539" spans="1:2" ht="15">
      <c r="A539" s="81" t="s">
        <v>3764</v>
      </c>
      <c r="B539" s="80" t="s">
        <v>3951</v>
      </c>
    </row>
    <row r="540" spans="1:2" ht="15">
      <c r="A540" s="81" t="s">
        <v>3765</v>
      </c>
      <c r="B540" s="80" t="s">
        <v>3951</v>
      </c>
    </row>
    <row r="541" spans="1:2" ht="15">
      <c r="A541" s="81" t="s">
        <v>3766</v>
      </c>
      <c r="B541" s="80" t="s">
        <v>3951</v>
      </c>
    </row>
    <row r="542" spans="1:2" ht="15">
      <c r="A542" s="81" t="s">
        <v>3767</v>
      </c>
      <c r="B542" s="80" t="s">
        <v>3951</v>
      </c>
    </row>
    <row r="543" spans="1:2" ht="15">
      <c r="A543" s="81" t="s">
        <v>3768</v>
      </c>
      <c r="B543" s="80" t="s">
        <v>3951</v>
      </c>
    </row>
    <row r="544" spans="1:2" ht="15">
      <c r="A544" s="81" t="s">
        <v>3769</v>
      </c>
      <c r="B544" s="80" t="s">
        <v>3951</v>
      </c>
    </row>
    <row r="545" spans="1:2" ht="15">
      <c r="A545" s="81" t="s">
        <v>2710</v>
      </c>
      <c r="B545" s="80" t="s">
        <v>3951</v>
      </c>
    </row>
    <row r="546" spans="1:2" ht="15">
      <c r="A546" s="81" t="s">
        <v>3770</v>
      </c>
      <c r="B546" s="80" t="s">
        <v>3951</v>
      </c>
    </row>
    <row r="547" spans="1:2" ht="15">
      <c r="A547" s="81" t="s">
        <v>2998</v>
      </c>
      <c r="B547" s="80" t="s">
        <v>3951</v>
      </c>
    </row>
    <row r="548" spans="1:2" ht="15">
      <c r="A548" s="81" t="s">
        <v>2884</v>
      </c>
      <c r="B548" s="80" t="s">
        <v>3951</v>
      </c>
    </row>
    <row r="549" spans="1:2" ht="15">
      <c r="A549" s="81" t="s">
        <v>3771</v>
      </c>
      <c r="B549" s="80" t="s">
        <v>3951</v>
      </c>
    </row>
    <row r="550" spans="1:2" ht="15">
      <c r="A550" s="81" t="s">
        <v>3772</v>
      </c>
      <c r="B550" s="80" t="s">
        <v>3951</v>
      </c>
    </row>
    <row r="551" spans="1:2" ht="15">
      <c r="A551" s="81" t="s">
        <v>3773</v>
      </c>
      <c r="B551" s="80" t="s">
        <v>3951</v>
      </c>
    </row>
    <row r="552" spans="1:2" ht="15">
      <c r="A552" s="81" t="s">
        <v>3774</v>
      </c>
      <c r="B552" s="80" t="s">
        <v>3951</v>
      </c>
    </row>
    <row r="553" spans="1:2" ht="15">
      <c r="A553" s="81" t="s">
        <v>3775</v>
      </c>
      <c r="B553" s="80" t="s">
        <v>3951</v>
      </c>
    </row>
    <row r="554" spans="1:2" ht="15">
      <c r="A554" s="81" t="s">
        <v>3776</v>
      </c>
      <c r="B554" s="80" t="s">
        <v>3951</v>
      </c>
    </row>
    <row r="555" spans="1:2" ht="15">
      <c r="A555" s="81" t="s">
        <v>2878</v>
      </c>
      <c r="B555" s="80" t="s">
        <v>3951</v>
      </c>
    </row>
    <row r="556" spans="1:2" ht="15">
      <c r="A556" s="81" t="s">
        <v>3777</v>
      </c>
      <c r="B556" s="80" t="s">
        <v>3951</v>
      </c>
    </row>
    <row r="557" spans="1:2" ht="15">
      <c r="A557" s="81" t="s">
        <v>3778</v>
      </c>
      <c r="B557" s="80" t="s">
        <v>3951</v>
      </c>
    </row>
    <row r="558" spans="1:2" ht="15">
      <c r="A558" s="81" t="s">
        <v>2965</v>
      </c>
      <c r="B558" s="80" t="s">
        <v>3951</v>
      </c>
    </row>
    <row r="559" spans="1:2" ht="15">
      <c r="A559" s="81" t="s">
        <v>3779</v>
      </c>
      <c r="B559" s="80" t="s">
        <v>3951</v>
      </c>
    </row>
    <row r="560" spans="1:2" ht="15">
      <c r="A560" s="81" t="s">
        <v>3780</v>
      </c>
      <c r="B560" s="80" t="s">
        <v>3951</v>
      </c>
    </row>
    <row r="561" spans="1:2" ht="15">
      <c r="A561" s="81" t="s">
        <v>3781</v>
      </c>
      <c r="B561" s="80" t="s">
        <v>3951</v>
      </c>
    </row>
    <row r="562" spans="1:2" ht="15">
      <c r="A562" s="81" t="s">
        <v>3782</v>
      </c>
      <c r="B562" s="80" t="s">
        <v>3951</v>
      </c>
    </row>
    <row r="563" spans="1:2" ht="15">
      <c r="A563" s="81" t="s">
        <v>3783</v>
      </c>
      <c r="B563" s="80" t="s">
        <v>3951</v>
      </c>
    </row>
    <row r="564" spans="1:2" ht="15">
      <c r="A564" s="81" t="s">
        <v>3784</v>
      </c>
      <c r="B564" s="80" t="s">
        <v>3951</v>
      </c>
    </row>
    <row r="565" spans="1:2" ht="15">
      <c r="A565" s="81" t="s">
        <v>3785</v>
      </c>
      <c r="B565" s="80" t="s">
        <v>3951</v>
      </c>
    </row>
    <row r="566" spans="1:2" ht="15">
      <c r="A566" s="81" t="s">
        <v>3786</v>
      </c>
      <c r="B566" s="80" t="s">
        <v>3951</v>
      </c>
    </row>
    <row r="567" spans="1:2" ht="15">
      <c r="A567" s="81" t="s">
        <v>3787</v>
      </c>
      <c r="B567" s="80" t="s">
        <v>3951</v>
      </c>
    </row>
    <row r="568" spans="1:2" ht="15">
      <c r="A568" s="81" t="s">
        <v>3788</v>
      </c>
      <c r="B568" s="80" t="s">
        <v>3951</v>
      </c>
    </row>
    <row r="569" spans="1:2" ht="15">
      <c r="A569" s="81" t="s">
        <v>3789</v>
      </c>
      <c r="B569" s="80" t="s">
        <v>3951</v>
      </c>
    </row>
    <row r="570" spans="1:2" ht="15">
      <c r="A570" s="81" t="s">
        <v>3790</v>
      </c>
      <c r="B570" s="80" t="s">
        <v>3951</v>
      </c>
    </row>
    <row r="571" spans="1:2" ht="15">
      <c r="A571" s="81" t="s">
        <v>3791</v>
      </c>
      <c r="B571" s="80" t="s">
        <v>3951</v>
      </c>
    </row>
    <row r="572" spans="1:2" ht="15">
      <c r="A572" s="81" t="s">
        <v>3004</v>
      </c>
      <c r="B572" s="80" t="s">
        <v>3951</v>
      </c>
    </row>
    <row r="573" spans="1:2" ht="15">
      <c r="A573" s="81" t="s">
        <v>3792</v>
      </c>
      <c r="B573" s="80" t="s">
        <v>3951</v>
      </c>
    </row>
    <row r="574" spans="1:2" ht="15">
      <c r="A574" s="81" t="s">
        <v>2916</v>
      </c>
      <c r="B574" s="80" t="s">
        <v>3951</v>
      </c>
    </row>
    <row r="575" spans="1:2" ht="15">
      <c r="A575" s="81" t="s">
        <v>3793</v>
      </c>
      <c r="B575" s="80" t="s">
        <v>3951</v>
      </c>
    </row>
    <row r="576" spans="1:2" ht="15">
      <c r="A576" s="81" t="s">
        <v>3794</v>
      </c>
      <c r="B576" s="80" t="s">
        <v>3951</v>
      </c>
    </row>
    <row r="577" spans="1:2" ht="15">
      <c r="A577" s="81" t="s">
        <v>3795</v>
      </c>
      <c r="B577" s="80" t="s">
        <v>3951</v>
      </c>
    </row>
    <row r="578" spans="1:2" ht="15">
      <c r="A578" s="81" t="s">
        <v>3796</v>
      </c>
      <c r="B578" s="80" t="s">
        <v>3951</v>
      </c>
    </row>
    <row r="579" spans="1:2" ht="15">
      <c r="A579" s="81" t="s">
        <v>3797</v>
      </c>
      <c r="B579" s="80" t="s">
        <v>3951</v>
      </c>
    </row>
    <row r="580" spans="1:2" ht="15">
      <c r="A580" s="81" t="s">
        <v>3798</v>
      </c>
      <c r="B580" s="80" t="s">
        <v>3951</v>
      </c>
    </row>
    <row r="581" spans="1:2" ht="15">
      <c r="A581" s="81" t="s">
        <v>3799</v>
      </c>
      <c r="B581" s="80" t="s">
        <v>3951</v>
      </c>
    </row>
    <row r="582" spans="1:2" ht="15">
      <c r="A582" s="81" t="s">
        <v>3800</v>
      </c>
      <c r="B582" s="80" t="s">
        <v>3951</v>
      </c>
    </row>
    <row r="583" spans="1:2" ht="15">
      <c r="A583" s="81" t="s">
        <v>3801</v>
      </c>
      <c r="B583" s="80" t="s">
        <v>3951</v>
      </c>
    </row>
    <row r="584" spans="1:2" ht="15">
      <c r="A584" s="81" t="s">
        <v>2694</v>
      </c>
      <c r="B584" s="80" t="s">
        <v>3951</v>
      </c>
    </row>
    <row r="585" spans="1:2" ht="15">
      <c r="A585" s="81" t="s">
        <v>3802</v>
      </c>
      <c r="B585" s="80" t="s">
        <v>3951</v>
      </c>
    </row>
    <row r="586" spans="1:2" ht="15">
      <c r="A586" s="81" t="s">
        <v>3803</v>
      </c>
      <c r="B586" s="80" t="s">
        <v>3951</v>
      </c>
    </row>
    <row r="587" spans="1:2" ht="15">
      <c r="A587" s="81" t="s">
        <v>3804</v>
      </c>
      <c r="B587" s="80" t="s">
        <v>3951</v>
      </c>
    </row>
    <row r="588" spans="1:2" ht="15">
      <c r="A588" s="81" t="s">
        <v>3007</v>
      </c>
      <c r="B588" s="80" t="s">
        <v>3951</v>
      </c>
    </row>
    <row r="589" spans="1:2" ht="15">
      <c r="A589" s="81" t="s">
        <v>3805</v>
      </c>
      <c r="B589" s="80" t="s">
        <v>3951</v>
      </c>
    </row>
    <row r="590" spans="1:2" ht="15">
      <c r="A590" s="81" t="s">
        <v>2972</v>
      </c>
      <c r="B590" s="80" t="s">
        <v>3951</v>
      </c>
    </row>
    <row r="591" spans="1:2" ht="15">
      <c r="A591" s="81" t="s">
        <v>3806</v>
      </c>
      <c r="B591" s="80" t="s">
        <v>3951</v>
      </c>
    </row>
    <row r="592" spans="1:2" ht="15">
      <c r="A592" s="81" t="s">
        <v>3807</v>
      </c>
      <c r="B592" s="80" t="s">
        <v>3951</v>
      </c>
    </row>
    <row r="593" spans="1:2" ht="15">
      <c r="A593" s="81" t="s">
        <v>2705</v>
      </c>
      <c r="B593" s="80" t="s">
        <v>3951</v>
      </c>
    </row>
    <row r="594" spans="1:2" ht="15">
      <c r="A594" s="81" t="s">
        <v>3808</v>
      </c>
      <c r="B594" s="80" t="s">
        <v>3951</v>
      </c>
    </row>
    <row r="595" spans="1:2" ht="15">
      <c r="A595" s="81" t="s">
        <v>3809</v>
      </c>
      <c r="B595" s="80" t="s">
        <v>3951</v>
      </c>
    </row>
    <row r="596" spans="1:2" ht="15">
      <c r="A596" s="81" t="s">
        <v>3810</v>
      </c>
      <c r="B596" s="80" t="s">
        <v>3951</v>
      </c>
    </row>
    <row r="597" spans="1:2" ht="15">
      <c r="A597" s="81" t="s">
        <v>2743</v>
      </c>
      <c r="B597" s="80" t="s">
        <v>3951</v>
      </c>
    </row>
    <row r="598" spans="1:2" ht="15">
      <c r="A598" s="81" t="s">
        <v>2704</v>
      </c>
      <c r="B598" s="80" t="s">
        <v>3951</v>
      </c>
    </row>
    <row r="599" spans="1:2" ht="15">
      <c r="A599" s="81" t="s">
        <v>3811</v>
      </c>
      <c r="B599" s="80" t="s">
        <v>3951</v>
      </c>
    </row>
    <row r="600" spans="1:2" ht="15">
      <c r="A600" s="81" t="s">
        <v>3812</v>
      </c>
      <c r="B600" s="80" t="s">
        <v>3951</v>
      </c>
    </row>
    <row r="601" spans="1:2" ht="15">
      <c r="A601" s="81" t="s">
        <v>2770</v>
      </c>
      <c r="B601" s="80" t="s">
        <v>3951</v>
      </c>
    </row>
    <row r="602" spans="1:2" ht="15">
      <c r="A602" s="81" t="s">
        <v>3813</v>
      </c>
      <c r="B602" s="80" t="s">
        <v>3951</v>
      </c>
    </row>
    <row r="603" spans="1:2" ht="15">
      <c r="A603" s="81" t="s">
        <v>3814</v>
      </c>
      <c r="B603" s="80" t="s">
        <v>3951</v>
      </c>
    </row>
    <row r="604" spans="1:2" ht="15">
      <c r="A604" s="81" t="s">
        <v>2940</v>
      </c>
      <c r="B604" s="80" t="s">
        <v>3951</v>
      </c>
    </row>
    <row r="605" spans="1:2" ht="15">
      <c r="A605" s="81" t="s">
        <v>3011</v>
      </c>
      <c r="B605" s="80" t="s">
        <v>3951</v>
      </c>
    </row>
    <row r="606" spans="1:2" ht="15">
      <c r="A606" s="81" t="s">
        <v>3815</v>
      </c>
      <c r="B606" s="80" t="s">
        <v>3951</v>
      </c>
    </row>
    <row r="607" spans="1:2" ht="15">
      <c r="A607" s="81" t="s">
        <v>3816</v>
      </c>
      <c r="B607" s="80" t="s">
        <v>3951</v>
      </c>
    </row>
    <row r="608" spans="1:2" ht="15">
      <c r="A608" s="81" t="s">
        <v>3105</v>
      </c>
      <c r="B608" s="80" t="s">
        <v>3951</v>
      </c>
    </row>
    <row r="609" spans="1:2" ht="15">
      <c r="A609" s="81" t="s">
        <v>3817</v>
      </c>
      <c r="B609" s="80" t="s">
        <v>3951</v>
      </c>
    </row>
    <row r="610" spans="1:2" ht="15">
      <c r="A610" s="81" t="s">
        <v>3818</v>
      </c>
      <c r="B610" s="80" t="s">
        <v>3951</v>
      </c>
    </row>
    <row r="611" spans="1:2" ht="15">
      <c r="A611" s="81" t="s">
        <v>3819</v>
      </c>
      <c r="B611" s="80" t="s">
        <v>3951</v>
      </c>
    </row>
    <row r="612" spans="1:2" ht="15">
      <c r="A612" s="81" t="s">
        <v>3272</v>
      </c>
      <c r="B612" s="80" t="s">
        <v>3951</v>
      </c>
    </row>
    <row r="613" spans="1:2" ht="15">
      <c r="A613" s="81" t="s">
        <v>3820</v>
      </c>
      <c r="B613" s="80" t="s">
        <v>3951</v>
      </c>
    </row>
    <row r="614" spans="1:2" ht="15">
      <c r="A614" s="81" t="s">
        <v>3821</v>
      </c>
      <c r="B614" s="80" t="s">
        <v>3951</v>
      </c>
    </row>
    <row r="615" spans="1:2" ht="15">
      <c r="A615" s="81" t="s">
        <v>3822</v>
      </c>
      <c r="B615" s="80" t="s">
        <v>3951</v>
      </c>
    </row>
    <row r="616" spans="1:2" ht="15">
      <c r="A616" s="81" t="s">
        <v>3823</v>
      </c>
      <c r="B616" s="80" t="s">
        <v>3951</v>
      </c>
    </row>
    <row r="617" spans="1:2" ht="15">
      <c r="A617" s="81" t="s">
        <v>3824</v>
      </c>
      <c r="B617" s="80" t="s">
        <v>3951</v>
      </c>
    </row>
    <row r="618" spans="1:2" ht="15">
      <c r="A618" s="81" t="s">
        <v>3825</v>
      </c>
      <c r="B618" s="80" t="s">
        <v>3951</v>
      </c>
    </row>
    <row r="619" spans="1:2" ht="15">
      <c r="A619" s="81" t="s">
        <v>3826</v>
      </c>
      <c r="B619" s="80" t="s">
        <v>3951</v>
      </c>
    </row>
    <row r="620" spans="1:2" ht="15">
      <c r="A620" s="81" t="s">
        <v>3827</v>
      </c>
      <c r="B620" s="80" t="s">
        <v>3951</v>
      </c>
    </row>
    <row r="621" spans="1:2" ht="15">
      <c r="A621" s="81" t="s">
        <v>3828</v>
      </c>
      <c r="B621" s="80" t="s">
        <v>3951</v>
      </c>
    </row>
    <row r="622" spans="1:2" ht="15">
      <c r="A622" s="81" t="s">
        <v>3829</v>
      </c>
      <c r="B622" s="80" t="s">
        <v>3951</v>
      </c>
    </row>
    <row r="623" spans="1:2" ht="15">
      <c r="A623" s="81" t="s">
        <v>3830</v>
      </c>
      <c r="B623" s="80" t="s">
        <v>3951</v>
      </c>
    </row>
    <row r="624" spans="1:2" ht="15">
      <c r="A624" s="81" t="s">
        <v>3831</v>
      </c>
      <c r="B624" s="80" t="s">
        <v>3951</v>
      </c>
    </row>
    <row r="625" spans="1:2" ht="15">
      <c r="A625" s="81" t="s">
        <v>3832</v>
      </c>
      <c r="B625" s="80" t="s">
        <v>3951</v>
      </c>
    </row>
    <row r="626" spans="1:2" ht="15">
      <c r="A626" s="81" t="s">
        <v>3833</v>
      </c>
      <c r="B626" s="80" t="s">
        <v>3951</v>
      </c>
    </row>
    <row r="627" spans="1:2" ht="15">
      <c r="A627" s="81" t="s">
        <v>3834</v>
      </c>
      <c r="B627" s="80" t="s">
        <v>3951</v>
      </c>
    </row>
    <row r="628" spans="1:2" ht="15">
      <c r="A628" s="81" t="s">
        <v>3835</v>
      </c>
      <c r="B628" s="80" t="s">
        <v>3951</v>
      </c>
    </row>
    <row r="629" spans="1:2" ht="15">
      <c r="A629" s="81" t="s">
        <v>3836</v>
      </c>
      <c r="B629" s="80" t="s">
        <v>3951</v>
      </c>
    </row>
    <row r="630" spans="1:2" ht="15">
      <c r="A630" s="81" t="s">
        <v>3837</v>
      </c>
      <c r="B630" s="80" t="s">
        <v>3951</v>
      </c>
    </row>
    <row r="631" spans="1:2" ht="15">
      <c r="A631" s="81" t="s">
        <v>3838</v>
      </c>
      <c r="B631" s="80" t="s">
        <v>3951</v>
      </c>
    </row>
    <row r="632" spans="1:2" ht="15">
      <c r="A632" s="81" t="s">
        <v>3839</v>
      </c>
      <c r="B632" s="80" t="s">
        <v>3951</v>
      </c>
    </row>
    <row r="633" spans="1:2" ht="15">
      <c r="A633" s="81" t="s">
        <v>3840</v>
      </c>
      <c r="B633" s="80" t="s">
        <v>3951</v>
      </c>
    </row>
    <row r="634" spans="1:2" ht="15">
      <c r="A634" s="81" t="s">
        <v>3841</v>
      </c>
      <c r="B634" s="80" t="s">
        <v>3951</v>
      </c>
    </row>
    <row r="635" spans="1:2" ht="15">
      <c r="A635" s="81" t="s">
        <v>3842</v>
      </c>
      <c r="B635" s="80" t="s">
        <v>3951</v>
      </c>
    </row>
    <row r="636" spans="1:2" ht="15">
      <c r="A636" s="81" t="s">
        <v>2715</v>
      </c>
      <c r="B636" s="80" t="s">
        <v>3951</v>
      </c>
    </row>
    <row r="637" spans="1:2" ht="15">
      <c r="A637" s="81" t="s">
        <v>3843</v>
      </c>
      <c r="B637" s="80" t="s">
        <v>3951</v>
      </c>
    </row>
    <row r="638" spans="1:2" ht="15">
      <c r="A638" s="81" t="s">
        <v>3844</v>
      </c>
      <c r="B638" s="80" t="s">
        <v>3951</v>
      </c>
    </row>
    <row r="639" spans="1:2" ht="15">
      <c r="A639" s="81" t="s">
        <v>3845</v>
      </c>
      <c r="B639" s="80" t="s">
        <v>3951</v>
      </c>
    </row>
    <row r="640" spans="1:2" ht="15">
      <c r="A640" s="81" t="s">
        <v>3846</v>
      </c>
      <c r="B640" s="80" t="s">
        <v>3951</v>
      </c>
    </row>
    <row r="641" spans="1:2" ht="15">
      <c r="A641" s="81" t="s">
        <v>3847</v>
      </c>
      <c r="B641" s="80" t="s">
        <v>3951</v>
      </c>
    </row>
    <row r="642" spans="1:2" ht="15">
      <c r="A642" s="81" t="s">
        <v>3848</v>
      </c>
      <c r="B642" s="80" t="s">
        <v>3951</v>
      </c>
    </row>
    <row r="643" spans="1:2" ht="15">
      <c r="A643" s="81" t="s">
        <v>3849</v>
      </c>
      <c r="B643" s="80" t="s">
        <v>3951</v>
      </c>
    </row>
    <row r="644" spans="1:2" ht="15">
      <c r="A644" s="81" t="s">
        <v>3850</v>
      </c>
      <c r="B644" s="80" t="s">
        <v>3951</v>
      </c>
    </row>
    <row r="645" spans="1:2" ht="15">
      <c r="A645" s="81" t="s">
        <v>3851</v>
      </c>
      <c r="B645" s="80" t="s">
        <v>3951</v>
      </c>
    </row>
    <row r="646" spans="1:2" ht="15">
      <c r="A646" s="81" t="s">
        <v>3852</v>
      </c>
      <c r="B646" s="80" t="s">
        <v>3951</v>
      </c>
    </row>
    <row r="647" spans="1:2" ht="15">
      <c r="A647" s="81" t="s">
        <v>3853</v>
      </c>
      <c r="B647" s="80" t="s">
        <v>3951</v>
      </c>
    </row>
    <row r="648" spans="1:2" ht="15">
      <c r="A648" s="81" t="s">
        <v>3854</v>
      </c>
      <c r="B648" s="80" t="s">
        <v>3951</v>
      </c>
    </row>
    <row r="649" spans="1:2" ht="15">
      <c r="A649" s="81" t="s">
        <v>3855</v>
      </c>
      <c r="B649" s="80" t="s">
        <v>3951</v>
      </c>
    </row>
    <row r="650" spans="1:2" ht="15">
      <c r="A650" s="81" t="s">
        <v>3856</v>
      </c>
      <c r="B650" s="80" t="s">
        <v>3951</v>
      </c>
    </row>
    <row r="651" spans="1:2" ht="15">
      <c r="A651" s="81" t="s">
        <v>3857</v>
      </c>
      <c r="B651" s="80" t="s">
        <v>3951</v>
      </c>
    </row>
    <row r="652" spans="1:2" ht="15">
      <c r="A652" s="81" t="s">
        <v>3858</v>
      </c>
      <c r="B652" s="80" t="s">
        <v>3951</v>
      </c>
    </row>
    <row r="653" spans="1:2" ht="15">
      <c r="A653" s="81" t="s">
        <v>3859</v>
      </c>
      <c r="B653" s="80" t="s">
        <v>3951</v>
      </c>
    </row>
    <row r="654" spans="1:2" ht="15">
      <c r="A654" s="81" t="s">
        <v>3860</v>
      </c>
      <c r="B654" s="80" t="s">
        <v>3951</v>
      </c>
    </row>
    <row r="655" spans="1:2" ht="15">
      <c r="A655" s="81" t="s">
        <v>3861</v>
      </c>
      <c r="B655" s="80" t="s">
        <v>3951</v>
      </c>
    </row>
    <row r="656" spans="1:2" ht="15">
      <c r="A656" s="81" t="s">
        <v>3862</v>
      </c>
      <c r="B656" s="80" t="s">
        <v>3951</v>
      </c>
    </row>
    <row r="657" spans="1:2" ht="15">
      <c r="A657" s="81" t="s">
        <v>3863</v>
      </c>
      <c r="B657" s="80" t="s">
        <v>3951</v>
      </c>
    </row>
    <row r="658" spans="1:2" ht="15">
      <c r="A658" s="81" t="s">
        <v>3864</v>
      </c>
      <c r="B658" s="80" t="s">
        <v>3951</v>
      </c>
    </row>
    <row r="659" spans="1:2" ht="15">
      <c r="A659" s="81" t="s">
        <v>3865</v>
      </c>
      <c r="B659" s="80" t="s">
        <v>3951</v>
      </c>
    </row>
    <row r="660" spans="1:2" ht="15">
      <c r="A660" s="81" t="s">
        <v>3866</v>
      </c>
      <c r="B660" s="80" t="s">
        <v>3951</v>
      </c>
    </row>
    <row r="661" spans="1:2" ht="15">
      <c r="A661" s="81" t="s">
        <v>3867</v>
      </c>
      <c r="B661" s="80" t="s">
        <v>3951</v>
      </c>
    </row>
    <row r="662" spans="1:2" ht="15">
      <c r="A662" s="81" t="s">
        <v>3181</v>
      </c>
      <c r="B662" s="80" t="s">
        <v>3951</v>
      </c>
    </row>
    <row r="663" spans="1:2" ht="15">
      <c r="A663" s="81" t="s">
        <v>3868</v>
      </c>
      <c r="B663" s="80" t="s">
        <v>3951</v>
      </c>
    </row>
    <row r="664" spans="1:2" ht="15">
      <c r="A664" s="81" t="s">
        <v>3869</v>
      </c>
      <c r="B664" s="80" t="s">
        <v>3951</v>
      </c>
    </row>
    <row r="665" spans="1:2" ht="15">
      <c r="A665" s="81" t="s">
        <v>3870</v>
      </c>
      <c r="B665" s="80" t="s">
        <v>3951</v>
      </c>
    </row>
    <row r="666" spans="1:2" ht="15">
      <c r="A666" s="81" t="s">
        <v>3871</v>
      </c>
      <c r="B666" s="80" t="s">
        <v>3951</v>
      </c>
    </row>
    <row r="667" spans="1:2" ht="15">
      <c r="A667" s="81" t="s">
        <v>3872</v>
      </c>
      <c r="B667" s="80" t="s">
        <v>3951</v>
      </c>
    </row>
    <row r="668" spans="1:2" ht="15">
      <c r="A668" s="81" t="s">
        <v>3873</v>
      </c>
      <c r="B668" s="80" t="s">
        <v>3951</v>
      </c>
    </row>
    <row r="669" spans="1:2" ht="15">
      <c r="A669" s="81" t="s">
        <v>3874</v>
      </c>
      <c r="B669" s="80" t="s">
        <v>3951</v>
      </c>
    </row>
    <row r="670" spans="1:2" ht="15">
      <c r="A670" s="81" t="s">
        <v>2995</v>
      </c>
      <c r="B670" s="80" t="s">
        <v>3951</v>
      </c>
    </row>
    <row r="671" spans="1:2" ht="15">
      <c r="A671" s="81" t="s">
        <v>3875</v>
      </c>
      <c r="B671" s="80" t="s">
        <v>3951</v>
      </c>
    </row>
    <row r="672" spans="1:2" ht="15">
      <c r="A672" s="81" t="s">
        <v>3876</v>
      </c>
      <c r="B672" s="80" t="s">
        <v>3951</v>
      </c>
    </row>
    <row r="673" spans="1:2" ht="15">
      <c r="A673" s="81" t="s">
        <v>3189</v>
      </c>
      <c r="B673" s="80" t="s">
        <v>3951</v>
      </c>
    </row>
    <row r="674" spans="1:2" ht="15">
      <c r="A674" s="81" t="s">
        <v>3877</v>
      </c>
      <c r="B674" s="80" t="s">
        <v>3951</v>
      </c>
    </row>
    <row r="675" spans="1:2" ht="15">
      <c r="A675" s="81" t="s">
        <v>3878</v>
      </c>
      <c r="B675" s="80" t="s">
        <v>3951</v>
      </c>
    </row>
    <row r="676" spans="1:2" ht="15">
      <c r="A676" s="81" t="s">
        <v>3879</v>
      </c>
      <c r="B676" s="80" t="s">
        <v>3951</v>
      </c>
    </row>
    <row r="677" spans="1:2" ht="15">
      <c r="A677" s="81" t="s">
        <v>3880</v>
      </c>
      <c r="B677" s="80" t="s">
        <v>3951</v>
      </c>
    </row>
    <row r="678" spans="1:2" ht="15">
      <c r="A678" s="81" t="s">
        <v>3881</v>
      </c>
      <c r="B678" s="80" t="s">
        <v>3951</v>
      </c>
    </row>
    <row r="679" spans="1:2" ht="15">
      <c r="A679" s="81" t="s">
        <v>3084</v>
      </c>
      <c r="B679" s="80" t="s">
        <v>3951</v>
      </c>
    </row>
    <row r="680" spans="1:2" ht="15">
      <c r="A680" s="81" t="s">
        <v>3882</v>
      </c>
      <c r="B680" s="80" t="s">
        <v>3951</v>
      </c>
    </row>
    <row r="681" spans="1:2" ht="15">
      <c r="A681" s="81" t="s">
        <v>3883</v>
      </c>
      <c r="B681" s="80" t="s">
        <v>3951</v>
      </c>
    </row>
    <row r="682" spans="1:2" ht="15">
      <c r="A682" s="81" t="s">
        <v>3884</v>
      </c>
      <c r="B682" s="80" t="s">
        <v>3951</v>
      </c>
    </row>
    <row r="683" spans="1:2" ht="15">
      <c r="A683" s="81" t="s">
        <v>3885</v>
      </c>
      <c r="B683" s="80" t="s">
        <v>3951</v>
      </c>
    </row>
    <row r="684" spans="1:2" ht="15">
      <c r="A684" s="81" t="s">
        <v>3886</v>
      </c>
      <c r="B684" s="80" t="s">
        <v>3951</v>
      </c>
    </row>
    <row r="685" spans="1:2" ht="15">
      <c r="A685" s="81" t="s">
        <v>3887</v>
      </c>
      <c r="B685" s="80" t="s">
        <v>3951</v>
      </c>
    </row>
    <row r="686" spans="1:2" ht="15">
      <c r="A686" s="81" t="s">
        <v>3888</v>
      </c>
      <c r="B686" s="80" t="s">
        <v>3951</v>
      </c>
    </row>
    <row r="687" spans="1:2" ht="15">
      <c r="A687" s="81" t="s">
        <v>3889</v>
      </c>
      <c r="B687" s="80" t="s">
        <v>3951</v>
      </c>
    </row>
    <row r="688" spans="1:2" ht="15">
      <c r="A688" s="81" t="s">
        <v>3890</v>
      </c>
      <c r="B688" s="80" t="s">
        <v>3951</v>
      </c>
    </row>
    <row r="689" spans="1:2" ht="15">
      <c r="A689" s="81" t="s">
        <v>3891</v>
      </c>
      <c r="B689" s="80" t="s">
        <v>3951</v>
      </c>
    </row>
    <row r="690" spans="1:2" ht="15">
      <c r="A690" s="81" t="s">
        <v>3892</v>
      </c>
      <c r="B690" s="80" t="s">
        <v>3951</v>
      </c>
    </row>
    <row r="691" spans="1:2" ht="15">
      <c r="A691" s="81" t="s">
        <v>3893</v>
      </c>
      <c r="B691" s="80" t="s">
        <v>3951</v>
      </c>
    </row>
    <row r="692" spans="1:2" ht="15">
      <c r="A692" s="81" t="s">
        <v>3894</v>
      </c>
      <c r="B692" s="80" t="s">
        <v>3951</v>
      </c>
    </row>
    <row r="693" spans="1:2" ht="15">
      <c r="A693" s="81" t="s">
        <v>3895</v>
      </c>
      <c r="B693" s="80" t="s">
        <v>3951</v>
      </c>
    </row>
    <row r="694" spans="1:2" ht="15">
      <c r="A694" s="81" t="s">
        <v>3896</v>
      </c>
      <c r="B694" s="80" t="s">
        <v>3951</v>
      </c>
    </row>
    <row r="695" spans="1:2" ht="15">
      <c r="A695" s="81" t="s">
        <v>2926</v>
      </c>
      <c r="B695" s="80" t="s">
        <v>3951</v>
      </c>
    </row>
    <row r="696" spans="1:2" ht="15">
      <c r="A696" s="81" t="s">
        <v>2765</v>
      </c>
      <c r="B696" s="80" t="s">
        <v>3951</v>
      </c>
    </row>
    <row r="697" spans="1:2" ht="15">
      <c r="A697" s="81" t="s">
        <v>3897</v>
      </c>
      <c r="B697" s="80" t="s">
        <v>3951</v>
      </c>
    </row>
    <row r="698" spans="1:2" ht="15">
      <c r="A698" s="81" t="s">
        <v>3898</v>
      </c>
      <c r="B698" s="80" t="s">
        <v>3951</v>
      </c>
    </row>
    <row r="699" spans="1:2" ht="15">
      <c r="A699" s="81" t="s">
        <v>3899</v>
      </c>
      <c r="B699" s="80" t="s">
        <v>3951</v>
      </c>
    </row>
    <row r="700" spans="1:2" ht="15">
      <c r="A700" s="81" t="s">
        <v>3900</v>
      </c>
      <c r="B700" s="80" t="s">
        <v>3951</v>
      </c>
    </row>
    <row r="701" spans="1:2" ht="15">
      <c r="A701" s="81" t="s">
        <v>3035</v>
      </c>
      <c r="B701" s="80" t="s">
        <v>3951</v>
      </c>
    </row>
    <row r="702" spans="1:2" ht="15">
      <c r="A702" s="81" t="s">
        <v>3901</v>
      </c>
      <c r="B702" s="80" t="s">
        <v>3951</v>
      </c>
    </row>
    <row r="703" spans="1:2" ht="15">
      <c r="A703" s="81" t="s">
        <v>3902</v>
      </c>
      <c r="B703" s="80" t="s">
        <v>3951</v>
      </c>
    </row>
    <row r="704" spans="1:2" ht="15">
      <c r="A704" s="81" t="s">
        <v>3903</v>
      </c>
      <c r="B704" s="80" t="s">
        <v>3951</v>
      </c>
    </row>
    <row r="705" spans="1:2" ht="15">
      <c r="A705" s="81" t="s">
        <v>2917</v>
      </c>
      <c r="B705" s="80" t="s">
        <v>3951</v>
      </c>
    </row>
    <row r="706" spans="1:2" ht="15">
      <c r="A706" s="81" t="s">
        <v>3904</v>
      </c>
      <c r="B706" s="80" t="s">
        <v>3951</v>
      </c>
    </row>
    <row r="707" spans="1:2" ht="15">
      <c r="A707" s="81" t="s">
        <v>3905</v>
      </c>
      <c r="B707" s="80" t="s">
        <v>3951</v>
      </c>
    </row>
    <row r="708" spans="1:2" ht="15">
      <c r="A708" s="81" t="s">
        <v>3906</v>
      </c>
      <c r="B708" s="80" t="s">
        <v>3951</v>
      </c>
    </row>
    <row r="709" spans="1:2" ht="15">
      <c r="A709" s="81" t="s">
        <v>3132</v>
      </c>
      <c r="B709" s="80" t="s">
        <v>3951</v>
      </c>
    </row>
    <row r="710" spans="1:2" ht="15">
      <c r="A710" s="81" t="s">
        <v>3907</v>
      </c>
      <c r="B710" s="80" t="s">
        <v>3951</v>
      </c>
    </row>
    <row r="711" spans="1:2" ht="15">
      <c r="A711" s="81" t="s">
        <v>3908</v>
      </c>
      <c r="B711" s="80" t="s">
        <v>3951</v>
      </c>
    </row>
    <row r="712" spans="1:2" ht="15">
      <c r="A712" s="81" t="s">
        <v>3909</v>
      </c>
      <c r="B712" s="80" t="s">
        <v>3951</v>
      </c>
    </row>
    <row r="713" spans="1:2" ht="15">
      <c r="A713" s="81" t="s">
        <v>3910</v>
      </c>
      <c r="B713" s="80" t="s">
        <v>3951</v>
      </c>
    </row>
    <row r="714" spans="1:2" ht="15">
      <c r="A714" s="81" t="s">
        <v>2791</v>
      </c>
      <c r="B714" s="80" t="s">
        <v>3951</v>
      </c>
    </row>
    <row r="715" spans="1:2" ht="15">
      <c r="A715" s="81" t="s">
        <v>3911</v>
      </c>
      <c r="B715" s="80" t="s">
        <v>3951</v>
      </c>
    </row>
    <row r="716" spans="1:2" ht="15">
      <c r="A716" s="81" t="s">
        <v>3912</v>
      </c>
      <c r="B716" s="80" t="s">
        <v>3951</v>
      </c>
    </row>
    <row r="717" spans="1:2" ht="15">
      <c r="A717" s="81" t="s">
        <v>3913</v>
      </c>
      <c r="B717" s="80" t="s">
        <v>3951</v>
      </c>
    </row>
    <row r="718" spans="1:2" ht="15">
      <c r="A718" s="81" t="s">
        <v>3199</v>
      </c>
      <c r="B718" s="80" t="s">
        <v>3951</v>
      </c>
    </row>
    <row r="719" spans="1:2" ht="15">
      <c r="A719" s="81" t="s">
        <v>3914</v>
      </c>
      <c r="B719" s="80" t="s">
        <v>3951</v>
      </c>
    </row>
    <row r="720" spans="1:2" ht="15">
      <c r="A720" s="81" t="s">
        <v>3915</v>
      </c>
      <c r="B720" s="80" t="s">
        <v>3951</v>
      </c>
    </row>
    <row r="721" spans="1:2" ht="15">
      <c r="A721" s="81" t="s">
        <v>3916</v>
      </c>
      <c r="B721" s="80" t="s">
        <v>3951</v>
      </c>
    </row>
    <row r="722" spans="1:2" ht="15">
      <c r="A722" s="81" t="s">
        <v>3917</v>
      </c>
      <c r="B722" s="80" t="s">
        <v>3951</v>
      </c>
    </row>
    <row r="723" spans="1:2" ht="15">
      <c r="A723" s="81" t="s">
        <v>3918</v>
      </c>
      <c r="B723" s="80" t="s">
        <v>3951</v>
      </c>
    </row>
    <row r="724" spans="1:2" ht="15">
      <c r="A724" s="81" t="s">
        <v>3919</v>
      </c>
      <c r="B724" s="80" t="s">
        <v>3951</v>
      </c>
    </row>
    <row r="725" spans="1:2" ht="15">
      <c r="A725" s="81" t="s">
        <v>3920</v>
      </c>
      <c r="B725" s="80" t="s">
        <v>3951</v>
      </c>
    </row>
    <row r="726" spans="1:2" ht="15">
      <c r="A726" s="81" t="s">
        <v>3921</v>
      </c>
      <c r="B726" s="80" t="s">
        <v>3951</v>
      </c>
    </row>
    <row r="727" spans="1:2" ht="15">
      <c r="A727" s="81" t="s">
        <v>3922</v>
      </c>
      <c r="B727" s="80" t="s">
        <v>3951</v>
      </c>
    </row>
    <row r="728" spans="1:2" ht="15">
      <c r="A728" s="81" t="s">
        <v>2798</v>
      </c>
      <c r="B728" s="80" t="s">
        <v>3951</v>
      </c>
    </row>
    <row r="729" spans="1:2" ht="15">
      <c r="A729" s="81" t="s">
        <v>3923</v>
      </c>
      <c r="B729" s="80" t="s">
        <v>3951</v>
      </c>
    </row>
    <row r="730" spans="1:2" ht="15">
      <c r="A730" s="81" t="s">
        <v>3027</v>
      </c>
      <c r="B730" s="80" t="s">
        <v>3951</v>
      </c>
    </row>
    <row r="731" spans="1:2" ht="15">
      <c r="A731" s="81" t="s">
        <v>3924</v>
      </c>
      <c r="B731" s="80" t="s">
        <v>3951</v>
      </c>
    </row>
    <row r="732" spans="1:2" ht="15">
      <c r="A732" s="81" t="s">
        <v>3925</v>
      </c>
      <c r="B732" s="80" t="s">
        <v>3951</v>
      </c>
    </row>
    <row r="733" spans="1:2" ht="15">
      <c r="A733" s="81" t="s">
        <v>3926</v>
      </c>
      <c r="B733" s="80" t="s">
        <v>3951</v>
      </c>
    </row>
    <row r="734" spans="1:2" ht="15">
      <c r="A734" s="81" t="s">
        <v>3927</v>
      </c>
      <c r="B734" s="80" t="s">
        <v>3951</v>
      </c>
    </row>
    <row r="735" spans="1:2" ht="15">
      <c r="A735" s="81" t="s">
        <v>3928</v>
      </c>
      <c r="B735" s="80" t="s">
        <v>3951</v>
      </c>
    </row>
    <row r="736" spans="1:2" ht="15">
      <c r="A736" s="81" t="s">
        <v>3929</v>
      </c>
      <c r="B736" s="80" t="s">
        <v>3951</v>
      </c>
    </row>
    <row r="737" spans="1:2" ht="15">
      <c r="A737" s="81" t="s">
        <v>3930</v>
      </c>
      <c r="B737" s="80" t="s">
        <v>3951</v>
      </c>
    </row>
    <row r="738" spans="1:2" ht="15">
      <c r="A738" s="81" t="s">
        <v>3931</v>
      </c>
      <c r="B738" s="80" t="s">
        <v>3951</v>
      </c>
    </row>
    <row r="739" spans="1:2" ht="15">
      <c r="A739" s="81" t="s">
        <v>3932</v>
      </c>
      <c r="B739" s="80" t="s">
        <v>3951</v>
      </c>
    </row>
    <row r="740" spans="1:2" ht="15">
      <c r="A740" s="81" t="s">
        <v>3933</v>
      </c>
      <c r="B740" s="80" t="s">
        <v>3951</v>
      </c>
    </row>
    <row r="741" spans="1:2" ht="15">
      <c r="A741" s="81" t="s">
        <v>3934</v>
      </c>
      <c r="B741" s="80" t="s">
        <v>3951</v>
      </c>
    </row>
    <row r="742" spans="1:2" ht="15">
      <c r="A742" s="81" t="s">
        <v>3935</v>
      </c>
      <c r="B742" s="80" t="s">
        <v>3951</v>
      </c>
    </row>
    <row r="743" spans="1:2" ht="15">
      <c r="A743" s="81" t="s">
        <v>3936</v>
      </c>
      <c r="B743" s="80" t="s">
        <v>3951</v>
      </c>
    </row>
    <row r="744" spans="1:2" ht="15">
      <c r="A744" s="81" t="s">
        <v>3937</v>
      </c>
      <c r="B744" s="80" t="s">
        <v>3951</v>
      </c>
    </row>
    <row r="745" spans="1:2" ht="15">
      <c r="A745" s="81" t="s">
        <v>3938</v>
      </c>
      <c r="B745" s="80" t="s">
        <v>3951</v>
      </c>
    </row>
    <row r="746" spans="1:2" ht="15">
      <c r="A746" s="81" t="s">
        <v>3939</v>
      </c>
      <c r="B746" s="80" t="s">
        <v>3951</v>
      </c>
    </row>
    <row r="747" spans="1:2" ht="15">
      <c r="A747" s="81" t="s">
        <v>3940</v>
      </c>
      <c r="B747" s="80" t="s">
        <v>3951</v>
      </c>
    </row>
    <row r="748" spans="1:2" ht="15">
      <c r="A748" s="81" t="s">
        <v>3941</v>
      </c>
      <c r="B748" s="80" t="s">
        <v>3951</v>
      </c>
    </row>
    <row r="749" spans="1:2" ht="15">
      <c r="A749" s="81" t="s">
        <v>3942</v>
      </c>
      <c r="B749" s="80" t="s">
        <v>3952</v>
      </c>
    </row>
    <row r="750" spans="1:2" ht="15">
      <c r="A750" s="81" t="s">
        <v>3943</v>
      </c>
      <c r="B750" s="80" t="s">
        <v>3952</v>
      </c>
    </row>
    <row r="751" spans="1:2" ht="15">
      <c r="A751" s="81" t="s">
        <v>3944</v>
      </c>
      <c r="B751" s="80" t="s">
        <v>3953</v>
      </c>
    </row>
    <row r="752" spans="1:2" ht="15">
      <c r="A752" s="81" t="s">
        <v>3945</v>
      </c>
      <c r="B752" s="80" t="s">
        <v>3953</v>
      </c>
    </row>
    <row r="753" spans="1:2" ht="15">
      <c r="A753" s="81" t="s">
        <v>3946</v>
      </c>
      <c r="B753" s="80" t="s">
        <v>3953</v>
      </c>
    </row>
    <row r="754" spans="1:2" ht="15">
      <c r="A754" s="81" t="s">
        <v>3947</v>
      </c>
      <c r="B754" s="80" t="s">
        <v>3954</v>
      </c>
    </row>
    <row r="755" spans="1:2" ht="15">
      <c r="A755" s="81" t="s">
        <v>3948</v>
      </c>
      <c r="B755" s="80" t="s">
        <v>3954</v>
      </c>
    </row>
    <row r="756" spans="1:2" ht="15">
      <c r="A756" s="81" t="s">
        <v>3949</v>
      </c>
      <c r="B756" s="80" t="s">
        <v>3954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A2049-8B56-4D9E-AFFF-B8743AE4B9A3}">
  <dimension ref="A1:C2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3955</v>
      </c>
      <c r="B2" s="114" t="s">
        <v>3956</v>
      </c>
      <c r="C2" s="54" t="s">
        <v>3957</v>
      </c>
    </row>
    <row r="3" spans="1:3" ht="15">
      <c r="A3" s="113" t="s">
        <v>2425</v>
      </c>
      <c r="B3" s="113" t="s">
        <v>2425</v>
      </c>
      <c r="C3" s="35">
        <v>98</v>
      </c>
    </row>
    <row r="4" spans="1:3" ht="15">
      <c r="A4" s="113" t="s">
        <v>2426</v>
      </c>
      <c r="B4" s="113" t="s">
        <v>2425</v>
      </c>
      <c r="C4" s="35">
        <v>3</v>
      </c>
    </row>
    <row r="5" spans="1:3" ht="15">
      <c r="A5" s="113" t="s">
        <v>2426</v>
      </c>
      <c r="B5" s="113" t="s">
        <v>2426</v>
      </c>
      <c r="C5" s="35">
        <v>71</v>
      </c>
    </row>
    <row r="6" spans="1:3" ht="15">
      <c r="A6" s="113" t="s">
        <v>2427</v>
      </c>
      <c r="B6" s="113" t="s">
        <v>2427</v>
      </c>
      <c r="C6" s="35">
        <v>37</v>
      </c>
    </row>
    <row r="7" spans="1:3" ht="15">
      <c r="A7" s="113" t="s">
        <v>2428</v>
      </c>
      <c r="B7" s="113" t="s">
        <v>2425</v>
      </c>
      <c r="C7" s="35">
        <v>3</v>
      </c>
    </row>
    <row r="8" spans="1:3" ht="15">
      <c r="A8" s="113" t="s">
        <v>2428</v>
      </c>
      <c r="B8" s="113" t="s">
        <v>2428</v>
      </c>
      <c r="C8" s="35">
        <v>29</v>
      </c>
    </row>
    <row r="9" spans="1:3" ht="15">
      <c r="A9" s="113" t="s">
        <v>2429</v>
      </c>
      <c r="B9" s="113" t="s">
        <v>2429</v>
      </c>
      <c r="C9" s="35">
        <v>5</v>
      </c>
    </row>
    <row r="10" spans="1:3" ht="15">
      <c r="A10" s="113" t="s">
        <v>2430</v>
      </c>
      <c r="B10" s="113" t="s">
        <v>2430</v>
      </c>
      <c r="C10" s="35">
        <v>3</v>
      </c>
    </row>
    <row r="11" spans="1:3" ht="15">
      <c r="A11" s="113" t="s">
        <v>2431</v>
      </c>
      <c r="B11" s="113" t="s">
        <v>2431</v>
      </c>
      <c r="C11" s="35">
        <v>5</v>
      </c>
    </row>
    <row r="12" spans="1:3" ht="15">
      <c r="A12" s="113" t="s">
        <v>2432</v>
      </c>
      <c r="B12" s="113" t="s">
        <v>2432</v>
      </c>
      <c r="C12" s="35">
        <v>2</v>
      </c>
    </row>
    <row r="13" spans="1:3" ht="15">
      <c r="A13" s="113" t="s">
        <v>2433</v>
      </c>
      <c r="B13" s="113" t="s">
        <v>2433</v>
      </c>
      <c r="C13" s="35">
        <v>1</v>
      </c>
    </row>
    <row r="14" spans="1:3" ht="15">
      <c r="A14" s="113" t="s">
        <v>2434</v>
      </c>
      <c r="B14" s="113" t="s">
        <v>2425</v>
      </c>
      <c r="C14" s="35">
        <v>1</v>
      </c>
    </row>
    <row r="15" spans="1:3" ht="15">
      <c r="A15" s="113" t="s">
        <v>2434</v>
      </c>
      <c r="B15" s="113" t="s">
        <v>2434</v>
      </c>
      <c r="C15" s="35">
        <v>1</v>
      </c>
    </row>
    <row r="16" spans="1:3" ht="15">
      <c r="A16" s="113" t="s">
        <v>2435</v>
      </c>
      <c r="B16" s="113" t="s">
        <v>2435</v>
      </c>
      <c r="C16" s="35">
        <v>1</v>
      </c>
    </row>
    <row r="17" spans="1:3" ht="15">
      <c r="A17" s="113" t="s">
        <v>2436</v>
      </c>
      <c r="B17" s="113" t="s">
        <v>2436</v>
      </c>
      <c r="C17" s="35">
        <v>2</v>
      </c>
    </row>
    <row r="18" spans="1:3" ht="15">
      <c r="A18" s="113" t="s">
        <v>2437</v>
      </c>
      <c r="B18" s="113" t="s">
        <v>2437</v>
      </c>
      <c r="C18" s="35">
        <v>2</v>
      </c>
    </row>
    <row r="19" spans="1:3" ht="15">
      <c r="A19" s="113" t="s">
        <v>2438</v>
      </c>
      <c r="B19" s="113" t="s">
        <v>2438</v>
      </c>
      <c r="C19" s="35">
        <v>1</v>
      </c>
    </row>
    <row r="20" spans="1:3" ht="15">
      <c r="A20" s="113" t="s">
        <v>2439</v>
      </c>
      <c r="B20" s="113" t="s">
        <v>2439</v>
      </c>
      <c r="C20" s="35">
        <v>2</v>
      </c>
    </row>
    <row r="21" spans="1:3" ht="15">
      <c r="A21" s="113" t="s">
        <v>2440</v>
      </c>
      <c r="B21" s="113" t="s">
        <v>2440</v>
      </c>
      <c r="C21" s="35">
        <v>2</v>
      </c>
    </row>
    <row r="22" spans="1:3" ht="15">
      <c r="A22" s="113" t="s">
        <v>2441</v>
      </c>
      <c r="B22" s="113" t="s">
        <v>2441</v>
      </c>
      <c r="C22" s="35">
        <v>1</v>
      </c>
    </row>
    <row r="23" spans="1:3" ht="15">
      <c r="A23" s="113" t="s">
        <v>2442</v>
      </c>
      <c r="B23" s="113" t="s">
        <v>2442</v>
      </c>
      <c r="C23" s="35">
        <v>2</v>
      </c>
    </row>
    <row r="24" spans="1:3" ht="15">
      <c r="A24" s="113" t="s">
        <v>2443</v>
      </c>
      <c r="B24" s="113" t="s">
        <v>2443</v>
      </c>
      <c r="C24" s="35">
        <v>1</v>
      </c>
    </row>
    <row r="25" spans="1:3" ht="15">
      <c r="A25" s="113" t="s">
        <v>2444</v>
      </c>
      <c r="B25" s="113" t="s">
        <v>2444</v>
      </c>
      <c r="C25" s="35">
        <v>1</v>
      </c>
    </row>
    <row r="26" spans="1:3" ht="15">
      <c r="A26" s="113" t="s">
        <v>2445</v>
      </c>
      <c r="B26" s="113" t="s">
        <v>2445</v>
      </c>
      <c r="C26" s="35">
        <v>1</v>
      </c>
    </row>
    <row r="27" spans="1:3" ht="15">
      <c r="A27" s="113" t="s">
        <v>2446</v>
      </c>
      <c r="B27" s="113" t="s">
        <v>2446</v>
      </c>
      <c r="C27" s="35">
        <v>1</v>
      </c>
    </row>
    <row r="28" spans="1:3" ht="15">
      <c r="A28" s="113" t="s">
        <v>2447</v>
      </c>
      <c r="B28" s="113" t="s">
        <v>2447</v>
      </c>
      <c r="C28" s="35">
        <v>1</v>
      </c>
    </row>
    <row r="29" spans="1:3" ht="15">
      <c r="A29" s="113" t="s">
        <v>2448</v>
      </c>
      <c r="B29" s="113" t="s">
        <v>2448</v>
      </c>
      <c r="C2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E3CA7-52E9-4EBD-8EF0-6451ABA476AD}">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3977</v>
      </c>
      <c r="B1" s="13" t="s">
        <v>17</v>
      </c>
    </row>
    <row r="2" spans="1:2" ht="15">
      <c r="A2" s="80" t="s">
        <v>3978</v>
      </c>
      <c r="B2" s="80" t="s">
        <v>3984</v>
      </c>
    </row>
    <row r="3" spans="1:2" ht="15">
      <c r="A3" s="81" t="s">
        <v>3979</v>
      </c>
      <c r="B3" s="80" t="s">
        <v>3985</v>
      </c>
    </row>
    <row r="4" spans="1:2" ht="15">
      <c r="A4" s="81" t="s">
        <v>3980</v>
      </c>
      <c r="B4" s="80" t="s">
        <v>3986</v>
      </c>
    </row>
    <row r="5" spans="1:2" ht="15">
      <c r="A5" s="81" t="s">
        <v>3981</v>
      </c>
      <c r="B5" s="80" t="s">
        <v>3985</v>
      </c>
    </row>
    <row r="6" spans="1:2" ht="15">
      <c r="A6" s="81" t="s">
        <v>3982</v>
      </c>
      <c r="B6" s="80" t="s">
        <v>3987</v>
      </c>
    </row>
    <row r="7" spans="1:2" ht="15">
      <c r="A7" s="81" t="s">
        <v>3983</v>
      </c>
      <c r="B7" s="80" t="s">
        <v>3985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D93A8-6284-45E8-88FD-F1673F632CD7}">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3988</v>
      </c>
      <c r="B1" s="13" t="s">
        <v>32</v>
      </c>
    </row>
    <row r="2" spans="1:2" ht="15">
      <c r="A2" s="106" t="s">
        <v>479</v>
      </c>
      <c r="B2" s="80">
        <v>102</v>
      </c>
    </row>
    <row r="3" spans="1:2" ht="15">
      <c r="A3" s="109" t="s">
        <v>430</v>
      </c>
      <c r="B3" s="80">
        <v>70</v>
      </c>
    </row>
    <row r="4" spans="1:2" ht="15">
      <c r="A4" s="109" t="s">
        <v>483</v>
      </c>
      <c r="B4" s="80">
        <v>27</v>
      </c>
    </row>
    <row r="5" spans="1:2" ht="15">
      <c r="A5" s="109" t="s">
        <v>351</v>
      </c>
      <c r="B5" s="80">
        <v>5</v>
      </c>
    </row>
    <row r="6" spans="1:2" ht="15">
      <c r="A6" s="109" t="s">
        <v>428</v>
      </c>
      <c r="B6" s="80">
        <v>3</v>
      </c>
    </row>
    <row r="7" spans="1:2" ht="15">
      <c r="A7" s="109" t="s">
        <v>495</v>
      </c>
      <c r="B7" s="80">
        <v>3</v>
      </c>
    </row>
    <row r="8" spans="1:2" ht="15">
      <c r="A8" s="109" t="s">
        <v>228</v>
      </c>
      <c r="B8" s="80">
        <v>2</v>
      </c>
    </row>
    <row r="9" spans="1:2" ht="15">
      <c r="A9" s="109" t="s">
        <v>310</v>
      </c>
      <c r="B9" s="80">
        <v>2</v>
      </c>
    </row>
    <row r="10" spans="1:2" ht="15">
      <c r="A10" s="109" t="s">
        <v>406</v>
      </c>
      <c r="B10" s="80">
        <v>2</v>
      </c>
    </row>
    <row r="11" spans="1:2" ht="15">
      <c r="A11" s="109" t="s">
        <v>335</v>
      </c>
      <c r="B11" s="80">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0188-32B6-4682-B68A-777841C52919}">
  <dimension ref="A1:V9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3989</v>
      </c>
      <c r="B1" s="13" t="s">
        <v>4000</v>
      </c>
      <c r="C1" s="13" t="s">
        <v>4001</v>
      </c>
      <c r="D1" s="13" t="s">
        <v>4004</v>
      </c>
      <c r="E1" s="13" t="s">
        <v>4003</v>
      </c>
      <c r="F1" s="13" t="s">
        <v>4006</v>
      </c>
      <c r="G1" s="13" t="s">
        <v>4005</v>
      </c>
      <c r="H1" s="13" t="s">
        <v>4012</v>
      </c>
      <c r="I1" s="13" t="s">
        <v>4011</v>
      </c>
      <c r="J1" s="13" t="s">
        <v>4014</v>
      </c>
      <c r="K1" s="13" t="s">
        <v>4013</v>
      </c>
      <c r="L1" s="13" t="s">
        <v>4016</v>
      </c>
      <c r="M1" s="80" t="s">
        <v>4015</v>
      </c>
      <c r="N1" s="80" t="s">
        <v>4018</v>
      </c>
      <c r="O1" s="13" t="s">
        <v>4017</v>
      </c>
      <c r="P1" s="13" t="s">
        <v>4020</v>
      </c>
      <c r="Q1" s="80" t="s">
        <v>4019</v>
      </c>
      <c r="R1" s="80" t="s">
        <v>4022</v>
      </c>
      <c r="S1" s="13" t="s">
        <v>4021</v>
      </c>
      <c r="T1" s="13" t="s">
        <v>4025</v>
      </c>
      <c r="U1" s="13" t="s">
        <v>4024</v>
      </c>
      <c r="V1" s="13" t="s">
        <v>4026</v>
      </c>
    </row>
    <row r="2" spans="1:22" ht="15">
      <c r="A2" s="86" t="s">
        <v>3990</v>
      </c>
      <c r="B2" s="80">
        <v>103</v>
      </c>
      <c r="C2" s="86" t="s">
        <v>3990</v>
      </c>
      <c r="D2" s="80">
        <v>86</v>
      </c>
      <c r="E2" s="86" t="s">
        <v>3990</v>
      </c>
      <c r="F2" s="80">
        <v>4</v>
      </c>
      <c r="G2" s="86" t="s">
        <v>3990</v>
      </c>
      <c r="H2" s="80">
        <v>4</v>
      </c>
      <c r="I2" s="86" t="s">
        <v>3995</v>
      </c>
      <c r="J2" s="80">
        <v>1</v>
      </c>
      <c r="K2" s="86" t="s">
        <v>3990</v>
      </c>
      <c r="L2" s="80">
        <v>5</v>
      </c>
      <c r="M2" s="80"/>
      <c r="N2" s="80"/>
      <c r="O2" s="86" t="s">
        <v>3993</v>
      </c>
      <c r="P2" s="80">
        <v>3</v>
      </c>
      <c r="Q2" s="80"/>
      <c r="R2" s="80"/>
      <c r="S2" s="86" t="s">
        <v>4023</v>
      </c>
      <c r="T2" s="80">
        <v>1</v>
      </c>
      <c r="U2" s="86" t="s">
        <v>3990</v>
      </c>
      <c r="V2" s="80">
        <v>1</v>
      </c>
    </row>
    <row r="3" spans="1:22" ht="15">
      <c r="A3" s="84" t="s">
        <v>3991</v>
      </c>
      <c r="B3" s="80">
        <v>4</v>
      </c>
      <c r="C3" s="86" t="s">
        <v>3991</v>
      </c>
      <c r="D3" s="80">
        <v>4</v>
      </c>
      <c r="E3" s="80"/>
      <c r="F3" s="80"/>
      <c r="G3" s="86" t="s">
        <v>3992</v>
      </c>
      <c r="H3" s="80">
        <v>3</v>
      </c>
      <c r="I3" s="86" t="s">
        <v>3990</v>
      </c>
      <c r="J3" s="80">
        <v>1</v>
      </c>
      <c r="K3" s="80"/>
      <c r="L3" s="80"/>
      <c r="M3" s="80"/>
      <c r="N3" s="80"/>
      <c r="O3" s="80"/>
      <c r="P3" s="80"/>
      <c r="Q3" s="80"/>
      <c r="R3" s="80"/>
      <c r="S3" s="80"/>
      <c r="T3" s="80"/>
      <c r="U3" s="80"/>
      <c r="V3" s="80"/>
    </row>
    <row r="4" spans="1:22" ht="15">
      <c r="A4" s="84" t="s">
        <v>3992</v>
      </c>
      <c r="B4" s="80">
        <v>3</v>
      </c>
      <c r="C4" s="86" t="s">
        <v>4002</v>
      </c>
      <c r="D4" s="80">
        <v>1</v>
      </c>
      <c r="E4" s="80"/>
      <c r="F4" s="80"/>
      <c r="G4" s="86" t="s">
        <v>4007</v>
      </c>
      <c r="H4" s="80">
        <v>2</v>
      </c>
      <c r="I4" s="80"/>
      <c r="J4" s="80"/>
      <c r="K4" s="80"/>
      <c r="L4" s="80"/>
      <c r="M4" s="80"/>
      <c r="N4" s="80"/>
      <c r="O4" s="80"/>
      <c r="P4" s="80"/>
      <c r="Q4" s="80"/>
      <c r="R4" s="80"/>
      <c r="S4" s="80"/>
      <c r="T4" s="80"/>
      <c r="U4" s="80"/>
      <c r="V4" s="80"/>
    </row>
    <row r="5" spans="1:22" ht="15">
      <c r="A5" s="84" t="s">
        <v>3993</v>
      </c>
      <c r="B5" s="80">
        <v>3</v>
      </c>
      <c r="C5" s="80"/>
      <c r="D5" s="80"/>
      <c r="E5" s="80"/>
      <c r="F5" s="80"/>
      <c r="G5" s="86" t="s">
        <v>3998</v>
      </c>
      <c r="H5" s="80">
        <v>2</v>
      </c>
      <c r="I5" s="80"/>
      <c r="J5" s="80"/>
      <c r="K5" s="80"/>
      <c r="L5" s="80"/>
      <c r="M5" s="80"/>
      <c r="N5" s="80"/>
      <c r="O5" s="80"/>
      <c r="P5" s="80"/>
      <c r="Q5" s="80"/>
      <c r="R5" s="80"/>
      <c r="S5" s="80"/>
      <c r="T5" s="80"/>
      <c r="U5" s="80"/>
      <c r="V5" s="80"/>
    </row>
    <row r="6" spans="1:22" ht="15">
      <c r="A6" s="84" t="s">
        <v>3994</v>
      </c>
      <c r="B6" s="80">
        <v>2</v>
      </c>
      <c r="C6" s="80"/>
      <c r="D6" s="80"/>
      <c r="E6" s="80"/>
      <c r="F6" s="80"/>
      <c r="G6" s="86" t="s">
        <v>3997</v>
      </c>
      <c r="H6" s="80">
        <v>2</v>
      </c>
      <c r="I6" s="80"/>
      <c r="J6" s="80"/>
      <c r="K6" s="80"/>
      <c r="L6" s="80"/>
      <c r="M6" s="80"/>
      <c r="N6" s="80"/>
      <c r="O6" s="80"/>
      <c r="P6" s="80"/>
      <c r="Q6" s="80"/>
      <c r="R6" s="80"/>
      <c r="S6" s="80"/>
      <c r="T6" s="80"/>
      <c r="U6" s="80"/>
      <c r="V6" s="80"/>
    </row>
    <row r="7" spans="1:22" ht="15">
      <c r="A7" s="84" t="s">
        <v>3995</v>
      </c>
      <c r="B7" s="80">
        <v>2</v>
      </c>
      <c r="C7" s="80"/>
      <c r="D7" s="80"/>
      <c r="E7" s="80"/>
      <c r="F7" s="80"/>
      <c r="G7" s="86" t="s">
        <v>3994</v>
      </c>
      <c r="H7" s="80">
        <v>2</v>
      </c>
      <c r="I7" s="80"/>
      <c r="J7" s="80"/>
      <c r="K7" s="80"/>
      <c r="L7" s="80"/>
      <c r="M7" s="80"/>
      <c r="N7" s="80"/>
      <c r="O7" s="80"/>
      <c r="P7" s="80"/>
      <c r="Q7" s="80"/>
      <c r="R7" s="80"/>
      <c r="S7" s="80"/>
      <c r="T7" s="80"/>
      <c r="U7" s="80"/>
      <c r="V7" s="80"/>
    </row>
    <row r="8" spans="1:22" ht="15">
      <c r="A8" s="84" t="s">
        <v>3996</v>
      </c>
      <c r="B8" s="80">
        <v>2</v>
      </c>
      <c r="C8" s="80"/>
      <c r="D8" s="80"/>
      <c r="E8" s="80"/>
      <c r="F8" s="80"/>
      <c r="G8" s="86" t="s">
        <v>4008</v>
      </c>
      <c r="H8" s="80">
        <v>1</v>
      </c>
      <c r="I8" s="80"/>
      <c r="J8" s="80"/>
      <c r="K8" s="80"/>
      <c r="L8" s="80"/>
      <c r="M8" s="80"/>
      <c r="N8" s="80"/>
      <c r="O8" s="80"/>
      <c r="P8" s="80"/>
      <c r="Q8" s="80"/>
      <c r="R8" s="80"/>
      <c r="S8" s="80"/>
      <c r="T8" s="80"/>
      <c r="U8" s="80"/>
      <c r="V8" s="80"/>
    </row>
    <row r="9" spans="1:22" ht="15">
      <c r="A9" s="84" t="s">
        <v>3997</v>
      </c>
      <c r="B9" s="80">
        <v>2</v>
      </c>
      <c r="C9" s="80"/>
      <c r="D9" s="80"/>
      <c r="E9" s="80"/>
      <c r="F9" s="80"/>
      <c r="G9" s="86" t="s">
        <v>4009</v>
      </c>
      <c r="H9" s="80">
        <v>1</v>
      </c>
      <c r="I9" s="80"/>
      <c r="J9" s="80"/>
      <c r="K9" s="80"/>
      <c r="L9" s="80"/>
      <c r="M9" s="80"/>
      <c r="N9" s="80"/>
      <c r="O9" s="80"/>
      <c r="P9" s="80"/>
      <c r="Q9" s="80"/>
      <c r="R9" s="80"/>
      <c r="S9" s="80"/>
      <c r="T9" s="80"/>
      <c r="U9" s="80"/>
      <c r="V9" s="80"/>
    </row>
    <row r="10" spans="1:22" ht="15">
      <c r="A10" s="84" t="s">
        <v>3998</v>
      </c>
      <c r="B10" s="80">
        <v>2</v>
      </c>
      <c r="C10" s="80"/>
      <c r="D10" s="80"/>
      <c r="E10" s="80"/>
      <c r="F10" s="80"/>
      <c r="G10" s="86" t="s">
        <v>4010</v>
      </c>
      <c r="H10" s="80">
        <v>1</v>
      </c>
      <c r="I10" s="80"/>
      <c r="J10" s="80"/>
      <c r="K10" s="80"/>
      <c r="L10" s="80"/>
      <c r="M10" s="80"/>
      <c r="N10" s="80"/>
      <c r="O10" s="80"/>
      <c r="P10" s="80"/>
      <c r="Q10" s="80"/>
      <c r="R10" s="80"/>
      <c r="S10" s="80"/>
      <c r="T10" s="80"/>
      <c r="U10" s="80"/>
      <c r="V10" s="80"/>
    </row>
    <row r="11" spans="1:22" ht="15">
      <c r="A11" s="84" t="s">
        <v>3999</v>
      </c>
      <c r="B11" s="80">
        <v>2</v>
      </c>
      <c r="C11" s="80"/>
      <c r="D11" s="80"/>
      <c r="E11" s="80"/>
      <c r="F11" s="80"/>
      <c r="G11" s="86" t="s">
        <v>3995</v>
      </c>
      <c r="H11" s="80">
        <v>1</v>
      </c>
      <c r="I11" s="80"/>
      <c r="J11" s="80"/>
      <c r="K11" s="80"/>
      <c r="L11" s="80"/>
      <c r="M11" s="80"/>
      <c r="N11" s="80"/>
      <c r="O11" s="80"/>
      <c r="P11" s="80"/>
      <c r="Q11" s="80"/>
      <c r="R11" s="80"/>
      <c r="S11" s="80"/>
      <c r="T11" s="80"/>
      <c r="U11" s="80"/>
      <c r="V11" s="80"/>
    </row>
    <row r="14" spans="1:22" ht="14.4" customHeight="1">
      <c r="A14" s="13" t="s">
        <v>4031</v>
      </c>
      <c r="B14" s="13" t="s">
        <v>4000</v>
      </c>
      <c r="C14" s="13" t="s">
        <v>4032</v>
      </c>
      <c r="D14" s="13" t="s">
        <v>4004</v>
      </c>
      <c r="E14" s="13" t="s">
        <v>4033</v>
      </c>
      <c r="F14" s="13" t="s">
        <v>4006</v>
      </c>
      <c r="G14" s="13" t="s">
        <v>4034</v>
      </c>
      <c r="H14" s="13" t="s">
        <v>4012</v>
      </c>
      <c r="I14" s="13" t="s">
        <v>4035</v>
      </c>
      <c r="J14" s="13" t="s">
        <v>4014</v>
      </c>
      <c r="K14" s="13" t="s">
        <v>4036</v>
      </c>
      <c r="L14" s="13" t="s">
        <v>4016</v>
      </c>
      <c r="M14" s="80" t="s">
        <v>4037</v>
      </c>
      <c r="N14" s="80" t="s">
        <v>4018</v>
      </c>
      <c r="O14" s="13" t="s">
        <v>4038</v>
      </c>
      <c r="P14" s="13" t="s">
        <v>4020</v>
      </c>
      <c r="Q14" s="80" t="s">
        <v>4039</v>
      </c>
      <c r="R14" s="80" t="s">
        <v>4022</v>
      </c>
      <c r="S14" s="13" t="s">
        <v>4040</v>
      </c>
      <c r="T14" s="13" t="s">
        <v>4025</v>
      </c>
      <c r="U14" s="13" t="s">
        <v>4041</v>
      </c>
      <c r="V14" s="13" t="s">
        <v>4026</v>
      </c>
    </row>
    <row r="15" spans="1:22" ht="15">
      <c r="A15" s="80" t="s">
        <v>582</v>
      </c>
      <c r="B15" s="80">
        <v>106</v>
      </c>
      <c r="C15" s="80" t="s">
        <v>582</v>
      </c>
      <c r="D15" s="80">
        <v>86</v>
      </c>
      <c r="E15" s="80" t="s">
        <v>582</v>
      </c>
      <c r="F15" s="80">
        <v>4</v>
      </c>
      <c r="G15" s="80" t="s">
        <v>580</v>
      </c>
      <c r="H15" s="80">
        <v>12</v>
      </c>
      <c r="I15" s="80" t="s">
        <v>584</v>
      </c>
      <c r="J15" s="80">
        <v>1</v>
      </c>
      <c r="K15" s="80" t="s">
        <v>582</v>
      </c>
      <c r="L15" s="80">
        <v>5</v>
      </c>
      <c r="M15" s="80"/>
      <c r="N15" s="80"/>
      <c r="O15" s="80" t="s">
        <v>579</v>
      </c>
      <c r="P15" s="80">
        <v>3</v>
      </c>
      <c r="Q15" s="80"/>
      <c r="R15" s="80"/>
      <c r="S15" s="80" t="s">
        <v>586</v>
      </c>
      <c r="T15" s="80">
        <v>1</v>
      </c>
      <c r="U15" s="80" t="s">
        <v>582</v>
      </c>
      <c r="V15" s="80">
        <v>1</v>
      </c>
    </row>
    <row r="16" spans="1:22" ht="15">
      <c r="A16" s="81" t="s">
        <v>580</v>
      </c>
      <c r="B16" s="80">
        <v>16</v>
      </c>
      <c r="C16" s="80" t="s">
        <v>580</v>
      </c>
      <c r="D16" s="80">
        <v>4</v>
      </c>
      <c r="E16" s="80"/>
      <c r="F16" s="80"/>
      <c r="G16" s="80" t="s">
        <v>582</v>
      </c>
      <c r="H16" s="80">
        <v>7</v>
      </c>
      <c r="I16" s="80" t="s">
        <v>582</v>
      </c>
      <c r="J16" s="80">
        <v>1</v>
      </c>
      <c r="K16" s="80"/>
      <c r="L16" s="80"/>
      <c r="M16" s="80"/>
      <c r="N16" s="80"/>
      <c r="O16" s="80"/>
      <c r="P16" s="80"/>
      <c r="Q16" s="80"/>
      <c r="R16" s="80"/>
      <c r="S16" s="80"/>
      <c r="T16" s="80"/>
      <c r="U16" s="80"/>
      <c r="V16" s="80"/>
    </row>
    <row r="17" spans="1:22" ht="15">
      <c r="A17" s="81" t="s">
        <v>584</v>
      </c>
      <c r="B17" s="80">
        <v>4</v>
      </c>
      <c r="C17" s="80" t="s">
        <v>585</v>
      </c>
      <c r="D17" s="80">
        <v>1</v>
      </c>
      <c r="E17" s="80"/>
      <c r="F17" s="80"/>
      <c r="G17" s="80" t="s">
        <v>581</v>
      </c>
      <c r="H17" s="80">
        <v>1</v>
      </c>
      <c r="I17" s="80"/>
      <c r="J17" s="80"/>
      <c r="K17" s="80"/>
      <c r="L17" s="80"/>
      <c r="M17" s="80"/>
      <c r="N17" s="80"/>
      <c r="O17" s="80"/>
      <c r="P17" s="80"/>
      <c r="Q17" s="80"/>
      <c r="R17" s="80"/>
      <c r="S17" s="80"/>
      <c r="T17" s="80"/>
      <c r="U17" s="80"/>
      <c r="V17" s="80"/>
    </row>
    <row r="18" spans="1:22" ht="15">
      <c r="A18" s="81" t="s">
        <v>579</v>
      </c>
      <c r="B18" s="80">
        <v>3</v>
      </c>
      <c r="C18" s="80"/>
      <c r="D18" s="80"/>
      <c r="E18" s="80"/>
      <c r="F18" s="80"/>
      <c r="G18" s="80" t="s">
        <v>584</v>
      </c>
      <c r="H18" s="80">
        <v>1</v>
      </c>
      <c r="I18" s="80"/>
      <c r="J18" s="80"/>
      <c r="K18" s="80"/>
      <c r="L18" s="80"/>
      <c r="M18" s="80"/>
      <c r="N18" s="80"/>
      <c r="O18" s="80"/>
      <c r="P18" s="80"/>
      <c r="Q18" s="80"/>
      <c r="R18" s="80"/>
      <c r="S18" s="80"/>
      <c r="T18" s="80"/>
      <c r="U18" s="80"/>
      <c r="V18" s="80"/>
    </row>
    <row r="19" spans="1:22" ht="15">
      <c r="A19" s="81" t="s">
        <v>583</v>
      </c>
      <c r="B19" s="80">
        <v>2</v>
      </c>
      <c r="C19" s="80"/>
      <c r="D19" s="80"/>
      <c r="E19" s="80"/>
      <c r="F19" s="80"/>
      <c r="G19" s="80"/>
      <c r="H19" s="80"/>
      <c r="I19" s="80"/>
      <c r="J19" s="80"/>
      <c r="K19" s="80"/>
      <c r="L19" s="80"/>
      <c r="M19" s="80"/>
      <c r="N19" s="80"/>
      <c r="O19" s="80"/>
      <c r="P19" s="80"/>
      <c r="Q19" s="80"/>
      <c r="R19" s="80"/>
      <c r="S19" s="80"/>
      <c r="T19" s="80"/>
      <c r="U19" s="80"/>
      <c r="V19" s="80"/>
    </row>
    <row r="20" spans="1:22" ht="15">
      <c r="A20" s="81" t="s">
        <v>586</v>
      </c>
      <c r="B20" s="80">
        <v>1</v>
      </c>
      <c r="C20" s="80"/>
      <c r="D20" s="80"/>
      <c r="E20" s="80"/>
      <c r="F20" s="80"/>
      <c r="G20" s="80"/>
      <c r="H20" s="80"/>
      <c r="I20" s="80"/>
      <c r="J20" s="80"/>
      <c r="K20" s="80"/>
      <c r="L20" s="80"/>
      <c r="M20" s="80"/>
      <c r="N20" s="80"/>
      <c r="O20" s="80"/>
      <c r="P20" s="80"/>
      <c r="Q20" s="80"/>
      <c r="R20" s="80"/>
      <c r="S20" s="80"/>
      <c r="T20" s="80"/>
      <c r="U20" s="80"/>
      <c r="V20" s="80"/>
    </row>
    <row r="21" spans="1:22" ht="15">
      <c r="A21" s="81" t="s">
        <v>585</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581</v>
      </c>
      <c r="B22" s="80">
        <v>1</v>
      </c>
      <c r="C22" s="80"/>
      <c r="D22" s="80"/>
      <c r="E22" s="80"/>
      <c r="F22" s="80"/>
      <c r="G22" s="80"/>
      <c r="H22" s="80"/>
      <c r="I22" s="80"/>
      <c r="J22" s="80"/>
      <c r="K22" s="80"/>
      <c r="L22" s="80"/>
      <c r="M22" s="80"/>
      <c r="N22" s="80"/>
      <c r="O22" s="80"/>
      <c r="P22" s="80"/>
      <c r="Q22" s="80"/>
      <c r="R22" s="80"/>
      <c r="S22" s="80"/>
      <c r="T22" s="80"/>
      <c r="U22" s="80"/>
      <c r="V22" s="80"/>
    </row>
    <row r="25" spans="1:22" ht="14.4" customHeight="1">
      <c r="A25" s="13" t="s">
        <v>4046</v>
      </c>
      <c r="B25" s="13" t="s">
        <v>4000</v>
      </c>
      <c r="C25" s="13" t="s">
        <v>4052</v>
      </c>
      <c r="D25" s="13" t="s">
        <v>4004</v>
      </c>
      <c r="E25" s="80" t="s">
        <v>4053</v>
      </c>
      <c r="F25" s="80" t="s">
        <v>4006</v>
      </c>
      <c r="G25" s="13" t="s">
        <v>4054</v>
      </c>
      <c r="H25" s="13" t="s">
        <v>4012</v>
      </c>
      <c r="I25" s="13" t="s">
        <v>4055</v>
      </c>
      <c r="J25" s="13" t="s">
        <v>4014</v>
      </c>
      <c r="K25" s="80" t="s">
        <v>4056</v>
      </c>
      <c r="L25" s="80" t="s">
        <v>4016</v>
      </c>
      <c r="M25" s="80" t="s">
        <v>4057</v>
      </c>
      <c r="N25" s="80" t="s">
        <v>4018</v>
      </c>
      <c r="O25" s="13" t="s">
        <v>4058</v>
      </c>
      <c r="P25" s="13" t="s">
        <v>4020</v>
      </c>
      <c r="Q25" s="80" t="s">
        <v>4059</v>
      </c>
      <c r="R25" s="80" t="s">
        <v>4022</v>
      </c>
      <c r="S25" s="13" t="s">
        <v>4060</v>
      </c>
      <c r="T25" s="13" t="s">
        <v>4025</v>
      </c>
      <c r="U25" s="80" t="s">
        <v>4062</v>
      </c>
      <c r="V25" s="80" t="s">
        <v>4026</v>
      </c>
    </row>
    <row r="26" spans="1:22" ht="15">
      <c r="A26" s="80" t="s">
        <v>594</v>
      </c>
      <c r="B26" s="80">
        <v>35</v>
      </c>
      <c r="C26" s="80" t="s">
        <v>591</v>
      </c>
      <c r="D26" s="80">
        <v>6</v>
      </c>
      <c r="E26" s="80"/>
      <c r="F26" s="80"/>
      <c r="G26" s="80" t="s">
        <v>591</v>
      </c>
      <c r="H26" s="80">
        <v>9</v>
      </c>
      <c r="I26" s="80" t="s">
        <v>594</v>
      </c>
      <c r="J26" s="80">
        <v>26</v>
      </c>
      <c r="K26" s="80"/>
      <c r="L26" s="80"/>
      <c r="M26" s="80"/>
      <c r="N26" s="80"/>
      <c r="O26" s="80" t="s">
        <v>4047</v>
      </c>
      <c r="P26" s="80">
        <v>3</v>
      </c>
      <c r="Q26" s="80"/>
      <c r="R26" s="80"/>
      <c r="S26" s="80" t="s">
        <v>4061</v>
      </c>
      <c r="T26" s="80">
        <v>1</v>
      </c>
      <c r="U26" s="80"/>
      <c r="V26" s="80"/>
    </row>
    <row r="27" spans="1:22" ht="15">
      <c r="A27" s="81" t="s">
        <v>591</v>
      </c>
      <c r="B27" s="80">
        <v>20</v>
      </c>
      <c r="C27" s="80"/>
      <c r="D27" s="80"/>
      <c r="E27" s="80"/>
      <c r="F27" s="80"/>
      <c r="G27" s="80" t="s">
        <v>594</v>
      </c>
      <c r="H27" s="80">
        <v>7</v>
      </c>
      <c r="I27" s="80"/>
      <c r="J27" s="80"/>
      <c r="K27" s="80"/>
      <c r="L27" s="80"/>
      <c r="M27" s="80"/>
      <c r="N27" s="80"/>
      <c r="O27" s="80" t="s">
        <v>4048</v>
      </c>
      <c r="P27" s="80">
        <v>3</v>
      </c>
      <c r="Q27" s="80"/>
      <c r="R27" s="80"/>
      <c r="S27" s="80" t="s">
        <v>2741</v>
      </c>
      <c r="T27" s="80">
        <v>1</v>
      </c>
      <c r="U27" s="80"/>
      <c r="V27" s="80"/>
    </row>
    <row r="28" spans="1:22" ht="15">
      <c r="A28" s="81" t="s">
        <v>4047</v>
      </c>
      <c r="B28" s="80">
        <v>3</v>
      </c>
      <c r="C28" s="80"/>
      <c r="D28" s="80"/>
      <c r="E28" s="80"/>
      <c r="F28" s="80"/>
      <c r="G28" s="80" t="s">
        <v>588</v>
      </c>
      <c r="H28" s="80">
        <v>2</v>
      </c>
      <c r="I28" s="80"/>
      <c r="J28" s="80"/>
      <c r="K28" s="80"/>
      <c r="L28" s="80"/>
      <c r="M28" s="80"/>
      <c r="N28" s="80"/>
      <c r="O28" s="80" t="s">
        <v>591</v>
      </c>
      <c r="P28" s="80">
        <v>3</v>
      </c>
      <c r="Q28" s="80"/>
      <c r="R28" s="80"/>
      <c r="S28" s="80"/>
      <c r="T28" s="80"/>
      <c r="U28" s="80"/>
      <c r="V28" s="80"/>
    </row>
    <row r="29" spans="1:22" ht="15">
      <c r="A29" s="81" t="s">
        <v>4048</v>
      </c>
      <c r="B29" s="80">
        <v>3</v>
      </c>
      <c r="C29" s="80"/>
      <c r="D29" s="80"/>
      <c r="E29" s="80"/>
      <c r="F29" s="80"/>
      <c r="G29" s="80" t="s">
        <v>2726</v>
      </c>
      <c r="H29" s="80">
        <v>2</v>
      </c>
      <c r="I29" s="80"/>
      <c r="J29" s="80"/>
      <c r="K29" s="80"/>
      <c r="L29" s="80"/>
      <c r="M29" s="80"/>
      <c r="N29" s="80"/>
      <c r="O29" s="80" t="s">
        <v>4049</v>
      </c>
      <c r="P29" s="80">
        <v>3</v>
      </c>
      <c r="Q29" s="80"/>
      <c r="R29" s="80"/>
      <c r="S29" s="80"/>
      <c r="T29" s="80"/>
      <c r="U29" s="80"/>
      <c r="V29" s="80"/>
    </row>
    <row r="30" spans="1:22" ht="15">
      <c r="A30" s="81" t="s">
        <v>4049</v>
      </c>
      <c r="B30" s="80">
        <v>3</v>
      </c>
      <c r="C30" s="80"/>
      <c r="D30" s="80"/>
      <c r="E30" s="80"/>
      <c r="F30" s="80"/>
      <c r="G30" s="80" t="s">
        <v>2474</v>
      </c>
      <c r="H30" s="80">
        <v>2</v>
      </c>
      <c r="I30" s="80"/>
      <c r="J30" s="80"/>
      <c r="K30" s="80"/>
      <c r="L30" s="80"/>
      <c r="M30" s="80"/>
      <c r="N30" s="80"/>
      <c r="O30" s="80" t="s">
        <v>4050</v>
      </c>
      <c r="P30" s="80">
        <v>3</v>
      </c>
      <c r="Q30" s="80"/>
      <c r="R30" s="80"/>
      <c r="S30" s="80"/>
      <c r="T30" s="80"/>
      <c r="U30" s="80"/>
      <c r="V30" s="80"/>
    </row>
    <row r="31" spans="1:22" ht="15">
      <c r="A31" s="81" t="s">
        <v>4050</v>
      </c>
      <c r="B31" s="80">
        <v>3</v>
      </c>
      <c r="C31" s="80"/>
      <c r="D31" s="80"/>
      <c r="E31" s="80"/>
      <c r="F31" s="80"/>
      <c r="G31" s="80" t="s">
        <v>3224</v>
      </c>
      <c r="H31" s="80">
        <v>1</v>
      </c>
      <c r="I31" s="80"/>
      <c r="J31" s="80"/>
      <c r="K31" s="80"/>
      <c r="L31" s="80"/>
      <c r="M31" s="80"/>
      <c r="N31" s="80"/>
      <c r="O31" s="80"/>
      <c r="P31" s="80"/>
      <c r="Q31" s="80"/>
      <c r="R31" s="80"/>
      <c r="S31" s="80"/>
      <c r="T31" s="80"/>
      <c r="U31" s="80"/>
      <c r="V31" s="80"/>
    </row>
    <row r="32" spans="1:22" ht="15">
      <c r="A32" s="81" t="s">
        <v>2726</v>
      </c>
      <c r="B32" s="80">
        <v>2</v>
      </c>
      <c r="C32" s="80"/>
      <c r="D32" s="80"/>
      <c r="E32" s="80"/>
      <c r="F32" s="80"/>
      <c r="G32" s="80" t="s">
        <v>3209</v>
      </c>
      <c r="H32" s="80">
        <v>1</v>
      </c>
      <c r="I32" s="80"/>
      <c r="J32" s="80"/>
      <c r="K32" s="80"/>
      <c r="L32" s="80"/>
      <c r="M32" s="80"/>
      <c r="N32" s="80"/>
      <c r="O32" s="80"/>
      <c r="P32" s="80"/>
      <c r="Q32" s="80"/>
      <c r="R32" s="80"/>
      <c r="S32" s="80"/>
      <c r="T32" s="80"/>
      <c r="U32" s="80"/>
      <c r="V32" s="80"/>
    </row>
    <row r="33" spans="1:22" ht="15">
      <c r="A33" s="81" t="s">
        <v>2474</v>
      </c>
      <c r="B33" s="80">
        <v>2</v>
      </c>
      <c r="C33" s="80"/>
      <c r="D33" s="80"/>
      <c r="E33" s="80"/>
      <c r="F33" s="80"/>
      <c r="G33" s="80" t="s">
        <v>3210</v>
      </c>
      <c r="H33" s="80">
        <v>1</v>
      </c>
      <c r="I33" s="80"/>
      <c r="J33" s="80"/>
      <c r="K33" s="80"/>
      <c r="L33" s="80"/>
      <c r="M33" s="80"/>
      <c r="N33" s="80"/>
      <c r="O33" s="80"/>
      <c r="P33" s="80"/>
      <c r="Q33" s="80"/>
      <c r="R33" s="80"/>
      <c r="S33" s="80"/>
      <c r="T33" s="80"/>
      <c r="U33" s="80"/>
      <c r="V33" s="80"/>
    </row>
    <row r="34" spans="1:22" ht="15">
      <c r="A34" s="81" t="s">
        <v>4051</v>
      </c>
      <c r="B34" s="80">
        <v>2</v>
      </c>
      <c r="C34" s="80"/>
      <c r="D34" s="80"/>
      <c r="E34" s="80"/>
      <c r="F34" s="80"/>
      <c r="G34" s="80" t="s">
        <v>593</v>
      </c>
      <c r="H34" s="80">
        <v>1</v>
      </c>
      <c r="I34" s="80"/>
      <c r="J34" s="80"/>
      <c r="K34" s="80"/>
      <c r="L34" s="80"/>
      <c r="M34" s="80"/>
      <c r="N34" s="80"/>
      <c r="O34" s="80"/>
      <c r="P34" s="80"/>
      <c r="Q34" s="80"/>
      <c r="R34" s="80"/>
      <c r="S34" s="80"/>
      <c r="T34" s="80"/>
      <c r="U34" s="80"/>
      <c r="V34" s="80"/>
    </row>
    <row r="35" spans="1:22" ht="15">
      <c r="A35" s="81" t="s">
        <v>2732</v>
      </c>
      <c r="B35" s="80">
        <v>2</v>
      </c>
      <c r="C35" s="80"/>
      <c r="D35" s="80"/>
      <c r="E35" s="80"/>
      <c r="F35" s="80"/>
      <c r="G35" s="80" t="s">
        <v>3003</v>
      </c>
      <c r="H35" s="80">
        <v>1</v>
      </c>
      <c r="I35" s="80"/>
      <c r="J35" s="80"/>
      <c r="K35" s="80"/>
      <c r="L35" s="80"/>
      <c r="M35" s="80"/>
      <c r="N35" s="80"/>
      <c r="O35" s="80"/>
      <c r="P35" s="80"/>
      <c r="Q35" s="80"/>
      <c r="R35" s="80"/>
      <c r="S35" s="80"/>
      <c r="T35" s="80"/>
      <c r="U35" s="80"/>
      <c r="V35" s="80"/>
    </row>
    <row r="38" spans="1:22" ht="14.4" customHeight="1">
      <c r="A38" s="13" t="s">
        <v>4065</v>
      </c>
      <c r="B38" s="13" t="s">
        <v>4000</v>
      </c>
      <c r="C38" s="13" t="s">
        <v>4066</v>
      </c>
      <c r="D38" s="13" t="s">
        <v>4004</v>
      </c>
      <c r="E38" s="13" t="s">
        <v>4067</v>
      </c>
      <c r="F38" s="13" t="s">
        <v>4006</v>
      </c>
      <c r="G38" s="13" t="s">
        <v>4068</v>
      </c>
      <c r="H38" s="13" t="s">
        <v>4012</v>
      </c>
      <c r="I38" s="13" t="s">
        <v>4069</v>
      </c>
      <c r="J38" s="13" t="s">
        <v>4014</v>
      </c>
      <c r="K38" s="13" t="s">
        <v>4070</v>
      </c>
      <c r="L38" s="13" t="s">
        <v>4016</v>
      </c>
      <c r="M38" s="13" t="s">
        <v>4071</v>
      </c>
      <c r="N38" s="13" t="s">
        <v>4018</v>
      </c>
      <c r="O38" s="13" t="s">
        <v>4072</v>
      </c>
      <c r="P38" s="13" t="s">
        <v>4020</v>
      </c>
      <c r="Q38" s="13" t="s">
        <v>4073</v>
      </c>
      <c r="R38" s="13" t="s">
        <v>4022</v>
      </c>
      <c r="S38" s="80" t="s">
        <v>4074</v>
      </c>
      <c r="T38" s="80" t="s">
        <v>4025</v>
      </c>
      <c r="U38" s="13" t="s">
        <v>4075</v>
      </c>
      <c r="V38" s="13" t="s">
        <v>4026</v>
      </c>
    </row>
    <row r="39" spans="1:22" ht="15">
      <c r="A39" s="89" t="s">
        <v>591</v>
      </c>
      <c r="B39" s="89">
        <v>521</v>
      </c>
      <c r="C39" s="89" t="s">
        <v>591</v>
      </c>
      <c r="D39" s="89">
        <v>347</v>
      </c>
      <c r="E39" s="89" t="s">
        <v>591</v>
      </c>
      <c r="F39" s="89">
        <v>84</v>
      </c>
      <c r="G39" s="89" t="s">
        <v>591</v>
      </c>
      <c r="H39" s="89">
        <v>28</v>
      </c>
      <c r="I39" s="89" t="s">
        <v>591</v>
      </c>
      <c r="J39" s="89">
        <v>32</v>
      </c>
      <c r="K39" s="89" t="s">
        <v>2526</v>
      </c>
      <c r="L39" s="89">
        <v>5</v>
      </c>
      <c r="M39" s="89" t="s">
        <v>495</v>
      </c>
      <c r="N39" s="89">
        <v>3</v>
      </c>
      <c r="O39" s="89" t="s">
        <v>2552</v>
      </c>
      <c r="P39" s="89">
        <v>3</v>
      </c>
      <c r="Q39" s="89" t="s">
        <v>2659</v>
      </c>
      <c r="R39" s="89">
        <v>2</v>
      </c>
      <c r="S39" s="89"/>
      <c r="T39" s="89"/>
      <c r="U39" s="89" t="s">
        <v>591</v>
      </c>
      <c r="V39" s="89">
        <v>5</v>
      </c>
    </row>
    <row r="40" spans="1:22" ht="15">
      <c r="A40" s="85" t="s">
        <v>2474</v>
      </c>
      <c r="B40" s="89">
        <v>313</v>
      </c>
      <c r="C40" s="89" t="s">
        <v>2475</v>
      </c>
      <c r="D40" s="89">
        <v>172</v>
      </c>
      <c r="E40" s="89" t="s">
        <v>2474</v>
      </c>
      <c r="F40" s="89">
        <v>75</v>
      </c>
      <c r="G40" s="89" t="s">
        <v>2474</v>
      </c>
      <c r="H40" s="89">
        <v>19</v>
      </c>
      <c r="I40" s="89" t="s">
        <v>2474</v>
      </c>
      <c r="J40" s="89">
        <v>29</v>
      </c>
      <c r="K40" s="89" t="s">
        <v>2522</v>
      </c>
      <c r="L40" s="89">
        <v>5</v>
      </c>
      <c r="M40" s="89" t="s">
        <v>591</v>
      </c>
      <c r="N40" s="89">
        <v>3</v>
      </c>
      <c r="O40" s="89" t="s">
        <v>2553</v>
      </c>
      <c r="P40" s="89">
        <v>3</v>
      </c>
      <c r="Q40" s="89"/>
      <c r="R40" s="89"/>
      <c r="S40" s="89"/>
      <c r="T40" s="89"/>
      <c r="U40" s="89" t="s">
        <v>2475</v>
      </c>
      <c r="V40" s="89">
        <v>2</v>
      </c>
    </row>
    <row r="41" spans="1:22" ht="15">
      <c r="A41" s="85" t="s">
        <v>2475</v>
      </c>
      <c r="B41" s="89">
        <v>182</v>
      </c>
      <c r="C41" s="89" t="s">
        <v>2474</v>
      </c>
      <c r="D41" s="89">
        <v>172</v>
      </c>
      <c r="E41" s="89" t="s">
        <v>2494</v>
      </c>
      <c r="F41" s="89">
        <v>68</v>
      </c>
      <c r="G41" s="89" t="s">
        <v>2519</v>
      </c>
      <c r="H41" s="89">
        <v>9</v>
      </c>
      <c r="I41" s="89" t="s">
        <v>2477</v>
      </c>
      <c r="J41" s="89">
        <v>26</v>
      </c>
      <c r="K41" s="89" t="s">
        <v>591</v>
      </c>
      <c r="L41" s="89">
        <v>5</v>
      </c>
      <c r="M41" s="89" t="s">
        <v>2600</v>
      </c>
      <c r="N41" s="89">
        <v>2</v>
      </c>
      <c r="O41" s="89" t="s">
        <v>2554</v>
      </c>
      <c r="P41" s="89">
        <v>3</v>
      </c>
      <c r="Q41" s="89"/>
      <c r="R41" s="89"/>
      <c r="S41" s="89"/>
      <c r="T41" s="89"/>
      <c r="U41" s="89" t="s">
        <v>2474</v>
      </c>
      <c r="V41" s="89">
        <v>2</v>
      </c>
    </row>
    <row r="42" spans="1:22" ht="15">
      <c r="A42" s="85" t="s">
        <v>2476</v>
      </c>
      <c r="B42" s="89">
        <v>122</v>
      </c>
      <c r="C42" s="89" t="s">
        <v>2479</v>
      </c>
      <c r="D42" s="89">
        <v>86</v>
      </c>
      <c r="E42" s="89" t="s">
        <v>2492</v>
      </c>
      <c r="F42" s="89">
        <v>68</v>
      </c>
      <c r="G42" s="89" t="s">
        <v>2496</v>
      </c>
      <c r="H42" s="89">
        <v>7</v>
      </c>
      <c r="I42" s="89" t="s">
        <v>2478</v>
      </c>
      <c r="J42" s="89">
        <v>26</v>
      </c>
      <c r="K42" s="89" t="s">
        <v>2474</v>
      </c>
      <c r="L42" s="89">
        <v>5</v>
      </c>
      <c r="M42" s="89" t="s">
        <v>2602</v>
      </c>
      <c r="N42" s="89">
        <v>2</v>
      </c>
      <c r="O42" s="89" t="s">
        <v>2555</v>
      </c>
      <c r="P42" s="89">
        <v>3</v>
      </c>
      <c r="Q42" s="89"/>
      <c r="R42" s="89"/>
      <c r="S42" s="89"/>
      <c r="T42" s="89"/>
      <c r="U42" s="89"/>
      <c r="V42" s="89"/>
    </row>
    <row r="43" spans="1:22" ht="15">
      <c r="A43" s="85" t="s">
        <v>2477</v>
      </c>
      <c r="B43" s="89">
        <v>116</v>
      </c>
      <c r="C43" s="89" t="s">
        <v>2480</v>
      </c>
      <c r="D43" s="89">
        <v>86</v>
      </c>
      <c r="E43" s="89" t="s">
        <v>2495</v>
      </c>
      <c r="F43" s="89">
        <v>68</v>
      </c>
      <c r="G43" s="89" t="s">
        <v>2520</v>
      </c>
      <c r="H43" s="89">
        <v>3</v>
      </c>
      <c r="I43" s="89" t="s">
        <v>2476</v>
      </c>
      <c r="J43" s="89">
        <v>26</v>
      </c>
      <c r="K43" s="89" t="s">
        <v>2520</v>
      </c>
      <c r="L43" s="89">
        <v>5</v>
      </c>
      <c r="M43" s="89" t="s">
        <v>2603</v>
      </c>
      <c r="N43" s="89">
        <v>2</v>
      </c>
      <c r="O43" s="89" t="s">
        <v>2556</v>
      </c>
      <c r="P43" s="89">
        <v>3</v>
      </c>
      <c r="Q43" s="89"/>
      <c r="R43" s="89"/>
      <c r="S43" s="89"/>
      <c r="T43" s="89"/>
      <c r="U43" s="89"/>
      <c r="V43" s="89"/>
    </row>
    <row r="44" spans="1:22" ht="15">
      <c r="A44" s="85" t="s">
        <v>2478</v>
      </c>
      <c r="B44" s="89">
        <v>116</v>
      </c>
      <c r="C44" s="89" t="s">
        <v>2481</v>
      </c>
      <c r="D44" s="89">
        <v>86</v>
      </c>
      <c r="E44" s="89" t="s">
        <v>2493</v>
      </c>
      <c r="F44" s="89">
        <v>68</v>
      </c>
      <c r="G44" s="89" t="s">
        <v>2548</v>
      </c>
      <c r="H44" s="89">
        <v>3</v>
      </c>
      <c r="I44" s="89" t="s">
        <v>2496</v>
      </c>
      <c r="J44" s="89">
        <v>26</v>
      </c>
      <c r="K44" s="89" t="s">
        <v>2527</v>
      </c>
      <c r="L44" s="89">
        <v>5</v>
      </c>
      <c r="M44" s="89" t="s">
        <v>2474</v>
      </c>
      <c r="N44" s="89">
        <v>2</v>
      </c>
      <c r="O44" s="89" t="s">
        <v>2557</v>
      </c>
      <c r="P44" s="89">
        <v>3</v>
      </c>
      <c r="Q44" s="89"/>
      <c r="R44" s="89"/>
      <c r="S44" s="89"/>
      <c r="T44" s="89"/>
      <c r="U44" s="89"/>
      <c r="V44" s="89"/>
    </row>
    <row r="45" spans="1:22" ht="15">
      <c r="A45" s="85" t="s">
        <v>2479</v>
      </c>
      <c r="B45" s="89">
        <v>91</v>
      </c>
      <c r="C45" s="89" t="s">
        <v>2482</v>
      </c>
      <c r="D45" s="89">
        <v>86</v>
      </c>
      <c r="E45" s="89" t="s">
        <v>2475</v>
      </c>
      <c r="F45" s="89">
        <v>6</v>
      </c>
      <c r="G45" s="89" t="s">
        <v>2549</v>
      </c>
      <c r="H45" s="89">
        <v>3</v>
      </c>
      <c r="I45" s="89" t="s">
        <v>2497</v>
      </c>
      <c r="J45" s="89">
        <v>25</v>
      </c>
      <c r="K45" s="89" t="s">
        <v>2476</v>
      </c>
      <c r="L45" s="89">
        <v>5</v>
      </c>
      <c r="M45" s="89" t="s">
        <v>2624</v>
      </c>
      <c r="N45" s="89">
        <v>2</v>
      </c>
      <c r="O45" s="89" t="s">
        <v>2558</v>
      </c>
      <c r="P45" s="89">
        <v>3</v>
      </c>
      <c r="Q45" s="89"/>
      <c r="R45" s="89"/>
      <c r="S45" s="89"/>
      <c r="T45" s="89"/>
      <c r="U45" s="89"/>
      <c r="V45" s="89"/>
    </row>
    <row r="46" spans="1:22" ht="15">
      <c r="A46" s="85" t="s">
        <v>2480</v>
      </c>
      <c r="B46" s="89">
        <v>91</v>
      </c>
      <c r="C46" s="89" t="s">
        <v>2483</v>
      </c>
      <c r="D46" s="89">
        <v>86</v>
      </c>
      <c r="E46" s="89" t="s">
        <v>2479</v>
      </c>
      <c r="F46" s="89">
        <v>3</v>
      </c>
      <c r="G46" s="89" t="s">
        <v>2647</v>
      </c>
      <c r="H46" s="89">
        <v>2</v>
      </c>
      <c r="I46" s="89" t="s">
        <v>2500</v>
      </c>
      <c r="J46" s="89">
        <v>25</v>
      </c>
      <c r="K46" s="89" t="s">
        <v>2532</v>
      </c>
      <c r="L46" s="89">
        <v>5</v>
      </c>
      <c r="M46" s="89"/>
      <c r="N46" s="89"/>
      <c r="O46" s="89" t="s">
        <v>2519</v>
      </c>
      <c r="P46" s="89">
        <v>3</v>
      </c>
      <c r="Q46" s="89"/>
      <c r="R46" s="89"/>
      <c r="S46" s="89"/>
      <c r="T46" s="89"/>
      <c r="U46" s="89"/>
      <c r="V46" s="89"/>
    </row>
    <row r="47" spans="1:22" ht="15">
      <c r="A47" s="85" t="s">
        <v>2481</v>
      </c>
      <c r="B47" s="89">
        <v>91</v>
      </c>
      <c r="C47" s="89" t="s">
        <v>2484</v>
      </c>
      <c r="D47" s="89">
        <v>86</v>
      </c>
      <c r="E47" s="89" t="s">
        <v>2480</v>
      </c>
      <c r="F47" s="89">
        <v>3</v>
      </c>
      <c r="G47" s="89" t="s">
        <v>2648</v>
      </c>
      <c r="H47" s="89">
        <v>2</v>
      </c>
      <c r="I47" s="89" t="s">
        <v>2498</v>
      </c>
      <c r="J47" s="89">
        <v>25</v>
      </c>
      <c r="K47" s="89" t="s">
        <v>2521</v>
      </c>
      <c r="L47" s="89">
        <v>5</v>
      </c>
      <c r="M47" s="89"/>
      <c r="N47" s="89"/>
      <c r="O47" s="89" t="s">
        <v>2559</v>
      </c>
      <c r="P47" s="89">
        <v>3</v>
      </c>
      <c r="Q47" s="89"/>
      <c r="R47" s="89"/>
      <c r="S47" s="89"/>
      <c r="T47" s="89"/>
      <c r="U47" s="89"/>
      <c r="V47" s="89"/>
    </row>
    <row r="48" spans="1:22" ht="15">
      <c r="A48" s="85" t="s">
        <v>2482</v>
      </c>
      <c r="B48" s="89">
        <v>91</v>
      </c>
      <c r="C48" s="89" t="s">
        <v>2485</v>
      </c>
      <c r="D48" s="89">
        <v>86</v>
      </c>
      <c r="E48" s="89" t="s">
        <v>2481</v>
      </c>
      <c r="F48" s="89">
        <v>3</v>
      </c>
      <c r="G48" s="89" t="s">
        <v>2649</v>
      </c>
      <c r="H48" s="89">
        <v>2</v>
      </c>
      <c r="I48" s="89" t="s">
        <v>2501</v>
      </c>
      <c r="J48" s="89">
        <v>25</v>
      </c>
      <c r="K48" s="89" t="s">
        <v>2523</v>
      </c>
      <c r="L48" s="89">
        <v>5</v>
      </c>
      <c r="M48" s="89"/>
      <c r="N48" s="89"/>
      <c r="O48" s="89" t="s">
        <v>2560</v>
      </c>
      <c r="P48" s="89">
        <v>3</v>
      </c>
      <c r="Q48" s="89"/>
      <c r="R48" s="89"/>
      <c r="S48" s="89"/>
      <c r="T48" s="89"/>
      <c r="U48" s="89"/>
      <c r="V48" s="89"/>
    </row>
    <row r="51" spans="1:22" ht="14.4" customHeight="1">
      <c r="A51" s="13" t="s">
        <v>4090</v>
      </c>
      <c r="B51" s="13" t="s">
        <v>4000</v>
      </c>
      <c r="C51" s="13" t="s">
        <v>4101</v>
      </c>
      <c r="D51" s="13" t="s">
        <v>4004</v>
      </c>
      <c r="E51" s="13" t="s">
        <v>4103</v>
      </c>
      <c r="F51" s="13" t="s">
        <v>4006</v>
      </c>
      <c r="G51" s="13" t="s">
        <v>4108</v>
      </c>
      <c r="H51" s="13" t="s">
        <v>4012</v>
      </c>
      <c r="I51" s="13" t="s">
        <v>4118</v>
      </c>
      <c r="J51" s="13" t="s">
        <v>4014</v>
      </c>
      <c r="K51" s="13" t="s">
        <v>4127</v>
      </c>
      <c r="L51" s="13" t="s">
        <v>4016</v>
      </c>
      <c r="M51" s="13" t="s">
        <v>4137</v>
      </c>
      <c r="N51" s="13" t="s">
        <v>4018</v>
      </c>
      <c r="O51" s="13" t="s">
        <v>4139</v>
      </c>
      <c r="P51" s="13" t="s">
        <v>4020</v>
      </c>
      <c r="Q51" s="80" t="s">
        <v>4150</v>
      </c>
      <c r="R51" s="80" t="s">
        <v>4022</v>
      </c>
      <c r="S51" s="80" t="s">
        <v>4151</v>
      </c>
      <c r="T51" s="80" t="s">
        <v>4025</v>
      </c>
      <c r="U51" s="13" t="s">
        <v>4152</v>
      </c>
      <c r="V51" s="13" t="s">
        <v>4026</v>
      </c>
    </row>
    <row r="52" spans="1:22" ht="15">
      <c r="A52" s="89" t="s">
        <v>4091</v>
      </c>
      <c r="B52" s="89">
        <v>311</v>
      </c>
      <c r="C52" s="89" t="s">
        <v>4091</v>
      </c>
      <c r="D52" s="89">
        <v>172</v>
      </c>
      <c r="E52" s="89" t="s">
        <v>4091</v>
      </c>
      <c r="F52" s="89">
        <v>75</v>
      </c>
      <c r="G52" s="89" t="s">
        <v>4091</v>
      </c>
      <c r="H52" s="89">
        <v>17</v>
      </c>
      <c r="I52" s="89" t="s">
        <v>4091</v>
      </c>
      <c r="J52" s="89">
        <v>29</v>
      </c>
      <c r="K52" s="89" t="s">
        <v>4128</v>
      </c>
      <c r="L52" s="89">
        <v>5</v>
      </c>
      <c r="M52" s="89" t="s">
        <v>4138</v>
      </c>
      <c r="N52" s="89">
        <v>2</v>
      </c>
      <c r="O52" s="89" t="s">
        <v>4140</v>
      </c>
      <c r="P52" s="89">
        <v>3</v>
      </c>
      <c r="Q52" s="89"/>
      <c r="R52" s="89"/>
      <c r="S52" s="89"/>
      <c r="T52" s="89"/>
      <c r="U52" s="89" t="s">
        <v>4091</v>
      </c>
      <c r="V52" s="89">
        <v>2</v>
      </c>
    </row>
    <row r="53" spans="1:22" ht="15">
      <c r="A53" s="85" t="s">
        <v>4092</v>
      </c>
      <c r="B53" s="89">
        <v>116</v>
      </c>
      <c r="C53" s="89" t="s">
        <v>4093</v>
      </c>
      <c r="D53" s="89">
        <v>86</v>
      </c>
      <c r="E53" s="89" t="s">
        <v>4104</v>
      </c>
      <c r="F53" s="89">
        <v>68</v>
      </c>
      <c r="G53" s="89" t="s">
        <v>4109</v>
      </c>
      <c r="H53" s="89">
        <v>2</v>
      </c>
      <c r="I53" s="89" t="s">
        <v>4092</v>
      </c>
      <c r="J53" s="89">
        <v>26</v>
      </c>
      <c r="K53" s="89" t="s">
        <v>4129</v>
      </c>
      <c r="L53" s="89">
        <v>5</v>
      </c>
      <c r="M53" s="89" t="s">
        <v>4091</v>
      </c>
      <c r="N53" s="89">
        <v>2</v>
      </c>
      <c r="O53" s="89" t="s">
        <v>4141</v>
      </c>
      <c r="P53" s="89">
        <v>3</v>
      </c>
      <c r="Q53" s="89"/>
      <c r="R53" s="89"/>
      <c r="S53" s="89"/>
      <c r="T53" s="89"/>
      <c r="U53" s="89"/>
      <c r="V53" s="89"/>
    </row>
    <row r="54" spans="1:22" ht="15">
      <c r="A54" s="85" t="s">
        <v>4093</v>
      </c>
      <c r="B54" s="89">
        <v>91</v>
      </c>
      <c r="C54" s="89" t="s">
        <v>4094</v>
      </c>
      <c r="D54" s="89">
        <v>86</v>
      </c>
      <c r="E54" s="89" t="s">
        <v>4105</v>
      </c>
      <c r="F54" s="89">
        <v>68</v>
      </c>
      <c r="G54" s="89" t="s">
        <v>4110</v>
      </c>
      <c r="H54" s="89">
        <v>2</v>
      </c>
      <c r="I54" s="89" t="s">
        <v>4119</v>
      </c>
      <c r="J54" s="89">
        <v>25</v>
      </c>
      <c r="K54" s="89" t="s">
        <v>4091</v>
      </c>
      <c r="L54" s="89">
        <v>5</v>
      </c>
      <c r="M54" s="89"/>
      <c r="N54" s="89"/>
      <c r="O54" s="89" t="s">
        <v>4142</v>
      </c>
      <c r="P54" s="89">
        <v>3</v>
      </c>
      <c r="Q54" s="89"/>
      <c r="R54" s="89"/>
      <c r="S54" s="89"/>
      <c r="T54" s="89"/>
      <c r="U54" s="89"/>
      <c r="V54" s="89"/>
    </row>
    <row r="55" spans="1:22" ht="15">
      <c r="A55" s="85" t="s">
        <v>4094</v>
      </c>
      <c r="B55" s="89">
        <v>91</v>
      </c>
      <c r="C55" s="89" t="s">
        <v>4095</v>
      </c>
      <c r="D55" s="89">
        <v>86</v>
      </c>
      <c r="E55" s="89" t="s">
        <v>4106</v>
      </c>
      <c r="F55" s="89">
        <v>68</v>
      </c>
      <c r="G55" s="89" t="s">
        <v>4111</v>
      </c>
      <c r="H55" s="89">
        <v>2</v>
      </c>
      <c r="I55" s="89" t="s">
        <v>4120</v>
      </c>
      <c r="J55" s="89">
        <v>25</v>
      </c>
      <c r="K55" s="89" t="s">
        <v>4130</v>
      </c>
      <c r="L55" s="89">
        <v>5</v>
      </c>
      <c r="M55" s="89"/>
      <c r="N55" s="89"/>
      <c r="O55" s="89" t="s">
        <v>4143</v>
      </c>
      <c r="P55" s="89">
        <v>3</v>
      </c>
      <c r="Q55" s="89"/>
      <c r="R55" s="89"/>
      <c r="S55" s="89"/>
      <c r="T55" s="89"/>
      <c r="U55" s="89"/>
      <c r="V55" s="89"/>
    </row>
    <row r="56" spans="1:22" ht="15">
      <c r="A56" s="85" t="s">
        <v>4095</v>
      </c>
      <c r="B56" s="89">
        <v>91</v>
      </c>
      <c r="C56" s="89" t="s">
        <v>4096</v>
      </c>
      <c r="D56" s="89">
        <v>86</v>
      </c>
      <c r="E56" s="89" t="s">
        <v>4107</v>
      </c>
      <c r="F56" s="89">
        <v>68</v>
      </c>
      <c r="G56" s="89" t="s">
        <v>4112</v>
      </c>
      <c r="H56" s="89">
        <v>2</v>
      </c>
      <c r="I56" s="89" t="s">
        <v>4121</v>
      </c>
      <c r="J56" s="89">
        <v>25</v>
      </c>
      <c r="K56" s="89" t="s">
        <v>4131</v>
      </c>
      <c r="L56" s="89">
        <v>5</v>
      </c>
      <c r="M56" s="89"/>
      <c r="N56" s="89"/>
      <c r="O56" s="89" t="s">
        <v>4144</v>
      </c>
      <c r="P56" s="89">
        <v>3</v>
      </c>
      <c r="Q56" s="89"/>
      <c r="R56" s="89"/>
      <c r="S56" s="89"/>
      <c r="T56" s="89"/>
      <c r="U56" s="89"/>
      <c r="V56" s="89"/>
    </row>
    <row r="57" spans="1:22" ht="15">
      <c r="A57" s="85" t="s">
        <v>4096</v>
      </c>
      <c r="B57" s="89">
        <v>91</v>
      </c>
      <c r="C57" s="89" t="s">
        <v>4097</v>
      </c>
      <c r="D57" s="89">
        <v>86</v>
      </c>
      <c r="E57" s="89" t="s">
        <v>4093</v>
      </c>
      <c r="F57" s="89">
        <v>3</v>
      </c>
      <c r="G57" s="89" t="s">
        <v>4113</v>
      </c>
      <c r="H57" s="89">
        <v>2</v>
      </c>
      <c r="I57" s="89" t="s">
        <v>4122</v>
      </c>
      <c r="J57" s="89">
        <v>25</v>
      </c>
      <c r="K57" s="89" t="s">
        <v>4132</v>
      </c>
      <c r="L57" s="89">
        <v>5</v>
      </c>
      <c r="M57" s="89"/>
      <c r="N57" s="89"/>
      <c r="O57" s="89" t="s">
        <v>4145</v>
      </c>
      <c r="P57" s="89">
        <v>3</v>
      </c>
      <c r="Q57" s="89"/>
      <c r="R57" s="89"/>
      <c r="S57" s="89"/>
      <c r="T57" s="89"/>
      <c r="U57" s="89"/>
      <c r="V57" s="89"/>
    </row>
    <row r="58" spans="1:22" ht="15">
      <c r="A58" s="85" t="s">
        <v>4097</v>
      </c>
      <c r="B58" s="89">
        <v>91</v>
      </c>
      <c r="C58" s="89" t="s">
        <v>4098</v>
      </c>
      <c r="D58" s="89">
        <v>86</v>
      </c>
      <c r="E58" s="89" t="s">
        <v>4094</v>
      </c>
      <c r="F58" s="89">
        <v>3</v>
      </c>
      <c r="G58" s="89" t="s">
        <v>4114</v>
      </c>
      <c r="H58" s="89">
        <v>2</v>
      </c>
      <c r="I58" s="89" t="s">
        <v>4123</v>
      </c>
      <c r="J58" s="89">
        <v>25</v>
      </c>
      <c r="K58" s="89" t="s">
        <v>4133</v>
      </c>
      <c r="L58" s="89">
        <v>5</v>
      </c>
      <c r="M58" s="89"/>
      <c r="N58" s="89"/>
      <c r="O58" s="89" t="s">
        <v>4146</v>
      </c>
      <c r="P58" s="89">
        <v>3</v>
      </c>
      <c r="Q58" s="89"/>
      <c r="R58" s="89"/>
      <c r="S58" s="89"/>
      <c r="T58" s="89"/>
      <c r="U58" s="89"/>
      <c r="V58" s="89"/>
    </row>
    <row r="59" spans="1:22" ht="15">
      <c r="A59" s="85" t="s">
        <v>4098</v>
      </c>
      <c r="B59" s="89">
        <v>91</v>
      </c>
      <c r="C59" s="89" t="s">
        <v>4099</v>
      </c>
      <c r="D59" s="89">
        <v>86</v>
      </c>
      <c r="E59" s="89" t="s">
        <v>4095</v>
      </c>
      <c r="F59" s="89">
        <v>3</v>
      </c>
      <c r="G59" s="89" t="s">
        <v>4115</v>
      </c>
      <c r="H59" s="89">
        <v>2</v>
      </c>
      <c r="I59" s="89" t="s">
        <v>4124</v>
      </c>
      <c r="J59" s="89">
        <v>25</v>
      </c>
      <c r="K59" s="89" t="s">
        <v>4134</v>
      </c>
      <c r="L59" s="89">
        <v>5</v>
      </c>
      <c r="M59" s="89"/>
      <c r="N59" s="89"/>
      <c r="O59" s="89" t="s">
        <v>4147</v>
      </c>
      <c r="P59" s="89">
        <v>3</v>
      </c>
      <c r="Q59" s="89"/>
      <c r="R59" s="89"/>
      <c r="S59" s="89"/>
      <c r="T59" s="89"/>
      <c r="U59" s="89"/>
      <c r="V59" s="89"/>
    </row>
    <row r="60" spans="1:22" ht="15">
      <c r="A60" s="85" t="s">
        <v>4099</v>
      </c>
      <c r="B60" s="89">
        <v>91</v>
      </c>
      <c r="C60" s="89" t="s">
        <v>4100</v>
      </c>
      <c r="D60" s="89">
        <v>86</v>
      </c>
      <c r="E60" s="89" t="s">
        <v>4096</v>
      </c>
      <c r="F60" s="89">
        <v>3</v>
      </c>
      <c r="G60" s="89" t="s">
        <v>4116</v>
      </c>
      <c r="H60" s="89">
        <v>2</v>
      </c>
      <c r="I60" s="89" t="s">
        <v>4125</v>
      </c>
      <c r="J60" s="89">
        <v>25</v>
      </c>
      <c r="K60" s="89" t="s">
        <v>4135</v>
      </c>
      <c r="L60" s="89">
        <v>5</v>
      </c>
      <c r="M60" s="89"/>
      <c r="N60" s="89"/>
      <c r="O60" s="89" t="s">
        <v>4148</v>
      </c>
      <c r="P60" s="89">
        <v>3</v>
      </c>
      <c r="Q60" s="89"/>
      <c r="R60" s="89"/>
      <c r="S60" s="89"/>
      <c r="T60" s="89"/>
      <c r="U60" s="89"/>
      <c r="V60" s="89"/>
    </row>
    <row r="61" spans="1:22" ht="15">
      <c r="A61" s="85" t="s">
        <v>4100</v>
      </c>
      <c r="B61" s="89">
        <v>91</v>
      </c>
      <c r="C61" s="89" t="s">
        <v>4102</v>
      </c>
      <c r="D61" s="89">
        <v>86</v>
      </c>
      <c r="E61" s="89" t="s">
        <v>4097</v>
      </c>
      <c r="F61" s="89">
        <v>3</v>
      </c>
      <c r="G61" s="89" t="s">
        <v>4117</v>
      </c>
      <c r="H61" s="89">
        <v>2</v>
      </c>
      <c r="I61" s="89" t="s">
        <v>4126</v>
      </c>
      <c r="J61" s="89">
        <v>25</v>
      </c>
      <c r="K61" s="89" t="s">
        <v>4136</v>
      </c>
      <c r="L61" s="89">
        <v>5</v>
      </c>
      <c r="M61" s="89"/>
      <c r="N61" s="89"/>
      <c r="O61" s="89" t="s">
        <v>4149</v>
      </c>
      <c r="P61" s="89">
        <v>3</v>
      </c>
      <c r="Q61" s="89"/>
      <c r="R61" s="89"/>
      <c r="S61" s="89"/>
      <c r="T61" s="89"/>
      <c r="U61" s="89"/>
      <c r="V61" s="89"/>
    </row>
    <row r="64" spans="1:22" ht="14.4" customHeight="1">
      <c r="A64" s="13" t="s">
        <v>4166</v>
      </c>
      <c r="B64" s="13" t="s">
        <v>4000</v>
      </c>
      <c r="C64" s="13" t="s">
        <v>4168</v>
      </c>
      <c r="D64" s="13" t="s">
        <v>4004</v>
      </c>
      <c r="E64" s="13" t="s">
        <v>4169</v>
      </c>
      <c r="F64" s="13" t="s">
        <v>4006</v>
      </c>
      <c r="G64" s="80" t="s">
        <v>4172</v>
      </c>
      <c r="H64" s="80" t="s">
        <v>4012</v>
      </c>
      <c r="I64" s="13" t="s">
        <v>4174</v>
      </c>
      <c r="J64" s="13" t="s">
        <v>4014</v>
      </c>
      <c r="K64" s="80" t="s">
        <v>4176</v>
      </c>
      <c r="L64" s="80" t="s">
        <v>4016</v>
      </c>
      <c r="M64" s="13" t="s">
        <v>4178</v>
      </c>
      <c r="N64" s="13" t="s">
        <v>4018</v>
      </c>
      <c r="O64" s="80" t="s">
        <v>4180</v>
      </c>
      <c r="P64" s="80" t="s">
        <v>4020</v>
      </c>
      <c r="Q64" s="13" t="s">
        <v>4182</v>
      </c>
      <c r="R64" s="13" t="s">
        <v>4022</v>
      </c>
      <c r="S64" s="80" t="s">
        <v>4184</v>
      </c>
      <c r="T64" s="80" t="s">
        <v>4025</v>
      </c>
      <c r="U64" s="13" t="s">
        <v>4186</v>
      </c>
      <c r="V64" s="13" t="s">
        <v>4026</v>
      </c>
    </row>
    <row r="65" spans="1:22" ht="15">
      <c r="A65" s="80" t="s">
        <v>479</v>
      </c>
      <c r="B65" s="80">
        <v>4</v>
      </c>
      <c r="C65" s="80" t="s">
        <v>479</v>
      </c>
      <c r="D65" s="80">
        <v>4</v>
      </c>
      <c r="E65" s="80" t="s">
        <v>430</v>
      </c>
      <c r="F65" s="80">
        <v>2</v>
      </c>
      <c r="G65" s="80"/>
      <c r="H65" s="80"/>
      <c r="I65" s="80" t="s">
        <v>483</v>
      </c>
      <c r="J65" s="80">
        <v>2</v>
      </c>
      <c r="K65" s="80"/>
      <c r="L65" s="80"/>
      <c r="M65" s="80" t="s">
        <v>495</v>
      </c>
      <c r="N65" s="80">
        <v>3</v>
      </c>
      <c r="O65" s="80"/>
      <c r="P65" s="80"/>
      <c r="Q65" s="80" t="s">
        <v>487</v>
      </c>
      <c r="R65" s="80">
        <v>1</v>
      </c>
      <c r="S65" s="80"/>
      <c r="T65" s="80"/>
      <c r="U65" s="80" t="s">
        <v>498</v>
      </c>
      <c r="V65" s="80">
        <v>1</v>
      </c>
    </row>
    <row r="66" spans="1:22" ht="15">
      <c r="A66" s="81" t="s">
        <v>495</v>
      </c>
      <c r="B66" s="80">
        <v>3</v>
      </c>
      <c r="C66" s="80"/>
      <c r="D66" s="80"/>
      <c r="E66" s="80"/>
      <c r="F66" s="80"/>
      <c r="G66" s="80"/>
      <c r="H66" s="80"/>
      <c r="I66" s="80"/>
      <c r="J66" s="80"/>
      <c r="K66" s="80"/>
      <c r="L66" s="80"/>
      <c r="M66" s="80"/>
      <c r="N66" s="80"/>
      <c r="O66" s="80"/>
      <c r="P66" s="80"/>
      <c r="Q66" s="80"/>
      <c r="R66" s="80"/>
      <c r="S66" s="80"/>
      <c r="T66" s="80"/>
      <c r="U66" s="80"/>
      <c r="V66" s="80"/>
    </row>
    <row r="67" spans="1:22" ht="15">
      <c r="A67" s="81" t="s">
        <v>483</v>
      </c>
      <c r="B67" s="80">
        <v>2</v>
      </c>
      <c r="C67" s="80"/>
      <c r="D67" s="80"/>
      <c r="E67" s="80"/>
      <c r="F67" s="80"/>
      <c r="G67" s="80"/>
      <c r="H67" s="80"/>
      <c r="I67" s="80"/>
      <c r="J67" s="80"/>
      <c r="K67" s="80"/>
      <c r="L67" s="80"/>
      <c r="M67" s="80"/>
      <c r="N67" s="80"/>
      <c r="O67" s="80"/>
      <c r="P67" s="80"/>
      <c r="Q67" s="80"/>
      <c r="R67" s="80"/>
      <c r="S67" s="80"/>
      <c r="T67" s="80"/>
      <c r="U67" s="80"/>
      <c r="V67" s="80"/>
    </row>
    <row r="68" spans="1:22" ht="15">
      <c r="A68" s="81" t="s">
        <v>430</v>
      </c>
      <c r="B68" s="80">
        <v>2</v>
      </c>
      <c r="C68" s="80"/>
      <c r="D68" s="80"/>
      <c r="E68" s="80"/>
      <c r="F68" s="80"/>
      <c r="G68" s="80"/>
      <c r="H68" s="80"/>
      <c r="I68" s="80"/>
      <c r="J68" s="80"/>
      <c r="K68" s="80"/>
      <c r="L68" s="80"/>
      <c r="M68" s="80"/>
      <c r="N68" s="80"/>
      <c r="O68" s="80"/>
      <c r="P68" s="80"/>
      <c r="Q68" s="80"/>
      <c r="R68" s="80"/>
      <c r="S68" s="80"/>
      <c r="T68" s="80"/>
      <c r="U68" s="80"/>
      <c r="V68" s="80"/>
    </row>
    <row r="69" spans="1:22" ht="15">
      <c r="A69" s="81" t="s">
        <v>498</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497</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496</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494</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493</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492</v>
      </c>
      <c r="B74" s="80">
        <v>1</v>
      </c>
      <c r="C74" s="80"/>
      <c r="D74" s="80"/>
      <c r="E74" s="80"/>
      <c r="F74" s="80"/>
      <c r="G74" s="80"/>
      <c r="H74" s="80"/>
      <c r="I74" s="80"/>
      <c r="J74" s="80"/>
      <c r="K74" s="80"/>
      <c r="L74" s="80"/>
      <c r="M74" s="80"/>
      <c r="N74" s="80"/>
      <c r="O74" s="80"/>
      <c r="P74" s="80"/>
      <c r="Q74" s="80"/>
      <c r="R74" s="80"/>
      <c r="S74" s="80"/>
      <c r="T74" s="80"/>
      <c r="U74" s="80"/>
      <c r="V74" s="80"/>
    </row>
    <row r="77" spans="1:22" ht="14.4" customHeight="1">
      <c r="A77" s="13" t="s">
        <v>4167</v>
      </c>
      <c r="B77" s="13" t="s">
        <v>4000</v>
      </c>
      <c r="C77" s="13" t="s">
        <v>4170</v>
      </c>
      <c r="D77" s="13" t="s">
        <v>4004</v>
      </c>
      <c r="E77" s="80" t="s">
        <v>4171</v>
      </c>
      <c r="F77" s="80" t="s">
        <v>4006</v>
      </c>
      <c r="G77" s="80" t="s">
        <v>4173</v>
      </c>
      <c r="H77" s="80" t="s">
        <v>4012</v>
      </c>
      <c r="I77" s="13" t="s">
        <v>4175</v>
      </c>
      <c r="J77" s="13" t="s">
        <v>4014</v>
      </c>
      <c r="K77" s="80" t="s">
        <v>4177</v>
      </c>
      <c r="L77" s="80" t="s">
        <v>4016</v>
      </c>
      <c r="M77" s="80" t="s">
        <v>4179</v>
      </c>
      <c r="N77" s="80" t="s">
        <v>4018</v>
      </c>
      <c r="O77" s="13" t="s">
        <v>4181</v>
      </c>
      <c r="P77" s="13" t="s">
        <v>4020</v>
      </c>
      <c r="Q77" s="13" t="s">
        <v>4183</v>
      </c>
      <c r="R77" s="13" t="s">
        <v>4022</v>
      </c>
      <c r="S77" s="13" t="s">
        <v>4185</v>
      </c>
      <c r="T77" s="13" t="s">
        <v>4025</v>
      </c>
      <c r="U77" s="80" t="s">
        <v>4187</v>
      </c>
      <c r="V77" s="80" t="s">
        <v>4026</v>
      </c>
    </row>
    <row r="78" spans="1:22" ht="15">
      <c r="A78" s="80" t="s">
        <v>479</v>
      </c>
      <c r="B78" s="80">
        <v>7</v>
      </c>
      <c r="C78" s="80" t="s">
        <v>479</v>
      </c>
      <c r="D78" s="80">
        <v>5</v>
      </c>
      <c r="E78" s="80"/>
      <c r="F78" s="80"/>
      <c r="G78" s="80"/>
      <c r="H78" s="80"/>
      <c r="I78" s="80" t="s">
        <v>479</v>
      </c>
      <c r="J78" s="80">
        <v>2</v>
      </c>
      <c r="K78" s="80"/>
      <c r="L78" s="80"/>
      <c r="M78" s="80"/>
      <c r="N78" s="80"/>
      <c r="O78" s="80" t="s">
        <v>490</v>
      </c>
      <c r="P78" s="80">
        <v>3</v>
      </c>
      <c r="Q78" s="80" t="s">
        <v>486</v>
      </c>
      <c r="R78" s="80">
        <v>1</v>
      </c>
      <c r="S78" s="80" t="s">
        <v>499</v>
      </c>
      <c r="T78" s="80">
        <v>1</v>
      </c>
      <c r="U78" s="80"/>
      <c r="V78" s="80"/>
    </row>
    <row r="79" spans="1:22" ht="15">
      <c r="A79" s="81" t="s">
        <v>490</v>
      </c>
      <c r="B79" s="80">
        <v>3</v>
      </c>
      <c r="C79" s="80"/>
      <c r="D79" s="80"/>
      <c r="E79" s="80"/>
      <c r="F79" s="80"/>
      <c r="G79" s="80"/>
      <c r="H79" s="80"/>
      <c r="I79" s="80"/>
      <c r="J79" s="80"/>
      <c r="K79" s="80"/>
      <c r="L79" s="80"/>
      <c r="M79" s="80"/>
      <c r="N79" s="80"/>
      <c r="O79" s="80"/>
      <c r="P79" s="80"/>
      <c r="Q79" s="80"/>
      <c r="R79" s="80"/>
      <c r="S79" s="80"/>
      <c r="T79" s="80"/>
      <c r="U79" s="80"/>
      <c r="V79" s="80"/>
    </row>
    <row r="80" spans="1:22" ht="15">
      <c r="A80" s="81" t="s">
        <v>499</v>
      </c>
      <c r="B80" s="80">
        <v>1</v>
      </c>
      <c r="C80" s="80"/>
      <c r="D80" s="80"/>
      <c r="E80" s="80"/>
      <c r="F80" s="80"/>
      <c r="G80" s="80"/>
      <c r="H80" s="80"/>
      <c r="I80" s="80"/>
      <c r="J80" s="80"/>
      <c r="K80" s="80"/>
      <c r="L80" s="80"/>
      <c r="M80" s="80"/>
      <c r="N80" s="80"/>
      <c r="O80" s="80"/>
      <c r="P80" s="80"/>
      <c r="Q80" s="80"/>
      <c r="R80" s="80"/>
      <c r="S80" s="80"/>
      <c r="T80" s="80"/>
      <c r="U80" s="80"/>
      <c r="V80" s="80"/>
    </row>
    <row r="81" spans="1:22" ht="15">
      <c r="A81" s="81" t="s">
        <v>486</v>
      </c>
      <c r="B81" s="80">
        <v>1</v>
      </c>
      <c r="C81" s="80"/>
      <c r="D81" s="80"/>
      <c r="E81" s="80"/>
      <c r="F81" s="80"/>
      <c r="G81" s="80"/>
      <c r="H81" s="80"/>
      <c r="I81" s="80"/>
      <c r="J81" s="80"/>
      <c r="K81" s="80"/>
      <c r="L81" s="80"/>
      <c r="M81" s="80"/>
      <c r="N81" s="80"/>
      <c r="O81" s="80"/>
      <c r="P81" s="80"/>
      <c r="Q81" s="80"/>
      <c r="R81" s="80"/>
      <c r="S81" s="80"/>
      <c r="T81" s="80"/>
      <c r="U81" s="80"/>
      <c r="V81" s="80"/>
    </row>
    <row r="84" spans="1:22" ht="14.4" customHeight="1">
      <c r="A84" s="13" t="s">
        <v>4190</v>
      </c>
      <c r="B84" s="13" t="s">
        <v>4000</v>
      </c>
      <c r="C84" s="13" t="s">
        <v>4191</v>
      </c>
      <c r="D84" s="13" t="s">
        <v>4004</v>
      </c>
      <c r="E84" s="13" t="s">
        <v>4192</v>
      </c>
      <c r="F84" s="13" t="s">
        <v>4006</v>
      </c>
      <c r="G84" s="13" t="s">
        <v>4193</v>
      </c>
      <c r="H84" s="13" t="s">
        <v>4012</v>
      </c>
      <c r="I84" s="13" t="s">
        <v>4194</v>
      </c>
      <c r="J84" s="13" t="s">
        <v>4014</v>
      </c>
      <c r="K84" s="13" t="s">
        <v>4195</v>
      </c>
      <c r="L84" s="13" t="s">
        <v>4016</v>
      </c>
      <c r="M84" s="13" t="s">
        <v>4196</v>
      </c>
      <c r="N84" s="13" t="s">
        <v>4018</v>
      </c>
      <c r="O84" s="13" t="s">
        <v>4197</v>
      </c>
      <c r="P84" s="13" t="s">
        <v>4020</v>
      </c>
      <c r="Q84" s="13" t="s">
        <v>4198</v>
      </c>
      <c r="R84" s="13" t="s">
        <v>4022</v>
      </c>
      <c r="S84" s="13" t="s">
        <v>4199</v>
      </c>
      <c r="T84" s="13" t="s">
        <v>4025</v>
      </c>
      <c r="U84" s="13" t="s">
        <v>4200</v>
      </c>
      <c r="V84" s="13" t="s">
        <v>4026</v>
      </c>
    </row>
    <row r="85" spans="1:22" ht="15">
      <c r="A85" s="106" t="s">
        <v>492</v>
      </c>
      <c r="B85" s="80">
        <v>1313138</v>
      </c>
      <c r="C85" s="106" t="s">
        <v>410</v>
      </c>
      <c r="D85" s="80">
        <v>168173</v>
      </c>
      <c r="E85" s="106" t="s">
        <v>268</v>
      </c>
      <c r="F85" s="80">
        <v>143447</v>
      </c>
      <c r="G85" s="106" t="s">
        <v>295</v>
      </c>
      <c r="H85" s="80">
        <v>330406</v>
      </c>
      <c r="I85" s="106" t="s">
        <v>474</v>
      </c>
      <c r="J85" s="80">
        <v>240406</v>
      </c>
      <c r="K85" s="106" t="s">
        <v>351</v>
      </c>
      <c r="L85" s="80">
        <v>197683</v>
      </c>
      <c r="M85" s="106" t="s">
        <v>432</v>
      </c>
      <c r="N85" s="80">
        <v>51389</v>
      </c>
      <c r="O85" s="106" t="s">
        <v>229</v>
      </c>
      <c r="P85" s="80">
        <v>284982</v>
      </c>
      <c r="Q85" s="106" t="s">
        <v>225</v>
      </c>
      <c r="R85" s="80">
        <v>474</v>
      </c>
      <c r="S85" s="106" t="s">
        <v>460</v>
      </c>
      <c r="T85" s="80">
        <v>772</v>
      </c>
      <c r="U85" s="106" t="s">
        <v>498</v>
      </c>
      <c r="V85" s="80">
        <v>87615</v>
      </c>
    </row>
    <row r="86" spans="1:22" ht="15">
      <c r="A86" s="109" t="s">
        <v>295</v>
      </c>
      <c r="B86" s="80">
        <v>330406</v>
      </c>
      <c r="C86" s="106" t="s">
        <v>350</v>
      </c>
      <c r="D86" s="80">
        <v>108728</v>
      </c>
      <c r="E86" s="106" t="s">
        <v>323</v>
      </c>
      <c r="F86" s="80">
        <v>126405</v>
      </c>
      <c r="G86" s="106" t="s">
        <v>276</v>
      </c>
      <c r="H86" s="80">
        <v>71997</v>
      </c>
      <c r="I86" s="106" t="s">
        <v>464</v>
      </c>
      <c r="J86" s="80">
        <v>87467</v>
      </c>
      <c r="K86" s="106" t="s">
        <v>352</v>
      </c>
      <c r="L86" s="80">
        <v>56308</v>
      </c>
      <c r="M86" s="106" t="s">
        <v>495</v>
      </c>
      <c r="N86" s="80">
        <v>17184</v>
      </c>
      <c r="O86" s="106" t="s">
        <v>228</v>
      </c>
      <c r="P86" s="80">
        <v>205965</v>
      </c>
      <c r="Q86" s="106" t="s">
        <v>486</v>
      </c>
      <c r="R86" s="80">
        <v>150</v>
      </c>
      <c r="S86" s="106" t="s">
        <v>499</v>
      </c>
      <c r="T86" s="80">
        <v>510</v>
      </c>
      <c r="U86" s="106" t="s">
        <v>443</v>
      </c>
      <c r="V86" s="80">
        <v>72647</v>
      </c>
    </row>
    <row r="87" spans="1:22" ht="15">
      <c r="A87" s="109" t="s">
        <v>229</v>
      </c>
      <c r="B87" s="80">
        <v>284982</v>
      </c>
      <c r="C87" s="106" t="s">
        <v>362</v>
      </c>
      <c r="D87" s="80">
        <v>100909</v>
      </c>
      <c r="E87" s="106" t="s">
        <v>296</v>
      </c>
      <c r="F87" s="80">
        <v>85015</v>
      </c>
      <c r="G87" s="106" t="s">
        <v>299</v>
      </c>
      <c r="H87" s="80">
        <v>24171</v>
      </c>
      <c r="I87" s="106" t="s">
        <v>466</v>
      </c>
      <c r="J87" s="80">
        <v>81884</v>
      </c>
      <c r="K87" s="106" t="s">
        <v>321</v>
      </c>
      <c r="L87" s="80">
        <v>15265</v>
      </c>
      <c r="M87" s="106" t="s">
        <v>353</v>
      </c>
      <c r="N87" s="80">
        <v>636</v>
      </c>
      <c r="O87" s="106" t="s">
        <v>490</v>
      </c>
      <c r="P87" s="80">
        <v>33779</v>
      </c>
      <c r="Q87" s="106" t="s">
        <v>487</v>
      </c>
      <c r="R87" s="80">
        <v>14</v>
      </c>
      <c r="S87" s="106"/>
      <c r="T87" s="80"/>
      <c r="U87" s="106"/>
      <c r="V87" s="80"/>
    </row>
    <row r="88" spans="1:22" ht="15">
      <c r="A88" s="109" t="s">
        <v>474</v>
      </c>
      <c r="B88" s="80">
        <v>240406</v>
      </c>
      <c r="C88" s="106" t="s">
        <v>415</v>
      </c>
      <c r="D88" s="80">
        <v>97967</v>
      </c>
      <c r="E88" s="106" t="s">
        <v>274</v>
      </c>
      <c r="F88" s="80">
        <v>81636</v>
      </c>
      <c r="G88" s="106" t="s">
        <v>342</v>
      </c>
      <c r="H88" s="80">
        <v>23947</v>
      </c>
      <c r="I88" s="106" t="s">
        <v>476</v>
      </c>
      <c r="J88" s="80">
        <v>67247</v>
      </c>
      <c r="K88" s="106" t="s">
        <v>308</v>
      </c>
      <c r="L88" s="80">
        <v>4676</v>
      </c>
      <c r="M88" s="106" t="s">
        <v>346</v>
      </c>
      <c r="N88" s="80">
        <v>37</v>
      </c>
      <c r="O88" s="106"/>
      <c r="P88" s="80"/>
      <c r="Q88" s="106"/>
      <c r="R88" s="80"/>
      <c r="S88" s="106"/>
      <c r="T88" s="80"/>
      <c r="U88" s="106"/>
      <c r="V88" s="80"/>
    </row>
    <row r="89" spans="1:22" ht="15">
      <c r="A89" s="109" t="s">
        <v>228</v>
      </c>
      <c r="B89" s="80">
        <v>205965</v>
      </c>
      <c r="C89" s="106" t="s">
        <v>328</v>
      </c>
      <c r="D89" s="80">
        <v>96417</v>
      </c>
      <c r="E89" s="106" t="s">
        <v>282</v>
      </c>
      <c r="F89" s="80">
        <v>56143</v>
      </c>
      <c r="G89" s="106" t="s">
        <v>309</v>
      </c>
      <c r="H89" s="80">
        <v>20547</v>
      </c>
      <c r="I89" s="106" t="s">
        <v>465</v>
      </c>
      <c r="J89" s="80">
        <v>47705</v>
      </c>
      <c r="K89" s="106" t="s">
        <v>325</v>
      </c>
      <c r="L89" s="80">
        <v>1432</v>
      </c>
      <c r="M89" s="106"/>
      <c r="N89" s="80"/>
      <c r="O89" s="106"/>
      <c r="P89" s="80"/>
      <c r="Q89" s="106"/>
      <c r="R89" s="80"/>
      <c r="S89" s="106"/>
      <c r="T89" s="80"/>
      <c r="U89" s="106"/>
      <c r="V89" s="80"/>
    </row>
    <row r="90" spans="1:22" ht="15">
      <c r="A90" s="109" t="s">
        <v>351</v>
      </c>
      <c r="B90" s="80">
        <v>197683</v>
      </c>
      <c r="C90" s="106" t="s">
        <v>480</v>
      </c>
      <c r="D90" s="80">
        <v>90203</v>
      </c>
      <c r="E90" s="106" t="s">
        <v>254</v>
      </c>
      <c r="F90" s="80">
        <v>52699</v>
      </c>
      <c r="G90" s="106" t="s">
        <v>312</v>
      </c>
      <c r="H90" s="80">
        <v>18419</v>
      </c>
      <c r="I90" s="106" t="s">
        <v>457</v>
      </c>
      <c r="J90" s="80">
        <v>45301</v>
      </c>
      <c r="K90" s="106"/>
      <c r="L90" s="80"/>
      <c r="M90" s="106"/>
      <c r="N90" s="80"/>
      <c r="O90" s="106"/>
      <c r="P90" s="80"/>
      <c r="Q90" s="106"/>
      <c r="R90" s="80"/>
      <c r="S90" s="106"/>
      <c r="T90" s="80"/>
      <c r="U90" s="106"/>
      <c r="V90" s="80"/>
    </row>
    <row r="91" spans="1:22" ht="15">
      <c r="A91" s="109" t="s">
        <v>410</v>
      </c>
      <c r="B91" s="80">
        <v>168173</v>
      </c>
      <c r="C91" s="106" t="s">
        <v>428</v>
      </c>
      <c r="D91" s="80">
        <v>90115</v>
      </c>
      <c r="E91" s="106" t="s">
        <v>267</v>
      </c>
      <c r="F91" s="80">
        <v>41091</v>
      </c>
      <c r="G91" s="106" t="s">
        <v>376</v>
      </c>
      <c r="H91" s="80">
        <v>17841</v>
      </c>
      <c r="I91" s="106" t="s">
        <v>467</v>
      </c>
      <c r="J91" s="80">
        <v>44944</v>
      </c>
      <c r="K91" s="106"/>
      <c r="L91" s="80"/>
      <c r="M91" s="106"/>
      <c r="N91" s="80"/>
      <c r="O91" s="106"/>
      <c r="P91" s="80"/>
      <c r="Q91" s="106"/>
      <c r="R91" s="80"/>
      <c r="S91" s="106"/>
      <c r="T91" s="80"/>
      <c r="U91" s="106"/>
      <c r="V91" s="80"/>
    </row>
    <row r="92" spans="1:22" ht="15">
      <c r="A92" s="109" t="s">
        <v>268</v>
      </c>
      <c r="B92" s="80">
        <v>143447</v>
      </c>
      <c r="C92" s="106" t="s">
        <v>348</v>
      </c>
      <c r="D92" s="80">
        <v>73156</v>
      </c>
      <c r="E92" s="106" t="s">
        <v>248</v>
      </c>
      <c r="F92" s="80">
        <v>36221</v>
      </c>
      <c r="G92" s="106" t="s">
        <v>331</v>
      </c>
      <c r="H92" s="80">
        <v>11601</v>
      </c>
      <c r="I92" s="106" t="s">
        <v>482</v>
      </c>
      <c r="J92" s="80">
        <v>35558</v>
      </c>
      <c r="K92" s="106"/>
      <c r="L92" s="80"/>
      <c r="M92" s="106"/>
      <c r="N92" s="80"/>
      <c r="O92" s="106"/>
      <c r="P92" s="80"/>
      <c r="Q92" s="106"/>
      <c r="R92" s="80"/>
      <c r="S92" s="106"/>
      <c r="T92" s="80"/>
      <c r="U92" s="106"/>
      <c r="V92" s="80"/>
    </row>
    <row r="93" spans="1:22" ht="15">
      <c r="A93" s="109" t="s">
        <v>313</v>
      </c>
      <c r="B93" s="80">
        <v>129992</v>
      </c>
      <c r="C93" s="106" t="s">
        <v>347</v>
      </c>
      <c r="D93" s="80">
        <v>63901</v>
      </c>
      <c r="E93" s="106" t="s">
        <v>430</v>
      </c>
      <c r="F93" s="80">
        <v>34923</v>
      </c>
      <c r="G93" s="106" t="s">
        <v>446</v>
      </c>
      <c r="H93" s="80">
        <v>8584</v>
      </c>
      <c r="I93" s="106" t="s">
        <v>456</v>
      </c>
      <c r="J93" s="80">
        <v>30536</v>
      </c>
      <c r="K93" s="106"/>
      <c r="L93" s="80"/>
      <c r="M93" s="106"/>
      <c r="N93" s="80"/>
      <c r="O93" s="106"/>
      <c r="P93" s="80"/>
      <c r="Q93" s="106"/>
      <c r="R93" s="80"/>
      <c r="S93" s="106"/>
      <c r="T93" s="80"/>
      <c r="U93" s="106"/>
      <c r="V93" s="80"/>
    </row>
    <row r="94" spans="1:22" ht="15">
      <c r="A94" s="109" t="s">
        <v>323</v>
      </c>
      <c r="B94" s="80">
        <v>126405</v>
      </c>
      <c r="C94" s="106" t="s">
        <v>354</v>
      </c>
      <c r="D94" s="80">
        <v>63429</v>
      </c>
      <c r="E94" s="106" t="s">
        <v>272</v>
      </c>
      <c r="F94" s="80">
        <v>33338</v>
      </c>
      <c r="G94" s="106" t="s">
        <v>258</v>
      </c>
      <c r="H94" s="80">
        <v>8380</v>
      </c>
      <c r="I94" s="106" t="s">
        <v>484</v>
      </c>
      <c r="J94" s="80">
        <v>24747</v>
      </c>
      <c r="K94" s="106"/>
      <c r="L94" s="80"/>
      <c r="M94" s="106"/>
      <c r="N94" s="80"/>
      <c r="O94" s="106"/>
      <c r="P94" s="80"/>
      <c r="Q94" s="106"/>
      <c r="R94" s="80"/>
      <c r="S94" s="106"/>
      <c r="T94" s="80"/>
      <c r="U94" s="106"/>
      <c r="V94" s="80"/>
    </row>
  </sheetData>
  <hyperlinks>
    <hyperlink ref="A2" r:id="rId1" display="https://www.hs.fi/talous/art-2000008704863.html"/>
    <hyperlink ref="A3" r:id="rId2" display="https://twitter.com/DarthPutinKGB/status/1507079035528126470"/>
    <hyperlink ref="A4" r:id="rId3" display="https://twitter.com/almaonali/status/1506994320288759817"/>
    <hyperlink ref="A5" r:id="rId4" display="https://www.ebay.com/itm/185318779952?mkevt=1&amp;mkcid=16&amp;mkrid=711-127632-2357-0&amp;media=TWITTER&amp;sojTags=media%3Dmedia"/>
    <hyperlink ref="A6" r:id="rId5" display="https://twitter.com/MinnaLampinen/status/1507295956009639939"/>
    <hyperlink ref="A7" r:id="rId6" display="https://www.pentik.com/collections/anis"/>
    <hyperlink ref="A8" r:id="rId7" display="https://www.pentik.com/collections/anis?gclid=CjwKCAjwxOCRBhA8EiwA0X8hi9Gk80gFEnaj3jQNsvfA4dxl6tXhZA4BiJyx_lKeygCqudYr6q_vDhoC5SMQAvD_BwE"/>
    <hyperlink ref="A9" r:id="rId8" display="https://www.hs.fi/talous/art-2000008704863.html?share=59c56cf8b07d650537f4bc62829a94af"/>
    <hyperlink ref="A10" r:id="rId9" display="https://twitter.com/AlmaOnali/status/1506994320288759817"/>
    <hyperlink ref="A11" r:id="rId10" display="https://suomalainentyo.fi/2022/03/24/kohti-hiilineutraalia-pentik-keramiikkatehdasta-ensimmaisena-askeleena-posion-tehtaalle-ekokompassi-ymparistosertifikaatti/"/>
    <hyperlink ref="C2" r:id="rId11" display="https://www.hs.fi/talous/art-2000008704863.html"/>
    <hyperlink ref="C3" r:id="rId12" display="https://twitter.com/DarthPutinKGB/status/1507079035528126470"/>
    <hyperlink ref="C4" r:id="rId13" display="https://www.linkedin.com/posts/riikka-wulff_onhan-se-hirmu-kivaa-olla-t%C3%A4m%C3%A4n-hetken-hesarin-activity-6912775396618907648-oqEF?utm_source=linkedin_share&amp;utm_medium=ios_app"/>
    <hyperlink ref="E2" r:id="rId14" display="https://www.hs.fi/talous/art-2000008704863.html"/>
    <hyperlink ref="G2" r:id="rId15" display="https://www.hs.fi/talous/art-2000008704863.html"/>
    <hyperlink ref="G3" r:id="rId16" display="https://twitter.com/almaonali/status/1506994320288759817"/>
    <hyperlink ref="G4" r:id="rId17" display="https://twitter.com/aleksipahkala/status/1506619784791826438"/>
    <hyperlink ref="G5" r:id="rId18" display="https://twitter.com/AlmaOnali/status/1506994320288759817"/>
    <hyperlink ref="G6" r:id="rId19" display="https://www.hs.fi/talous/art-2000008704863.html?share=59c56cf8b07d650537f4bc62829a94af"/>
    <hyperlink ref="G7" r:id="rId20" display="https://twitter.com/MinnaLampinen/status/1507295956009639939"/>
    <hyperlink ref="G8" r:id="rId21" display="https://www.reddit.com/r/Suomi/comments/tkwpbr/pentik_anis_astiasarja_vanhemmille_herrasmiehille/?utm_source=ifttt"/>
    <hyperlink ref="G9" r:id="rId22" display="https://www.hs.fi/talous/art-2000008704863.html?utm_source=dlvr.it&amp;utm_medium=twitter"/>
    <hyperlink ref="G10" r:id="rId23" display="https://twitter.com/joni_jaakkola/status/1506997454335627272"/>
    <hyperlink ref="G11" r:id="rId24" display="https://www.pentik.com/collections/anis"/>
    <hyperlink ref="I2" r:id="rId25" display="https://www.pentik.com/collections/anis"/>
    <hyperlink ref="I3" r:id="rId26" display="https://www.hs.fi/talous/art-2000008704863.html"/>
    <hyperlink ref="K2" r:id="rId27" display="https://www.hs.fi/talous/art-2000008704863.html"/>
    <hyperlink ref="O2" r:id="rId28" display="https://www.ebay.com/itm/185318779952?mkevt=1&amp;mkcid=16&amp;mkrid=711-127632-2357-0&amp;media=TWITTER&amp;sojTags=media%3Dmedia"/>
    <hyperlink ref="S2" r:id="rId29" display="https://www.lapinkansa.fi/pentik-sai-keramiikkatehtaalleen-posiolle-ymparist/4463159"/>
    <hyperlink ref="U2" r:id="rId30" display="https://www.hs.fi/talous/art-2000008704863.html"/>
  </hyperlinks>
  <printOptions/>
  <pageMargins left="0.7" right="0.7" top="0.75" bottom="0.75" header="0.3" footer="0.3"/>
  <pageSetup orientation="portrait" paperSize="9"/>
  <tableParts>
    <tablePart r:id="rId34"/>
    <tablePart r:id="rId38"/>
    <tablePart r:id="rId35"/>
    <tablePart r:id="rId36"/>
    <tablePart r:id="rId37"/>
    <tablePart r:id="rId32"/>
    <tablePart r:id="rId31"/>
    <tablePart r:id="rId3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78"/>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1213</v>
      </c>
      <c r="AE2" s="13" t="s">
        <v>1214</v>
      </c>
      <c r="AF2" s="13" t="s">
        <v>1215</v>
      </c>
      <c r="AG2" s="13" t="s">
        <v>1216</v>
      </c>
      <c r="AH2" s="13" t="s">
        <v>1217</v>
      </c>
      <c r="AI2" s="13" t="s">
        <v>1218</v>
      </c>
      <c r="AJ2" s="13" t="s">
        <v>1219</v>
      </c>
      <c r="AK2" s="13" t="s">
        <v>1220</v>
      </c>
      <c r="AL2" s="13" t="s">
        <v>1221</v>
      </c>
      <c r="AM2" s="13" t="s">
        <v>1222</v>
      </c>
      <c r="AN2" s="13" t="s">
        <v>1223</v>
      </c>
      <c r="AO2" s="13" t="s">
        <v>1224</v>
      </c>
      <c r="AP2" s="13" t="s">
        <v>1225</v>
      </c>
      <c r="AQ2" s="13" t="s">
        <v>1226</v>
      </c>
      <c r="AR2" s="13" t="s">
        <v>1227</v>
      </c>
      <c r="AS2" s="13" t="s">
        <v>1228</v>
      </c>
      <c r="AT2" s="13" t="s">
        <v>205</v>
      </c>
      <c r="AU2" s="13" t="s">
        <v>1229</v>
      </c>
      <c r="AV2" s="13" t="s">
        <v>1230</v>
      </c>
      <c r="AW2" s="13" t="s">
        <v>1231</v>
      </c>
      <c r="AX2" s="13" t="s">
        <v>1232</v>
      </c>
      <c r="AY2" s="13" t="s">
        <v>1233</v>
      </c>
      <c r="AZ2" s="13" t="s">
        <v>1234</v>
      </c>
      <c r="BA2" s="13" t="s">
        <v>2461</v>
      </c>
      <c r="BB2" s="112" t="s">
        <v>2678</v>
      </c>
      <c r="BC2" s="112" t="s">
        <v>2679</v>
      </c>
      <c r="BD2" s="112" t="s">
        <v>2680</v>
      </c>
      <c r="BE2" s="112" t="s">
        <v>2681</v>
      </c>
      <c r="BF2" s="112" t="s">
        <v>2682</v>
      </c>
      <c r="BG2" s="112" t="s">
        <v>2683</v>
      </c>
      <c r="BH2" s="112" t="s">
        <v>2684</v>
      </c>
      <c r="BI2" s="112" t="s">
        <v>2685</v>
      </c>
      <c r="BJ2" s="112" t="s">
        <v>2687</v>
      </c>
      <c r="BK2" s="112" t="s">
        <v>4226</v>
      </c>
      <c r="BL2" s="112" t="s">
        <v>4229</v>
      </c>
      <c r="BM2" s="112" t="s">
        <v>4230</v>
      </c>
      <c r="BN2" s="112" t="s">
        <v>4231</v>
      </c>
      <c r="BO2" s="112" t="s">
        <v>4232</v>
      </c>
      <c r="BP2" s="112" t="s">
        <v>4233</v>
      </c>
      <c r="BQ2" s="112" t="s">
        <v>4234</v>
      </c>
      <c r="BR2" s="112" t="s">
        <v>4309</v>
      </c>
      <c r="BS2" s="112" t="s">
        <v>4315</v>
      </c>
      <c r="BT2" s="112" t="s">
        <v>4387</v>
      </c>
      <c r="BU2" s="3"/>
      <c r="BV2" s="3"/>
    </row>
    <row r="3" spans="1:74" ht="15" customHeight="1">
      <c r="A3" s="65" t="s">
        <v>485</v>
      </c>
      <c r="B3" s="66"/>
      <c r="C3" s="66" t="s">
        <v>64</v>
      </c>
      <c r="D3" s="67"/>
      <c r="E3" s="69"/>
      <c r="F3" s="104" t="str">
        <f>HYPERLINK("https://pbs.twimg.com/profile_images/1475844172670144512/EnlgWQnN_normal.png")</f>
        <v>https://pbs.twimg.com/profile_images/1475844172670144512/EnlgWQnN_normal.png</v>
      </c>
      <c r="G3" s="66"/>
      <c r="H3" s="70" t="s">
        <v>485</v>
      </c>
      <c r="I3" s="71" t="s">
        <v>4394</v>
      </c>
      <c r="J3" s="71" t="s">
        <v>73</v>
      </c>
      <c r="K3" s="70" t="s">
        <v>2417</v>
      </c>
      <c r="L3" s="74">
        <v>1</v>
      </c>
      <c r="M3" s="75">
        <v>8322.306640625</v>
      </c>
      <c r="N3" s="75">
        <v>7084.599609375</v>
      </c>
      <c r="O3" s="76"/>
      <c r="P3" s="77"/>
      <c r="Q3" s="77"/>
      <c r="R3" s="49"/>
      <c r="S3" s="49">
        <v>0</v>
      </c>
      <c r="T3" s="49">
        <v>1</v>
      </c>
      <c r="U3" s="50">
        <v>0</v>
      </c>
      <c r="V3" s="50">
        <v>0.003636</v>
      </c>
      <c r="W3" s="50">
        <v>0</v>
      </c>
      <c r="X3" s="50">
        <v>0.003623</v>
      </c>
      <c r="Y3" s="50">
        <v>0</v>
      </c>
      <c r="Z3" s="50">
        <v>0</v>
      </c>
      <c r="AA3" s="72">
        <v>3</v>
      </c>
      <c r="AB3" s="72"/>
      <c r="AC3" s="73"/>
      <c r="AD3" s="80" t="s">
        <v>1509</v>
      </c>
      <c r="AE3" s="89" t="s">
        <v>1769</v>
      </c>
      <c r="AF3" s="80">
        <v>1885</v>
      </c>
      <c r="AG3" s="80">
        <v>1661</v>
      </c>
      <c r="AH3" s="80">
        <v>2931</v>
      </c>
      <c r="AI3" s="80">
        <v>261</v>
      </c>
      <c r="AJ3" s="80"/>
      <c r="AK3" s="80" t="s">
        <v>2027</v>
      </c>
      <c r="AL3" s="80"/>
      <c r="AM3" s="86" t="str">
        <f>HYPERLINK("https://t.co/UyWuXBSkAX")</f>
        <v>https://t.co/UyWuXBSkAX</v>
      </c>
      <c r="AN3" s="80"/>
      <c r="AO3" s="82">
        <v>44259.00498842593</v>
      </c>
      <c r="AP3" s="86" t="str">
        <f>HYPERLINK("https://pbs.twimg.com/profile_banners/1367265281450467328/1640703657")</f>
        <v>https://pbs.twimg.com/profile_banners/1367265281450467328/1640703657</v>
      </c>
      <c r="AQ3" s="80" t="b">
        <v>1</v>
      </c>
      <c r="AR3" s="80" t="b">
        <v>0</v>
      </c>
      <c r="AS3" s="80" t="b">
        <v>0</v>
      </c>
      <c r="AT3" s="80"/>
      <c r="AU3" s="80">
        <v>0</v>
      </c>
      <c r="AV3" s="80"/>
      <c r="AW3" s="80" t="b">
        <v>0</v>
      </c>
      <c r="AX3" s="80" t="s">
        <v>2141</v>
      </c>
      <c r="AY3" s="86" t="str">
        <f>HYPERLINK("https://twitter.com/vlijeu")</f>
        <v>https://twitter.com/vlijeu</v>
      </c>
      <c r="AZ3" s="80" t="s">
        <v>66</v>
      </c>
      <c r="BA3" s="80" t="str">
        <f>REPLACE(INDEX(GroupVertices[Group],MATCH(Vertices[[#This Row],[Vertex]],GroupVertices[Vertex],0)),1,1,"")</f>
        <v>24</v>
      </c>
      <c r="BB3" s="49">
        <v>0</v>
      </c>
      <c r="BC3" s="50">
        <v>0</v>
      </c>
      <c r="BD3" s="49">
        <v>0</v>
      </c>
      <c r="BE3" s="50">
        <v>0</v>
      </c>
      <c r="BF3" s="49">
        <v>0</v>
      </c>
      <c r="BG3" s="50">
        <v>0</v>
      </c>
      <c r="BH3" s="49">
        <v>5</v>
      </c>
      <c r="BI3" s="50">
        <v>100</v>
      </c>
      <c r="BJ3" s="49">
        <v>5</v>
      </c>
      <c r="BK3" s="49"/>
      <c r="BL3" s="49"/>
      <c r="BM3" s="49"/>
      <c r="BN3" s="49"/>
      <c r="BO3" s="49"/>
      <c r="BP3" s="49"/>
      <c r="BQ3" s="116" t="s">
        <v>4235</v>
      </c>
      <c r="BR3" s="116" t="s">
        <v>4235</v>
      </c>
      <c r="BS3" s="116" t="s">
        <v>4316</v>
      </c>
      <c r="BT3" s="116" t="s">
        <v>4316</v>
      </c>
      <c r="BU3" s="3"/>
      <c r="BV3" s="3"/>
    </row>
    <row r="4" spans="1:77" ht="15">
      <c r="A4" s="65" t="s">
        <v>500</v>
      </c>
      <c r="B4" s="66"/>
      <c r="C4" s="66" t="s">
        <v>64</v>
      </c>
      <c r="D4" s="67">
        <v>10</v>
      </c>
      <c r="E4" s="69"/>
      <c r="F4" s="104" t="str">
        <f>HYPERLINK("https://pbs.twimg.com/profile_images/1502925317446733830/XDXKZbQ4_normal.png")</f>
        <v>https://pbs.twimg.com/profile_images/1502925317446733830/XDXKZbQ4_normal.png</v>
      </c>
      <c r="G4" s="66"/>
      <c r="H4" s="70" t="s">
        <v>500</v>
      </c>
      <c r="I4" s="71" t="s">
        <v>4394</v>
      </c>
      <c r="J4" s="71" t="s">
        <v>75</v>
      </c>
      <c r="K4" s="70" t="s">
        <v>2142</v>
      </c>
      <c r="L4" s="74">
        <v>99.01960784313725</v>
      </c>
      <c r="M4" s="75">
        <v>8665.357421875</v>
      </c>
      <c r="N4" s="75">
        <v>7084.599609375</v>
      </c>
      <c r="O4" s="76"/>
      <c r="P4" s="77"/>
      <c r="Q4" s="77"/>
      <c r="R4" s="90"/>
      <c r="S4" s="49">
        <v>1</v>
      </c>
      <c r="T4" s="49">
        <v>0</v>
      </c>
      <c r="U4" s="50">
        <v>0</v>
      </c>
      <c r="V4" s="50">
        <v>0.003636</v>
      </c>
      <c r="W4" s="50">
        <v>0</v>
      </c>
      <c r="X4" s="50">
        <v>0.003623</v>
      </c>
      <c r="Y4" s="50">
        <v>0</v>
      </c>
      <c r="Z4" s="50">
        <v>0</v>
      </c>
      <c r="AA4" s="72">
        <v>4</v>
      </c>
      <c r="AB4" s="72"/>
      <c r="AC4" s="73"/>
      <c r="AD4" s="80" t="s">
        <v>1235</v>
      </c>
      <c r="AE4" s="89" t="s">
        <v>1175</v>
      </c>
      <c r="AF4" s="80">
        <v>4216</v>
      </c>
      <c r="AG4" s="80">
        <v>4262</v>
      </c>
      <c r="AH4" s="80">
        <v>17757</v>
      </c>
      <c r="AI4" s="80">
        <v>241</v>
      </c>
      <c r="AJ4" s="80"/>
      <c r="AK4" s="80" t="s">
        <v>1770</v>
      </c>
      <c r="AL4" s="80" t="s">
        <v>2028</v>
      </c>
      <c r="AM4" s="80"/>
      <c r="AN4" s="80"/>
      <c r="AO4" s="82">
        <v>41623.3937037037</v>
      </c>
      <c r="AP4" s="86" t="str">
        <f>HYPERLINK("https://pbs.twimg.com/profile_banners/2246935662/1647160302")</f>
        <v>https://pbs.twimg.com/profile_banners/2246935662/1647160302</v>
      </c>
      <c r="AQ4" s="80" t="b">
        <v>1</v>
      </c>
      <c r="AR4" s="80" t="b">
        <v>0</v>
      </c>
      <c r="AS4" s="80" t="b">
        <v>0</v>
      </c>
      <c r="AT4" s="80"/>
      <c r="AU4" s="80">
        <v>0</v>
      </c>
      <c r="AV4" s="86" t="str">
        <f>HYPERLINK("https://abs.twimg.com/images/themes/theme1/bg.png")</f>
        <v>https://abs.twimg.com/images/themes/theme1/bg.png</v>
      </c>
      <c r="AW4" s="80" t="b">
        <v>0</v>
      </c>
      <c r="AX4" s="80" t="s">
        <v>2141</v>
      </c>
      <c r="AY4" s="86" t="str">
        <f>HYPERLINK("https://twitter.com/kafleng")</f>
        <v>https://twitter.com/kafleng</v>
      </c>
      <c r="AZ4" s="80" t="s">
        <v>65</v>
      </c>
      <c r="BA4" s="80" t="str">
        <f>REPLACE(INDEX(GroupVertices[Group],MATCH(Vertices[[#This Row],[Vertex]],GroupVertices[Vertex],0)),1,1,"")</f>
        <v>24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225</v>
      </c>
      <c r="B5" s="66"/>
      <c r="C5" s="66" t="s">
        <v>64</v>
      </c>
      <c r="D5" s="67"/>
      <c r="E5" s="69"/>
      <c r="F5" s="104" t="str">
        <f>HYPERLINK("https://pbs.twimg.com/profile_images/1503800675712794630/8YCm3bSw_normal.jpg")</f>
        <v>https://pbs.twimg.com/profile_images/1503800675712794630/8YCm3bSw_normal.jpg</v>
      </c>
      <c r="G5" s="66"/>
      <c r="H5" s="70" t="s">
        <v>225</v>
      </c>
      <c r="I5" s="71" t="s">
        <v>4395</v>
      </c>
      <c r="J5" s="71" t="s">
        <v>73</v>
      </c>
      <c r="K5" s="70" t="s">
        <v>2143</v>
      </c>
      <c r="L5" s="74">
        <v>1</v>
      </c>
      <c r="M5" s="75">
        <v>9686.53125</v>
      </c>
      <c r="N5" s="75">
        <v>3307.726318359375</v>
      </c>
      <c r="O5" s="76"/>
      <c r="P5" s="77"/>
      <c r="Q5" s="77"/>
      <c r="R5" s="90"/>
      <c r="S5" s="49">
        <v>0</v>
      </c>
      <c r="T5" s="49">
        <v>2</v>
      </c>
      <c r="U5" s="50">
        <v>2</v>
      </c>
      <c r="V5" s="50">
        <v>0.007273</v>
      </c>
      <c r="W5" s="50">
        <v>0</v>
      </c>
      <c r="X5" s="50">
        <v>0.004096</v>
      </c>
      <c r="Y5" s="50">
        <v>0</v>
      </c>
      <c r="Z5" s="50">
        <v>0</v>
      </c>
      <c r="AA5" s="72">
        <v>5</v>
      </c>
      <c r="AB5" s="72"/>
      <c r="AC5" s="73"/>
      <c r="AD5" s="80" t="s">
        <v>1236</v>
      </c>
      <c r="AE5" s="89" t="s">
        <v>1510</v>
      </c>
      <c r="AF5" s="80">
        <v>62</v>
      </c>
      <c r="AG5" s="80">
        <v>1</v>
      </c>
      <c r="AH5" s="80">
        <v>474</v>
      </c>
      <c r="AI5" s="80">
        <v>4</v>
      </c>
      <c r="AJ5" s="80"/>
      <c r="AK5" s="80" t="s">
        <v>1771</v>
      </c>
      <c r="AL5" s="80"/>
      <c r="AM5" s="80"/>
      <c r="AN5" s="80"/>
      <c r="AO5" s="82">
        <v>44594.282800925925</v>
      </c>
      <c r="AP5" s="86" t="str">
        <f>HYPERLINK("https://pbs.twimg.com/profile_banners/1488765472002965509/1647337241")</f>
        <v>https://pbs.twimg.com/profile_banners/1488765472002965509/1647337241</v>
      </c>
      <c r="AQ5" s="80" t="b">
        <v>1</v>
      </c>
      <c r="AR5" s="80" t="b">
        <v>0</v>
      </c>
      <c r="AS5" s="80" t="b">
        <v>0</v>
      </c>
      <c r="AT5" s="80"/>
      <c r="AU5" s="80">
        <v>0</v>
      </c>
      <c r="AV5" s="80"/>
      <c r="AW5" s="80" t="b">
        <v>0</v>
      </c>
      <c r="AX5" s="80" t="s">
        <v>2141</v>
      </c>
      <c r="AY5" s="86" t="str">
        <f>HYPERLINK("https://twitter.com/ihdaltandigau")</f>
        <v>https://twitter.com/ihdaltandigau</v>
      </c>
      <c r="AZ5" s="80" t="s">
        <v>66</v>
      </c>
      <c r="BA5" s="80" t="str">
        <f>REPLACE(INDEX(GroupVertices[Group],MATCH(Vertices[[#This Row],[Vertex]],GroupVertices[Vertex],0)),1,1,"")</f>
        <v>8</v>
      </c>
      <c r="BB5" s="49">
        <v>0</v>
      </c>
      <c r="BC5" s="50">
        <v>0</v>
      </c>
      <c r="BD5" s="49">
        <v>0</v>
      </c>
      <c r="BE5" s="50">
        <v>0</v>
      </c>
      <c r="BF5" s="49">
        <v>0</v>
      </c>
      <c r="BG5" s="50">
        <v>0</v>
      </c>
      <c r="BH5" s="49">
        <v>9</v>
      </c>
      <c r="BI5" s="50">
        <v>100</v>
      </c>
      <c r="BJ5" s="49">
        <v>9</v>
      </c>
      <c r="BK5" s="49"/>
      <c r="BL5" s="49"/>
      <c r="BM5" s="49"/>
      <c r="BN5" s="49"/>
      <c r="BO5" s="49"/>
      <c r="BP5" s="49"/>
      <c r="BQ5" s="116" t="s">
        <v>4236</v>
      </c>
      <c r="BR5" s="116" t="s">
        <v>4236</v>
      </c>
      <c r="BS5" s="116" t="s">
        <v>4317</v>
      </c>
      <c r="BT5" s="116" t="s">
        <v>4317</v>
      </c>
      <c r="BU5" s="2"/>
      <c r="BV5" s="3"/>
      <c r="BW5" s="3"/>
      <c r="BX5" s="3"/>
      <c r="BY5" s="3"/>
    </row>
    <row r="6" spans="1:77" ht="15">
      <c r="A6" s="65" t="s">
        <v>486</v>
      </c>
      <c r="B6" s="66"/>
      <c r="C6" s="66" t="s">
        <v>64</v>
      </c>
      <c r="D6" s="67">
        <v>10</v>
      </c>
      <c r="E6" s="69"/>
      <c r="F6" s="104" t="str">
        <f>HYPERLINK("https://pbs.twimg.com/profile_images/1390664002657677314/-I0O0fAu_normal.jpg")</f>
        <v>https://pbs.twimg.com/profile_images/1390664002657677314/-I0O0fAu_normal.jpg</v>
      </c>
      <c r="G6" s="66"/>
      <c r="H6" s="70" t="s">
        <v>486</v>
      </c>
      <c r="I6" s="71" t="s">
        <v>4395</v>
      </c>
      <c r="J6" s="71" t="s">
        <v>75</v>
      </c>
      <c r="K6" s="70" t="s">
        <v>2144</v>
      </c>
      <c r="L6" s="74">
        <v>99.01960784313725</v>
      </c>
      <c r="M6" s="75">
        <v>9686.53125</v>
      </c>
      <c r="N6" s="75">
        <v>2625.32958984375</v>
      </c>
      <c r="O6" s="76"/>
      <c r="P6" s="77"/>
      <c r="Q6" s="77"/>
      <c r="R6" s="90"/>
      <c r="S6" s="49">
        <v>1</v>
      </c>
      <c r="T6" s="49">
        <v>0</v>
      </c>
      <c r="U6" s="50">
        <v>0</v>
      </c>
      <c r="V6" s="50">
        <v>0.004848</v>
      </c>
      <c r="W6" s="50">
        <v>0</v>
      </c>
      <c r="X6" s="50">
        <v>0.003387</v>
      </c>
      <c r="Y6" s="50">
        <v>0</v>
      </c>
      <c r="Z6" s="50">
        <v>0</v>
      </c>
      <c r="AA6" s="72">
        <v>6</v>
      </c>
      <c r="AB6" s="72"/>
      <c r="AC6" s="73"/>
      <c r="AD6" s="80" t="s">
        <v>1237</v>
      </c>
      <c r="AE6" s="89" t="s">
        <v>1511</v>
      </c>
      <c r="AF6" s="80">
        <v>14</v>
      </c>
      <c r="AG6" s="80">
        <v>657114</v>
      </c>
      <c r="AH6" s="80">
        <v>150</v>
      </c>
      <c r="AI6" s="80">
        <v>1030</v>
      </c>
      <c r="AJ6" s="80"/>
      <c r="AK6" s="80" t="s">
        <v>1772</v>
      </c>
      <c r="AL6" s="80"/>
      <c r="AM6" s="86" t="str">
        <f>HYPERLINK("https://t.co/hJuWnMkbDl")</f>
        <v>https://t.co/hJuWnMkbDl</v>
      </c>
      <c r="AN6" s="80"/>
      <c r="AO6" s="82">
        <v>44271.817719907405</v>
      </c>
      <c r="AP6" s="86" t="str">
        <f>HYPERLINK("https://pbs.twimg.com/profile_banners/1371908427593572352/1620395110")</f>
        <v>https://pbs.twimg.com/profile_banners/1371908427593572352/1620395110</v>
      </c>
      <c r="AQ6" s="80" t="b">
        <v>1</v>
      </c>
      <c r="AR6" s="80" t="b">
        <v>0</v>
      </c>
      <c r="AS6" s="80" t="b">
        <v>0</v>
      </c>
      <c r="AT6" s="80"/>
      <c r="AU6" s="80">
        <v>97</v>
      </c>
      <c r="AV6" s="80"/>
      <c r="AW6" s="80" t="b">
        <v>0</v>
      </c>
      <c r="AX6" s="80" t="s">
        <v>2141</v>
      </c>
      <c r="AY6" s="86" t="str">
        <f>HYPERLINK("https://twitter.com/lisajandamuda")</f>
        <v>https://twitter.com/lisajandamuda</v>
      </c>
      <c r="AZ6" s="80" t="s">
        <v>65</v>
      </c>
      <c r="BA6" s="80" t="str">
        <f>REPLACE(INDEX(GroupVertices[Group],MATCH(Vertices[[#This Row],[Vertex]],GroupVertices[Vertex],0)),1,1,"")</f>
        <v>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487</v>
      </c>
      <c r="B7" s="66"/>
      <c r="C7" s="66" t="s">
        <v>64</v>
      </c>
      <c r="D7" s="67">
        <v>10</v>
      </c>
      <c r="E7" s="69"/>
      <c r="F7" s="104" t="str">
        <f>HYPERLINK("https://pbs.twimg.com/profile_images/1496557998277545984/6Y1er_nT_normal.jpg")</f>
        <v>https://pbs.twimg.com/profile_images/1496557998277545984/6Y1er_nT_normal.jpg</v>
      </c>
      <c r="G7" s="66"/>
      <c r="H7" s="70" t="s">
        <v>487</v>
      </c>
      <c r="I7" s="71" t="s">
        <v>4395</v>
      </c>
      <c r="J7" s="71" t="s">
        <v>75</v>
      </c>
      <c r="K7" s="70" t="s">
        <v>2145</v>
      </c>
      <c r="L7" s="74">
        <v>99.01960784313725</v>
      </c>
      <c r="M7" s="75">
        <v>9686.53125</v>
      </c>
      <c r="N7" s="75">
        <v>1942.93359375</v>
      </c>
      <c r="O7" s="76"/>
      <c r="P7" s="77"/>
      <c r="Q7" s="77"/>
      <c r="R7" s="90"/>
      <c r="S7" s="49">
        <v>1</v>
      </c>
      <c r="T7" s="49">
        <v>0</v>
      </c>
      <c r="U7" s="50">
        <v>0</v>
      </c>
      <c r="V7" s="50">
        <v>0.004848</v>
      </c>
      <c r="W7" s="50">
        <v>0</v>
      </c>
      <c r="X7" s="50">
        <v>0.003387</v>
      </c>
      <c r="Y7" s="50">
        <v>0</v>
      </c>
      <c r="Z7" s="50">
        <v>0</v>
      </c>
      <c r="AA7" s="72">
        <v>7</v>
      </c>
      <c r="AB7" s="72"/>
      <c r="AC7" s="73"/>
      <c r="AD7" s="80" t="s">
        <v>1238</v>
      </c>
      <c r="AE7" s="89" t="s">
        <v>1159</v>
      </c>
      <c r="AF7" s="80">
        <v>15</v>
      </c>
      <c r="AG7" s="80">
        <v>28701</v>
      </c>
      <c r="AH7" s="80">
        <v>14</v>
      </c>
      <c r="AI7" s="80">
        <v>17</v>
      </c>
      <c r="AJ7" s="80"/>
      <c r="AK7" s="80" t="s">
        <v>1773</v>
      </c>
      <c r="AL7" s="80" t="s">
        <v>2029</v>
      </c>
      <c r="AM7" s="80"/>
      <c r="AN7" s="80"/>
      <c r="AO7" s="82">
        <v>44518.69452546296</v>
      </c>
      <c r="AP7" s="86" t="str">
        <f>HYPERLINK("https://pbs.twimg.com/profile_banners/1461373616575037444/1645642209")</f>
        <v>https://pbs.twimg.com/profile_banners/1461373616575037444/1645642209</v>
      </c>
      <c r="AQ7" s="80" t="b">
        <v>1</v>
      </c>
      <c r="AR7" s="80" t="b">
        <v>0</v>
      </c>
      <c r="AS7" s="80" t="b">
        <v>0</v>
      </c>
      <c r="AT7" s="80"/>
      <c r="AU7" s="80">
        <v>20</v>
      </c>
      <c r="AV7" s="80"/>
      <c r="AW7" s="80" t="b">
        <v>0</v>
      </c>
      <c r="AX7" s="80" t="s">
        <v>2141</v>
      </c>
      <c r="AY7" s="86" t="str">
        <f>HYPERLINK("https://twitter.com/melinasahara")</f>
        <v>https://twitter.com/melinasahara</v>
      </c>
      <c r="AZ7" s="80" t="s">
        <v>65</v>
      </c>
      <c r="BA7" s="80"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226</v>
      </c>
      <c r="B8" s="66"/>
      <c r="C8" s="66" t="s">
        <v>64</v>
      </c>
      <c r="D8" s="67"/>
      <c r="E8" s="69"/>
      <c r="F8" s="104" t="str">
        <f>HYPERLINK("https://pbs.twimg.com/profile_images/1505867175562604545/TqWpdmTS_normal.jpg")</f>
        <v>https://pbs.twimg.com/profile_images/1505867175562604545/TqWpdmTS_normal.jpg</v>
      </c>
      <c r="G8" s="66"/>
      <c r="H8" s="70" t="s">
        <v>226</v>
      </c>
      <c r="I8" s="71" t="s">
        <v>4394</v>
      </c>
      <c r="J8" s="71" t="s">
        <v>73</v>
      </c>
      <c r="K8" s="70" t="s">
        <v>2146</v>
      </c>
      <c r="L8" s="74">
        <v>1</v>
      </c>
      <c r="M8" s="75">
        <v>304.4908142089844</v>
      </c>
      <c r="N8" s="75">
        <v>2132.488037109375</v>
      </c>
      <c r="O8" s="76"/>
      <c r="P8" s="77"/>
      <c r="Q8" s="77"/>
      <c r="R8" s="90"/>
      <c r="S8" s="49">
        <v>0</v>
      </c>
      <c r="T8" s="49">
        <v>1</v>
      </c>
      <c r="U8" s="50">
        <v>0</v>
      </c>
      <c r="V8" s="50">
        <v>0.003636</v>
      </c>
      <c r="W8" s="50">
        <v>0</v>
      </c>
      <c r="X8" s="50">
        <v>0.003623</v>
      </c>
      <c r="Y8" s="50">
        <v>0</v>
      </c>
      <c r="Z8" s="50">
        <v>0</v>
      </c>
      <c r="AA8" s="72">
        <v>8</v>
      </c>
      <c r="AB8" s="72"/>
      <c r="AC8" s="73"/>
      <c r="AD8" s="80" t="s">
        <v>1239</v>
      </c>
      <c r="AE8" s="89" t="s">
        <v>1512</v>
      </c>
      <c r="AF8" s="80">
        <v>89</v>
      </c>
      <c r="AG8" s="80">
        <v>176</v>
      </c>
      <c r="AH8" s="80">
        <v>41459</v>
      </c>
      <c r="AI8" s="80">
        <v>537</v>
      </c>
      <c r="AJ8" s="80"/>
      <c r="AK8" s="80" t="s">
        <v>1774</v>
      </c>
      <c r="AL8" s="80" t="s">
        <v>2030</v>
      </c>
      <c r="AM8" s="80"/>
      <c r="AN8" s="80"/>
      <c r="AO8" s="82">
        <v>43345.63701388889</v>
      </c>
      <c r="AP8" s="86" t="str">
        <f>HYPERLINK("https://pbs.twimg.com/profile_banners/1036271856678912000/1647254599")</f>
        <v>https://pbs.twimg.com/profile_banners/1036271856678912000/1647254599</v>
      </c>
      <c r="AQ8" s="80" t="b">
        <v>1</v>
      </c>
      <c r="AR8" s="80" t="b">
        <v>0</v>
      </c>
      <c r="AS8" s="80" t="b">
        <v>0</v>
      </c>
      <c r="AT8" s="80"/>
      <c r="AU8" s="80">
        <v>4</v>
      </c>
      <c r="AV8" s="80"/>
      <c r="AW8" s="80" t="b">
        <v>0</v>
      </c>
      <c r="AX8" s="80" t="s">
        <v>2141</v>
      </c>
      <c r="AY8" s="86" t="str">
        <f>HYPERLINK("https://twitter.com/jenongolongol")</f>
        <v>https://twitter.com/jenongolongol</v>
      </c>
      <c r="AZ8" s="80" t="s">
        <v>66</v>
      </c>
      <c r="BA8" s="80" t="str">
        <f>REPLACE(INDEX(GroupVertices[Group],MATCH(Vertices[[#This Row],[Vertex]],GroupVertices[Vertex],0)),1,1,"")</f>
        <v>23</v>
      </c>
      <c r="BB8" s="49">
        <v>0</v>
      </c>
      <c r="BC8" s="50">
        <v>0</v>
      </c>
      <c r="BD8" s="49">
        <v>0</v>
      </c>
      <c r="BE8" s="50">
        <v>0</v>
      </c>
      <c r="BF8" s="49">
        <v>0</v>
      </c>
      <c r="BG8" s="50">
        <v>0</v>
      </c>
      <c r="BH8" s="49">
        <v>13</v>
      </c>
      <c r="BI8" s="50">
        <v>100</v>
      </c>
      <c r="BJ8" s="49">
        <v>13</v>
      </c>
      <c r="BK8" s="49"/>
      <c r="BL8" s="49"/>
      <c r="BM8" s="49"/>
      <c r="BN8" s="49"/>
      <c r="BO8" s="49"/>
      <c r="BP8" s="49"/>
      <c r="BQ8" s="116" t="s">
        <v>4237</v>
      </c>
      <c r="BR8" s="116" t="s">
        <v>4237</v>
      </c>
      <c r="BS8" s="116" t="s">
        <v>4318</v>
      </c>
      <c r="BT8" s="116" t="s">
        <v>4318</v>
      </c>
      <c r="BU8" s="2"/>
      <c r="BV8" s="3"/>
      <c r="BW8" s="3"/>
      <c r="BX8" s="3"/>
      <c r="BY8" s="3"/>
    </row>
    <row r="9" spans="1:77" ht="15">
      <c r="A9" s="65" t="s">
        <v>488</v>
      </c>
      <c r="B9" s="66"/>
      <c r="C9" s="66" t="s">
        <v>64</v>
      </c>
      <c r="D9" s="67">
        <v>10</v>
      </c>
      <c r="E9" s="69"/>
      <c r="F9" s="104" t="str">
        <f>HYPERLINK("https://pbs.twimg.com/profile_images/1502230777919987716/1brMxPZP_normal.jpg")</f>
        <v>https://pbs.twimg.com/profile_images/1502230777919987716/1brMxPZP_normal.jpg</v>
      </c>
      <c r="G9" s="66"/>
      <c r="H9" s="70" t="s">
        <v>488</v>
      </c>
      <c r="I9" s="71" t="s">
        <v>4394</v>
      </c>
      <c r="J9" s="71" t="s">
        <v>75</v>
      </c>
      <c r="K9" s="70" t="s">
        <v>2147</v>
      </c>
      <c r="L9" s="74">
        <v>99.01960784313725</v>
      </c>
      <c r="M9" s="75">
        <v>647.5416259765625</v>
      </c>
      <c r="N9" s="75">
        <v>2132.488037109375</v>
      </c>
      <c r="O9" s="76"/>
      <c r="P9" s="77"/>
      <c r="Q9" s="77"/>
      <c r="R9" s="90"/>
      <c r="S9" s="49">
        <v>1</v>
      </c>
      <c r="T9" s="49">
        <v>0</v>
      </c>
      <c r="U9" s="50">
        <v>0</v>
      </c>
      <c r="V9" s="50">
        <v>0.003636</v>
      </c>
      <c r="W9" s="50">
        <v>0</v>
      </c>
      <c r="X9" s="50">
        <v>0.003623</v>
      </c>
      <c r="Y9" s="50">
        <v>0</v>
      </c>
      <c r="Z9" s="50">
        <v>0</v>
      </c>
      <c r="AA9" s="72">
        <v>9</v>
      </c>
      <c r="AB9" s="72"/>
      <c r="AC9" s="73"/>
      <c r="AD9" s="80" t="s">
        <v>1240</v>
      </c>
      <c r="AE9" s="89" t="s">
        <v>1160</v>
      </c>
      <c r="AF9" s="80">
        <v>46</v>
      </c>
      <c r="AG9" s="80">
        <v>85</v>
      </c>
      <c r="AH9" s="80">
        <v>1888</v>
      </c>
      <c r="AI9" s="80">
        <v>19</v>
      </c>
      <c r="AJ9" s="80"/>
      <c r="AK9" s="80" t="s">
        <v>1775</v>
      </c>
      <c r="AL9" s="80" t="s">
        <v>2031</v>
      </c>
      <c r="AM9" s="86" t="str">
        <f>HYPERLINK("https://t.co/ZhdyqAOQzR")</f>
        <v>https://t.co/ZhdyqAOQzR</v>
      </c>
      <c r="AN9" s="80"/>
      <c r="AO9" s="82">
        <v>44536.95940972222</v>
      </c>
      <c r="AP9" s="86" t="str">
        <f>HYPERLINK("https://pbs.twimg.com/profile_banners/1467992361938534400/1646995369")</f>
        <v>https://pbs.twimg.com/profile_banners/1467992361938534400/1646995369</v>
      </c>
      <c r="AQ9" s="80" t="b">
        <v>1</v>
      </c>
      <c r="AR9" s="80" t="b">
        <v>0</v>
      </c>
      <c r="AS9" s="80" t="b">
        <v>0</v>
      </c>
      <c r="AT9" s="80"/>
      <c r="AU9" s="80">
        <v>1</v>
      </c>
      <c r="AV9" s="80"/>
      <c r="AW9" s="80" t="b">
        <v>0</v>
      </c>
      <c r="AX9" s="80" t="s">
        <v>2141</v>
      </c>
      <c r="AY9" s="86" t="str">
        <f>HYPERLINK("https://twitter.com/bebasagc")</f>
        <v>https://twitter.com/bebasagc</v>
      </c>
      <c r="AZ9" s="80" t="s">
        <v>65</v>
      </c>
      <c r="BA9" s="80" t="str">
        <f>REPLACE(INDEX(GroupVertices[Group],MATCH(Vertices[[#This Row],[Vertex]],GroupVertices[Vertex],0)),1,1,"")</f>
        <v>23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227</v>
      </c>
      <c r="B10" s="66"/>
      <c r="C10" s="66" t="s">
        <v>64</v>
      </c>
      <c r="D10" s="67"/>
      <c r="E10" s="69"/>
      <c r="F10" s="104" t="str">
        <f>HYPERLINK("https://pbs.twimg.com/profile_images/1378832728175607808/h3ZDByWl_normal.jpg")</f>
        <v>https://pbs.twimg.com/profile_images/1378832728175607808/h3ZDByWl_normal.jpg</v>
      </c>
      <c r="G10" s="66"/>
      <c r="H10" s="70" t="s">
        <v>227</v>
      </c>
      <c r="I10" s="71" t="s">
        <v>4396</v>
      </c>
      <c r="J10" s="71" t="s">
        <v>73</v>
      </c>
      <c r="K10" s="70" t="s">
        <v>2148</v>
      </c>
      <c r="L10" s="74">
        <v>1</v>
      </c>
      <c r="M10" s="75">
        <v>8322.306640625</v>
      </c>
      <c r="N10" s="75">
        <v>6658.10205078125</v>
      </c>
      <c r="O10" s="76"/>
      <c r="P10" s="77"/>
      <c r="Q10" s="77"/>
      <c r="R10" s="90"/>
      <c r="S10" s="49">
        <v>0</v>
      </c>
      <c r="T10" s="49">
        <v>1</v>
      </c>
      <c r="U10" s="50">
        <v>0</v>
      </c>
      <c r="V10" s="50">
        <v>0.003636</v>
      </c>
      <c r="W10" s="50">
        <v>0</v>
      </c>
      <c r="X10" s="50">
        <v>0.003623</v>
      </c>
      <c r="Y10" s="50">
        <v>0</v>
      </c>
      <c r="Z10" s="50">
        <v>0</v>
      </c>
      <c r="AA10" s="72">
        <v>10</v>
      </c>
      <c r="AB10" s="72"/>
      <c r="AC10" s="73"/>
      <c r="AD10" s="80" t="s">
        <v>1241</v>
      </c>
      <c r="AE10" s="89" t="s">
        <v>1513</v>
      </c>
      <c r="AF10" s="80">
        <v>191</v>
      </c>
      <c r="AG10" s="80">
        <v>574</v>
      </c>
      <c r="AH10" s="80">
        <v>4441</v>
      </c>
      <c r="AI10" s="80">
        <v>814</v>
      </c>
      <c r="AJ10" s="80"/>
      <c r="AK10" s="80" t="s">
        <v>1776</v>
      </c>
      <c r="AL10" s="80"/>
      <c r="AM10" s="80"/>
      <c r="AN10" s="80"/>
      <c r="AO10" s="82">
        <v>42664.875914351855</v>
      </c>
      <c r="AP10" s="86" t="str">
        <f>HYPERLINK("https://pbs.twimg.com/profile_banners/789572293320138756/1640747425")</f>
        <v>https://pbs.twimg.com/profile_banners/789572293320138756/1640747425</v>
      </c>
      <c r="AQ10" s="80" t="b">
        <v>0</v>
      </c>
      <c r="AR10" s="80" t="b">
        <v>0</v>
      </c>
      <c r="AS10" s="80" t="b">
        <v>1</v>
      </c>
      <c r="AT10" s="80"/>
      <c r="AU10" s="80">
        <v>0</v>
      </c>
      <c r="AV10" s="86" t="str">
        <f>HYPERLINK("https://abs.twimg.com/images/themes/theme1/bg.png")</f>
        <v>https://abs.twimg.com/images/themes/theme1/bg.png</v>
      </c>
      <c r="AW10" s="80" t="b">
        <v>0</v>
      </c>
      <c r="AX10" s="80" t="s">
        <v>2141</v>
      </c>
      <c r="AY10" s="86" t="str">
        <f>HYPERLINK("https://twitter.com/nesteagg")</f>
        <v>https://twitter.com/nesteagg</v>
      </c>
      <c r="AZ10" s="80" t="s">
        <v>66</v>
      </c>
      <c r="BA10" s="80" t="str">
        <f>REPLACE(INDEX(GroupVertices[Group],MATCH(Vertices[[#This Row],[Vertex]],GroupVertices[Vertex],0)),1,1,"")</f>
        <v>22</v>
      </c>
      <c r="BB10" s="49">
        <v>0</v>
      </c>
      <c r="BC10" s="50">
        <v>0</v>
      </c>
      <c r="BD10" s="49">
        <v>0</v>
      </c>
      <c r="BE10" s="50">
        <v>0</v>
      </c>
      <c r="BF10" s="49">
        <v>0</v>
      </c>
      <c r="BG10" s="50">
        <v>0</v>
      </c>
      <c r="BH10" s="49">
        <v>7</v>
      </c>
      <c r="BI10" s="50">
        <v>100</v>
      </c>
      <c r="BJ10" s="49">
        <v>7</v>
      </c>
      <c r="BK10" s="49"/>
      <c r="BL10" s="49"/>
      <c r="BM10" s="49"/>
      <c r="BN10" s="49"/>
      <c r="BO10" s="49"/>
      <c r="BP10" s="49"/>
      <c r="BQ10" s="116" t="s">
        <v>4238</v>
      </c>
      <c r="BR10" s="116" t="s">
        <v>4238</v>
      </c>
      <c r="BS10" s="116" t="s">
        <v>4319</v>
      </c>
      <c r="BT10" s="116" t="s">
        <v>4319</v>
      </c>
      <c r="BU10" s="2"/>
      <c r="BV10" s="3"/>
      <c r="BW10" s="3"/>
      <c r="BX10" s="3"/>
      <c r="BY10" s="3"/>
    </row>
    <row r="11" spans="1:77" ht="15">
      <c r="A11" s="65" t="s">
        <v>489</v>
      </c>
      <c r="B11" s="66"/>
      <c r="C11" s="66" t="s">
        <v>64</v>
      </c>
      <c r="D11" s="67">
        <v>10</v>
      </c>
      <c r="E11" s="69"/>
      <c r="F11" s="104" t="str">
        <f>HYPERLINK("https://pbs.twimg.com/profile_images/1490712528644718594/VW-8FUTQ_normal.jpg")</f>
        <v>https://pbs.twimg.com/profile_images/1490712528644718594/VW-8FUTQ_normal.jpg</v>
      </c>
      <c r="G11" s="66"/>
      <c r="H11" s="70" t="s">
        <v>489</v>
      </c>
      <c r="I11" s="71" t="s">
        <v>4396</v>
      </c>
      <c r="J11" s="71" t="s">
        <v>75</v>
      </c>
      <c r="K11" s="70" t="s">
        <v>2149</v>
      </c>
      <c r="L11" s="74">
        <v>99.01960784313725</v>
      </c>
      <c r="M11" s="75">
        <v>8665.357421875</v>
      </c>
      <c r="N11" s="75">
        <v>6658.10205078125</v>
      </c>
      <c r="O11" s="76"/>
      <c r="P11" s="77"/>
      <c r="Q11" s="77"/>
      <c r="R11" s="90"/>
      <c r="S11" s="49">
        <v>1</v>
      </c>
      <c r="T11" s="49">
        <v>0</v>
      </c>
      <c r="U11" s="50">
        <v>0</v>
      </c>
      <c r="V11" s="50">
        <v>0.003636</v>
      </c>
      <c r="W11" s="50">
        <v>0</v>
      </c>
      <c r="X11" s="50">
        <v>0.003623</v>
      </c>
      <c r="Y11" s="50">
        <v>0</v>
      </c>
      <c r="Z11" s="50">
        <v>0</v>
      </c>
      <c r="AA11" s="72">
        <v>11</v>
      </c>
      <c r="AB11" s="72"/>
      <c r="AC11" s="73"/>
      <c r="AD11" s="80" t="s">
        <v>1242</v>
      </c>
      <c r="AE11" s="89" t="s">
        <v>1161</v>
      </c>
      <c r="AF11" s="80">
        <v>939</v>
      </c>
      <c r="AG11" s="80">
        <v>12671</v>
      </c>
      <c r="AH11" s="80">
        <v>7531</v>
      </c>
      <c r="AI11" s="80">
        <v>8877</v>
      </c>
      <c r="AJ11" s="80"/>
      <c r="AK11" s="80" t="s">
        <v>1777</v>
      </c>
      <c r="AL11" s="80"/>
      <c r="AM11" s="86" t="str">
        <f>HYPERLINK("https://t.co/hrFRn7Nbar")</f>
        <v>https://t.co/hrFRn7Nbar</v>
      </c>
      <c r="AN11" s="80"/>
      <c r="AO11" s="82">
        <v>42549.522627314815</v>
      </c>
      <c r="AP11" s="86" t="str">
        <f>HYPERLINK("https://pbs.twimg.com/profile_banners/747769664273514496/1644368176")</f>
        <v>https://pbs.twimg.com/profile_banners/747769664273514496/1644368176</v>
      </c>
      <c r="AQ11" s="80" t="b">
        <v>0</v>
      </c>
      <c r="AR11" s="80" t="b">
        <v>0</v>
      </c>
      <c r="AS11" s="80" t="b">
        <v>0</v>
      </c>
      <c r="AT11" s="80"/>
      <c r="AU11" s="80">
        <v>18</v>
      </c>
      <c r="AV11" s="86" t="str">
        <f>HYPERLINK("https://abs.twimg.com/images/themes/theme1/bg.png")</f>
        <v>https://abs.twimg.com/images/themes/theme1/bg.png</v>
      </c>
      <c r="AW11" s="80" t="b">
        <v>0</v>
      </c>
      <c r="AX11" s="80" t="s">
        <v>2141</v>
      </c>
      <c r="AY11" s="86" t="str">
        <f>HYPERLINK("https://twitter.com/faaayn")</f>
        <v>https://twitter.com/faaayn</v>
      </c>
      <c r="AZ11" s="80" t="s">
        <v>65</v>
      </c>
      <c r="BA11" s="80" t="str">
        <f>REPLACE(INDEX(GroupVertices[Group],MATCH(Vertices[[#This Row],[Vertex]],GroupVertices[Vertex],0)),1,1,"")</f>
        <v>22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228</v>
      </c>
      <c r="B12" s="66"/>
      <c r="C12" s="66" t="s">
        <v>64</v>
      </c>
      <c r="D12" s="67">
        <v>436.36979249265914</v>
      </c>
      <c r="E12" s="69"/>
      <c r="F12" s="104" t="str">
        <f>HYPERLINK("https://pbs.twimg.com/profile_images/968384431391236096/nJzyJrtJ_normal.jpg")</f>
        <v>https://pbs.twimg.com/profile_images/968384431391236096/nJzyJrtJ_normal.jpg</v>
      </c>
      <c r="G12" s="66"/>
      <c r="H12" s="70" t="s">
        <v>228</v>
      </c>
      <c r="I12" s="71" t="s">
        <v>4397</v>
      </c>
      <c r="J12" s="71" t="s">
        <v>73</v>
      </c>
      <c r="K12" s="70" t="s">
        <v>2150</v>
      </c>
      <c r="L12" s="74">
        <v>197.0392156862745</v>
      </c>
      <c r="M12" s="75">
        <v>9095.869140625</v>
      </c>
      <c r="N12" s="75">
        <v>8269.3154296875</v>
      </c>
      <c r="O12" s="76"/>
      <c r="P12" s="77"/>
      <c r="Q12" s="77"/>
      <c r="R12" s="90"/>
      <c r="S12" s="49">
        <v>2</v>
      </c>
      <c r="T12" s="49">
        <v>2</v>
      </c>
      <c r="U12" s="50">
        <v>0</v>
      </c>
      <c r="V12" s="50">
        <v>0.007273</v>
      </c>
      <c r="W12" s="50">
        <v>0</v>
      </c>
      <c r="X12" s="50">
        <v>0.0038</v>
      </c>
      <c r="Y12" s="50">
        <v>0.5</v>
      </c>
      <c r="Z12" s="50">
        <v>0</v>
      </c>
      <c r="AA12" s="72">
        <v>12</v>
      </c>
      <c r="AB12" s="72"/>
      <c r="AC12" s="73"/>
      <c r="AD12" s="80" t="s">
        <v>1243</v>
      </c>
      <c r="AE12" s="89" t="s">
        <v>1514</v>
      </c>
      <c r="AF12" s="80">
        <v>7692</v>
      </c>
      <c r="AG12" s="80">
        <v>11301</v>
      </c>
      <c r="AH12" s="80">
        <v>205965</v>
      </c>
      <c r="AI12" s="80">
        <v>19534</v>
      </c>
      <c r="AJ12" s="80"/>
      <c r="AK12" s="80" t="s">
        <v>1778</v>
      </c>
      <c r="AL12" s="80" t="s">
        <v>2032</v>
      </c>
      <c r="AM12" s="80"/>
      <c r="AN12" s="80"/>
      <c r="AO12" s="82">
        <v>41331.525092592594</v>
      </c>
      <c r="AP12" s="80"/>
      <c r="AQ12" s="80" t="b">
        <v>1</v>
      </c>
      <c r="AR12" s="80" t="b">
        <v>0</v>
      </c>
      <c r="AS12" s="80" t="b">
        <v>0</v>
      </c>
      <c r="AT12" s="80"/>
      <c r="AU12" s="80">
        <v>318</v>
      </c>
      <c r="AV12" s="86" t="str">
        <f>HYPERLINK("https://abs.twimg.com/images/themes/theme1/bg.png")</f>
        <v>https://abs.twimg.com/images/themes/theme1/bg.png</v>
      </c>
      <c r="AW12" s="80" t="b">
        <v>0</v>
      </c>
      <c r="AX12" s="80" t="s">
        <v>2141</v>
      </c>
      <c r="AY12" s="86" t="str">
        <f>HYPERLINK("https://twitter.com/forcollecting")</f>
        <v>https://twitter.com/forcollecting</v>
      </c>
      <c r="AZ12" s="80" t="s">
        <v>66</v>
      </c>
      <c r="BA12" s="80" t="str">
        <f>REPLACE(INDEX(GroupVertices[Group],MATCH(Vertices[[#This Row],[Vertex]],GroupVertices[Vertex],0)),1,1,"")</f>
        <v>7</v>
      </c>
      <c r="BB12" s="49">
        <v>0</v>
      </c>
      <c r="BC12" s="50">
        <v>0</v>
      </c>
      <c r="BD12" s="49">
        <v>0</v>
      </c>
      <c r="BE12" s="50">
        <v>0</v>
      </c>
      <c r="BF12" s="49">
        <v>0</v>
      </c>
      <c r="BG12" s="50">
        <v>0</v>
      </c>
      <c r="BH12" s="49">
        <v>30</v>
      </c>
      <c r="BI12" s="50">
        <v>100</v>
      </c>
      <c r="BJ12" s="49">
        <v>30</v>
      </c>
      <c r="BK12" s="49" t="s">
        <v>3993</v>
      </c>
      <c r="BL12" s="49" t="s">
        <v>3993</v>
      </c>
      <c r="BM12" s="49" t="s">
        <v>579</v>
      </c>
      <c r="BN12" s="49" t="s">
        <v>579</v>
      </c>
      <c r="BO12" s="49" t="s">
        <v>587</v>
      </c>
      <c r="BP12" s="49" t="s">
        <v>587</v>
      </c>
      <c r="BQ12" s="116" t="s">
        <v>4083</v>
      </c>
      <c r="BR12" s="116" t="s">
        <v>4083</v>
      </c>
      <c r="BS12" s="116" t="s">
        <v>4160</v>
      </c>
      <c r="BT12" s="116" t="s">
        <v>4160</v>
      </c>
      <c r="BU12" s="2"/>
      <c r="BV12" s="3"/>
      <c r="BW12" s="3"/>
      <c r="BX12" s="3"/>
      <c r="BY12" s="3"/>
    </row>
    <row r="13" spans="1:77" ht="15">
      <c r="A13" s="65" t="s">
        <v>490</v>
      </c>
      <c r="B13" s="66"/>
      <c r="C13" s="66" t="s">
        <v>64</v>
      </c>
      <c r="D13" s="67">
        <v>436.36979249265914</v>
      </c>
      <c r="E13" s="69"/>
      <c r="F13" s="104" t="str">
        <f>HYPERLINK("https://pbs.twimg.com/profile_images/1298393185152929792/1-xnrZpc_normal.jpg")</f>
        <v>https://pbs.twimg.com/profile_images/1298393185152929792/1-xnrZpc_normal.jpg</v>
      </c>
      <c r="G13" s="66"/>
      <c r="H13" s="70" t="s">
        <v>490</v>
      </c>
      <c r="I13" s="71" t="s">
        <v>4397</v>
      </c>
      <c r="J13" s="71" t="s">
        <v>75</v>
      </c>
      <c r="K13" s="70" t="s">
        <v>2151</v>
      </c>
      <c r="L13" s="74">
        <v>197.0392156862745</v>
      </c>
      <c r="M13" s="75">
        <v>9832.953125</v>
      </c>
      <c r="N13" s="75">
        <v>8604.1689453125</v>
      </c>
      <c r="O13" s="76"/>
      <c r="P13" s="77"/>
      <c r="Q13" s="77"/>
      <c r="R13" s="90"/>
      <c r="S13" s="49">
        <v>2</v>
      </c>
      <c r="T13" s="49">
        <v>0</v>
      </c>
      <c r="U13" s="50">
        <v>0</v>
      </c>
      <c r="V13" s="50">
        <v>0.007273</v>
      </c>
      <c r="W13" s="50">
        <v>0</v>
      </c>
      <c r="X13" s="50">
        <v>0.003535</v>
      </c>
      <c r="Y13" s="50">
        <v>0.5</v>
      </c>
      <c r="Z13" s="50">
        <v>0</v>
      </c>
      <c r="AA13" s="72">
        <v>13</v>
      </c>
      <c r="AB13" s="72"/>
      <c r="AC13" s="73"/>
      <c r="AD13" s="80" t="s">
        <v>1244</v>
      </c>
      <c r="AE13" s="89" t="s">
        <v>1515</v>
      </c>
      <c r="AF13" s="80">
        <v>1211</v>
      </c>
      <c r="AG13" s="80">
        <v>759217</v>
      </c>
      <c r="AH13" s="80">
        <v>33779</v>
      </c>
      <c r="AI13" s="80">
        <v>6400</v>
      </c>
      <c r="AJ13" s="80"/>
      <c r="AK13" s="80" t="s">
        <v>1779</v>
      </c>
      <c r="AL13" s="80" t="s">
        <v>2033</v>
      </c>
      <c r="AM13" s="86" t="str">
        <f>HYPERLINK("https://t.co/k7Z7aNA4bb")</f>
        <v>https://t.co/k7Z7aNA4bb</v>
      </c>
      <c r="AN13" s="80"/>
      <c r="AO13" s="82">
        <v>39842.534479166665</v>
      </c>
      <c r="AP13" s="86" t="str">
        <f>HYPERLINK("https://pbs.twimg.com/profile_banners/19709040/1609357138")</f>
        <v>https://pbs.twimg.com/profile_banners/19709040/1609357138</v>
      </c>
      <c r="AQ13" s="80" t="b">
        <v>0</v>
      </c>
      <c r="AR13" s="80" t="b">
        <v>0</v>
      </c>
      <c r="AS13" s="80" t="b">
        <v>1</v>
      </c>
      <c r="AT13" s="80"/>
      <c r="AU13" s="80">
        <v>3908</v>
      </c>
      <c r="AV13" s="86" t="str">
        <f>HYPERLINK("https://abs.twimg.com/images/themes/theme1/bg.png")</f>
        <v>https://abs.twimg.com/images/themes/theme1/bg.png</v>
      </c>
      <c r="AW13" s="80" t="b">
        <v>1</v>
      </c>
      <c r="AX13" s="80" t="s">
        <v>2141</v>
      </c>
      <c r="AY13" s="86" t="str">
        <f>HYPERLINK("https://twitter.com/ebay")</f>
        <v>https://twitter.com/ebay</v>
      </c>
      <c r="AZ13" s="80" t="s">
        <v>65</v>
      </c>
      <c r="BA13" s="80"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229</v>
      </c>
      <c r="B14" s="66"/>
      <c r="C14" s="66" t="s">
        <v>64</v>
      </c>
      <c r="D14" s="67"/>
      <c r="E14" s="69"/>
      <c r="F14" s="104" t="str">
        <f>HYPERLINK("https://pbs.twimg.com/profile_images/1136342415499907072/xxCzt-ZU_normal.png")</f>
        <v>https://pbs.twimg.com/profile_images/1136342415499907072/xxCzt-ZU_normal.png</v>
      </c>
      <c r="G14" s="66"/>
      <c r="H14" s="70" t="s">
        <v>229</v>
      </c>
      <c r="I14" s="71" t="s">
        <v>4397</v>
      </c>
      <c r="J14" s="71" t="s">
        <v>73</v>
      </c>
      <c r="K14" s="70" t="s">
        <v>2152</v>
      </c>
      <c r="L14" s="74">
        <v>1</v>
      </c>
      <c r="M14" s="75">
        <v>8150.76513671875</v>
      </c>
      <c r="N14" s="75">
        <v>8695.8134765625</v>
      </c>
      <c r="O14" s="76"/>
      <c r="P14" s="77"/>
      <c r="Q14" s="77"/>
      <c r="R14" s="90"/>
      <c r="S14" s="49">
        <v>0</v>
      </c>
      <c r="T14" s="49">
        <v>2</v>
      </c>
      <c r="U14" s="50">
        <v>0</v>
      </c>
      <c r="V14" s="50">
        <v>0.007273</v>
      </c>
      <c r="W14" s="50">
        <v>0</v>
      </c>
      <c r="X14" s="50">
        <v>0.003535</v>
      </c>
      <c r="Y14" s="50">
        <v>0.5</v>
      </c>
      <c r="Z14" s="50">
        <v>0</v>
      </c>
      <c r="AA14" s="72">
        <v>14</v>
      </c>
      <c r="AB14" s="72"/>
      <c r="AC14" s="73"/>
      <c r="AD14" s="80" t="s">
        <v>1245</v>
      </c>
      <c r="AE14" s="89" t="s">
        <v>1516</v>
      </c>
      <c r="AF14" s="80">
        <v>18023</v>
      </c>
      <c r="AG14" s="80">
        <v>29466</v>
      </c>
      <c r="AH14" s="80">
        <v>284982</v>
      </c>
      <c r="AI14" s="80">
        <v>8749</v>
      </c>
      <c r="AJ14" s="80"/>
      <c r="AK14" s="80" t="s">
        <v>1780</v>
      </c>
      <c r="AL14" s="80" t="s">
        <v>2034</v>
      </c>
      <c r="AM14" s="86" t="str">
        <f>HYPERLINK("https://t.co/SLRzmIfWtt")</f>
        <v>https://t.co/SLRzmIfWtt</v>
      </c>
      <c r="AN14" s="80"/>
      <c r="AO14" s="82">
        <v>40432.82983796296</v>
      </c>
      <c r="AP14" s="86" t="str">
        <f>HYPERLINK("https://pbs.twimg.com/profile_banners/189627901/1559760207")</f>
        <v>https://pbs.twimg.com/profile_banners/189627901/1559760207</v>
      </c>
      <c r="AQ14" s="80" t="b">
        <v>0</v>
      </c>
      <c r="AR14" s="80" t="b">
        <v>0</v>
      </c>
      <c r="AS14" s="80" t="b">
        <v>0</v>
      </c>
      <c r="AT14" s="80"/>
      <c r="AU14" s="80">
        <v>1451</v>
      </c>
      <c r="AV14" s="86" t="str">
        <f>HYPERLINK("https://abs.twimg.com/images/themes/theme1/bg.png")</f>
        <v>https://abs.twimg.com/images/themes/theme1/bg.png</v>
      </c>
      <c r="AW14" s="80" t="b">
        <v>0</v>
      </c>
      <c r="AX14" s="80" t="s">
        <v>2141</v>
      </c>
      <c r="AY14" s="86" t="str">
        <f>HYPERLINK("https://twitter.com/cozyatoz")</f>
        <v>https://twitter.com/cozyatoz</v>
      </c>
      <c r="AZ14" s="80" t="s">
        <v>66</v>
      </c>
      <c r="BA14" s="80" t="str">
        <f>REPLACE(INDEX(GroupVertices[Group],MATCH(Vertices[[#This Row],[Vertex]],GroupVertices[Vertex],0)),1,1,"")</f>
        <v>7</v>
      </c>
      <c r="BB14" s="49">
        <v>0</v>
      </c>
      <c r="BC14" s="50">
        <v>0</v>
      </c>
      <c r="BD14" s="49">
        <v>0</v>
      </c>
      <c r="BE14" s="50">
        <v>0</v>
      </c>
      <c r="BF14" s="49">
        <v>0</v>
      </c>
      <c r="BG14" s="50">
        <v>0</v>
      </c>
      <c r="BH14" s="49">
        <v>15</v>
      </c>
      <c r="BI14" s="50">
        <v>100</v>
      </c>
      <c r="BJ14" s="49">
        <v>15</v>
      </c>
      <c r="BK14" s="49" t="s">
        <v>3993</v>
      </c>
      <c r="BL14" s="49" t="s">
        <v>3993</v>
      </c>
      <c r="BM14" s="49" t="s">
        <v>579</v>
      </c>
      <c r="BN14" s="49" t="s">
        <v>579</v>
      </c>
      <c r="BO14" s="49" t="s">
        <v>587</v>
      </c>
      <c r="BP14" s="49" t="s">
        <v>587</v>
      </c>
      <c r="BQ14" s="116" t="s">
        <v>4083</v>
      </c>
      <c r="BR14" s="116" t="s">
        <v>4083</v>
      </c>
      <c r="BS14" s="116" t="s">
        <v>4160</v>
      </c>
      <c r="BT14" s="116" t="s">
        <v>4160</v>
      </c>
      <c r="BU14" s="2"/>
      <c r="BV14" s="3"/>
      <c r="BW14" s="3"/>
      <c r="BX14" s="3"/>
      <c r="BY14" s="3"/>
    </row>
    <row r="15" spans="1:77" ht="15">
      <c r="A15" s="65" t="s">
        <v>230</v>
      </c>
      <c r="B15" s="66"/>
      <c r="C15" s="66" t="s">
        <v>64</v>
      </c>
      <c r="D15" s="67">
        <v>10</v>
      </c>
      <c r="E15" s="69"/>
      <c r="F15" s="104" t="str">
        <f>HYPERLINK("https://pbs.twimg.com/profile_images/1464925430083850246/xqH5IO5V_normal.jpg")</f>
        <v>https://pbs.twimg.com/profile_images/1464925430083850246/xqH5IO5V_normal.jpg</v>
      </c>
      <c r="G15" s="66"/>
      <c r="H15" s="70" t="s">
        <v>230</v>
      </c>
      <c r="I15" s="71" t="s">
        <v>4398</v>
      </c>
      <c r="J15" s="71" t="s">
        <v>73</v>
      </c>
      <c r="K15" s="70" t="s">
        <v>2153</v>
      </c>
      <c r="L15" s="74">
        <v>99.01960784313725</v>
      </c>
      <c r="M15" s="75"/>
      <c r="N15" s="75"/>
      <c r="O15" s="76"/>
      <c r="P15" s="77"/>
      <c r="Q15" s="77"/>
      <c r="R15" s="90"/>
      <c r="S15" s="49">
        <v>1</v>
      </c>
      <c r="T15" s="49">
        <v>1</v>
      </c>
      <c r="U15" s="50">
        <v>0</v>
      </c>
      <c r="V15" s="50">
        <v>0</v>
      </c>
      <c r="W15" s="50">
        <v>0</v>
      </c>
      <c r="X15" s="50">
        <v>0.003623</v>
      </c>
      <c r="Y15" s="50">
        <v>0</v>
      </c>
      <c r="Z15" s="50">
        <v>0</v>
      </c>
      <c r="AA15" s="72">
        <v>15</v>
      </c>
      <c r="AB15" s="72"/>
      <c r="AC15" s="73"/>
      <c r="AD15" s="80" t="s">
        <v>1246</v>
      </c>
      <c r="AE15" s="89" t="s">
        <v>1517</v>
      </c>
      <c r="AF15" s="80">
        <v>13</v>
      </c>
      <c r="AG15" s="80">
        <v>0</v>
      </c>
      <c r="AH15" s="80">
        <v>125</v>
      </c>
      <c r="AI15" s="80">
        <v>2</v>
      </c>
      <c r="AJ15" s="80"/>
      <c r="AK15" s="80"/>
      <c r="AL15" s="80"/>
      <c r="AM15" s="80"/>
      <c r="AN15" s="80"/>
      <c r="AO15" s="82">
        <v>44524.24219907408</v>
      </c>
      <c r="AP15" s="80"/>
      <c r="AQ15" s="80" t="b">
        <v>1</v>
      </c>
      <c r="AR15" s="80" t="b">
        <v>0</v>
      </c>
      <c r="AS15" s="80" t="b">
        <v>0</v>
      </c>
      <c r="AT15" s="80"/>
      <c r="AU15" s="80">
        <v>0</v>
      </c>
      <c r="AV15" s="80"/>
      <c r="AW15" s="80" t="b">
        <v>0</v>
      </c>
      <c r="AX15" s="80" t="s">
        <v>2141</v>
      </c>
      <c r="AY15" s="86" t="str">
        <f>HYPERLINK("https://twitter.com/leonchangkun")</f>
        <v>https://twitter.com/leonchangkun</v>
      </c>
      <c r="AZ15" s="80" t="s">
        <v>66</v>
      </c>
      <c r="BA15" s="80" t="str">
        <f>REPLACE(INDEX(GroupVertices[Group],MATCH(Vertices[[#This Row],[Vertex]],GroupVertices[Vertex],0)),1,1,"")</f>
        <v>3</v>
      </c>
      <c r="BB15" s="49">
        <v>0</v>
      </c>
      <c r="BC15" s="50">
        <v>0</v>
      </c>
      <c r="BD15" s="49">
        <v>0</v>
      </c>
      <c r="BE15" s="50">
        <v>0</v>
      </c>
      <c r="BF15" s="49">
        <v>0</v>
      </c>
      <c r="BG15" s="50">
        <v>0</v>
      </c>
      <c r="BH15" s="49">
        <v>12</v>
      </c>
      <c r="BI15" s="50">
        <v>100</v>
      </c>
      <c r="BJ15" s="49">
        <v>12</v>
      </c>
      <c r="BK15" s="49"/>
      <c r="BL15" s="49"/>
      <c r="BM15" s="49"/>
      <c r="BN15" s="49"/>
      <c r="BO15" s="49" t="s">
        <v>588</v>
      </c>
      <c r="BP15" s="49" t="s">
        <v>588</v>
      </c>
      <c r="BQ15" s="116" t="s">
        <v>4239</v>
      </c>
      <c r="BR15" s="116" t="s">
        <v>4239</v>
      </c>
      <c r="BS15" s="116" t="s">
        <v>4320</v>
      </c>
      <c r="BT15" s="116" t="s">
        <v>4320</v>
      </c>
      <c r="BU15" s="2"/>
      <c r="BV15" s="3"/>
      <c r="BW15" s="3"/>
      <c r="BX15" s="3"/>
      <c r="BY15" s="3"/>
    </row>
    <row r="16" spans="1:77" ht="15">
      <c r="A16" s="65" t="s">
        <v>231</v>
      </c>
      <c r="B16" s="66"/>
      <c r="C16" s="66" t="s">
        <v>64</v>
      </c>
      <c r="D16" s="67">
        <v>10</v>
      </c>
      <c r="E16" s="69"/>
      <c r="F16" s="104" t="str">
        <f>HYPERLINK("https://pbs.twimg.com/profile_images/679176583886729217/4vJ3My84_normal.jpg")</f>
        <v>https://pbs.twimg.com/profile_images/679176583886729217/4vJ3My84_normal.jpg</v>
      </c>
      <c r="G16" s="66"/>
      <c r="H16" s="70" t="s">
        <v>231</v>
      </c>
      <c r="I16" s="71" t="s">
        <v>4398</v>
      </c>
      <c r="J16" s="71" t="s">
        <v>73</v>
      </c>
      <c r="K16" s="70" t="s">
        <v>2154</v>
      </c>
      <c r="L16" s="74">
        <v>99.01960784313725</v>
      </c>
      <c r="M16" s="75"/>
      <c r="N16" s="75"/>
      <c r="O16" s="76"/>
      <c r="P16" s="77"/>
      <c r="Q16" s="77"/>
      <c r="R16" s="90"/>
      <c r="S16" s="49">
        <v>1</v>
      </c>
      <c r="T16" s="49">
        <v>1</v>
      </c>
      <c r="U16" s="50">
        <v>0</v>
      </c>
      <c r="V16" s="50">
        <v>0</v>
      </c>
      <c r="W16" s="50">
        <v>0</v>
      </c>
      <c r="X16" s="50">
        <v>0.003623</v>
      </c>
      <c r="Y16" s="50">
        <v>0</v>
      </c>
      <c r="Z16" s="50">
        <v>0</v>
      </c>
      <c r="AA16" s="72">
        <v>16</v>
      </c>
      <c r="AB16" s="72"/>
      <c r="AC16" s="73"/>
      <c r="AD16" s="80" t="s">
        <v>1247</v>
      </c>
      <c r="AE16" s="89" t="s">
        <v>1518</v>
      </c>
      <c r="AF16" s="80">
        <v>5</v>
      </c>
      <c r="AG16" s="80">
        <v>4</v>
      </c>
      <c r="AH16" s="80">
        <v>108</v>
      </c>
      <c r="AI16" s="80">
        <v>2</v>
      </c>
      <c r="AJ16" s="80"/>
      <c r="AK16" s="80"/>
      <c r="AL16" s="80"/>
      <c r="AM16" s="80"/>
      <c r="AN16" s="80"/>
      <c r="AO16" s="82">
        <v>42359.64251157407</v>
      </c>
      <c r="AP16" s="80"/>
      <c r="AQ16" s="80" t="b">
        <v>1</v>
      </c>
      <c r="AR16" s="80" t="b">
        <v>0</v>
      </c>
      <c r="AS16" s="80" t="b">
        <v>0</v>
      </c>
      <c r="AT16" s="80"/>
      <c r="AU16" s="80">
        <v>0</v>
      </c>
      <c r="AV16" s="80"/>
      <c r="AW16" s="80" t="b">
        <v>0</v>
      </c>
      <c r="AX16" s="80" t="s">
        <v>2141</v>
      </c>
      <c r="AY16" s="86" t="str">
        <f>HYPERLINK("https://twitter.com/gilangtamrin1")</f>
        <v>https://twitter.com/gilangtamrin1</v>
      </c>
      <c r="AZ16" s="80" t="s">
        <v>66</v>
      </c>
      <c r="BA16" s="80" t="str">
        <f>REPLACE(INDEX(GroupVertices[Group],MATCH(Vertices[[#This Row],[Vertex]],GroupVertices[Vertex],0)),1,1,"")</f>
        <v>3</v>
      </c>
      <c r="BB16" s="49">
        <v>0</v>
      </c>
      <c r="BC16" s="50">
        <v>0</v>
      </c>
      <c r="BD16" s="49">
        <v>0</v>
      </c>
      <c r="BE16" s="50">
        <v>0</v>
      </c>
      <c r="BF16" s="49">
        <v>0</v>
      </c>
      <c r="BG16" s="50">
        <v>0</v>
      </c>
      <c r="BH16" s="49">
        <v>12</v>
      </c>
      <c r="BI16" s="50">
        <v>100</v>
      </c>
      <c r="BJ16" s="49">
        <v>12</v>
      </c>
      <c r="BK16" s="49"/>
      <c r="BL16" s="49"/>
      <c r="BM16" s="49"/>
      <c r="BN16" s="49"/>
      <c r="BO16" s="49" t="s">
        <v>588</v>
      </c>
      <c r="BP16" s="49" t="s">
        <v>588</v>
      </c>
      <c r="BQ16" s="116" t="s">
        <v>4239</v>
      </c>
      <c r="BR16" s="116" t="s">
        <v>4239</v>
      </c>
      <c r="BS16" s="116" t="s">
        <v>4320</v>
      </c>
      <c r="BT16" s="116" t="s">
        <v>4320</v>
      </c>
      <c r="BU16" s="2"/>
      <c r="BV16" s="3"/>
      <c r="BW16" s="3"/>
      <c r="BX16" s="3"/>
      <c r="BY16" s="3"/>
    </row>
    <row r="17" spans="1:77" ht="15">
      <c r="A17" s="65" t="s">
        <v>232</v>
      </c>
      <c r="B17" s="66"/>
      <c r="C17" s="66" t="s">
        <v>64</v>
      </c>
      <c r="D17" s="67"/>
      <c r="E17" s="69"/>
      <c r="F17" s="104" t="str">
        <f>HYPERLINK("https://pbs.twimg.com/profile_images/1506720638031241216/IujRUTkp_normal.jpg")</f>
        <v>https://pbs.twimg.com/profile_images/1506720638031241216/IujRUTkp_normal.jpg</v>
      </c>
      <c r="G17" s="66"/>
      <c r="H17" s="70" t="s">
        <v>232</v>
      </c>
      <c r="I17" s="71" t="s">
        <v>4396</v>
      </c>
      <c r="J17" s="71" t="s">
        <v>73</v>
      </c>
      <c r="K17" s="70" t="s">
        <v>2155</v>
      </c>
      <c r="L17" s="74">
        <v>1</v>
      </c>
      <c r="M17" s="75">
        <v>304.4908142089844</v>
      </c>
      <c r="N17" s="75">
        <v>1705.990478515625</v>
      </c>
      <c r="O17" s="76"/>
      <c r="P17" s="77"/>
      <c r="Q17" s="77"/>
      <c r="R17" s="90"/>
      <c r="S17" s="49">
        <v>0</v>
      </c>
      <c r="T17" s="49">
        <v>1</v>
      </c>
      <c r="U17" s="50">
        <v>0</v>
      </c>
      <c r="V17" s="50">
        <v>0.003636</v>
      </c>
      <c r="W17" s="50">
        <v>0</v>
      </c>
      <c r="X17" s="50">
        <v>0.003623</v>
      </c>
      <c r="Y17" s="50">
        <v>0</v>
      </c>
      <c r="Z17" s="50">
        <v>0</v>
      </c>
      <c r="AA17" s="72">
        <v>17</v>
      </c>
      <c r="AB17" s="72"/>
      <c r="AC17" s="73"/>
      <c r="AD17" s="80" t="s">
        <v>1248</v>
      </c>
      <c r="AE17" s="89" t="s">
        <v>1519</v>
      </c>
      <c r="AF17" s="80">
        <v>455</v>
      </c>
      <c r="AG17" s="80">
        <v>400</v>
      </c>
      <c r="AH17" s="80">
        <v>12180</v>
      </c>
      <c r="AI17" s="80">
        <v>1164</v>
      </c>
      <c r="AJ17" s="80"/>
      <c r="AK17" s="80" t="s">
        <v>1781</v>
      </c>
      <c r="AL17" s="80" t="s">
        <v>2035</v>
      </c>
      <c r="AM17" s="80"/>
      <c r="AN17" s="80"/>
      <c r="AO17" s="82">
        <v>44198.7290162037</v>
      </c>
      <c r="AP17" s="86" t="str">
        <f>HYPERLINK("https://pbs.twimg.com/profile_banners/1345421986239975424/1648141250")</f>
        <v>https://pbs.twimg.com/profile_banners/1345421986239975424/1648141250</v>
      </c>
      <c r="AQ17" s="80" t="b">
        <v>1</v>
      </c>
      <c r="AR17" s="80" t="b">
        <v>0</v>
      </c>
      <c r="AS17" s="80" t="b">
        <v>0</v>
      </c>
      <c r="AT17" s="80"/>
      <c r="AU17" s="80">
        <v>1</v>
      </c>
      <c r="AV17" s="80"/>
      <c r="AW17" s="80" t="b">
        <v>0</v>
      </c>
      <c r="AX17" s="80" t="s">
        <v>2141</v>
      </c>
      <c r="AY17" s="86" t="str">
        <f>HYPERLINK("https://twitter.com/inirpjk")</f>
        <v>https://twitter.com/inirpjk</v>
      </c>
      <c r="AZ17" s="80" t="s">
        <v>66</v>
      </c>
      <c r="BA17" s="80" t="str">
        <f>REPLACE(INDEX(GroupVertices[Group],MATCH(Vertices[[#This Row],[Vertex]],GroupVertices[Vertex],0)),1,1,"")</f>
        <v>21</v>
      </c>
      <c r="BB17" s="49">
        <v>0</v>
      </c>
      <c r="BC17" s="50">
        <v>0</v>
      </c>
      <c r="BD17" s="49">
        <v>0</v>
      </c>
      <c r="BE17" s="50">
        <v>0</v>
      </c>
      <c r="BF17" s="49">
        <v>0</v>
      </c>
      <c r="BG17" s="50">
        <v>0</v>
      </c>
      <c r="BH17" s="49">
        <v>3</v>
      </c>
      <c r="BI17" s="50">
        <v>100</v>
      </c>
      <c r="BJ17" s="49">
        <v>3</v>
      </c>
      <c r="BK17" s="49"/>
      <c r="BL17" s="49"/>
      <c r="BM17" s="49"/>
      <c r="BN17" s="49"/>
      <c r="BO17" s="49"/>
      <c r="BP17" s="49"/>
      <c r="BQ17" s="116" t="s">
        <v>4240</v>
      </c>
      <c r="BR17" s="116" t="s">
        <v>4240</v>
      </c>
      <c r="BS17" s="116" t="s">
        <v>4321</v>
      </c>
      <c r="BT17" s="116" t="s">
        <v>4321</v>
      </c>
      <c r="BU17" s="2"/>
      <c r="BV17" s="3"/>
      <c r="BW17" s="3"/>
      <c r="BX17" s="3"/>
      <c r="BY17" s="3"/>
    </row>
    <row r="18" spans="1:77" ht="15">
      <c r="A18" s="65" t="s">
        <v>491</v>
      </c>
      <c r="B18" s="66"/>
      <c r="C18" s="66" t="s">
        <v>64</v>
      </c>
      <c r="D18" s="67">
        <v>10</v>
      </c>
      <c r="E18" s="69"/>
      <c r="F18" s="104" t="str">
        <f>HYPERLINK("https://pbs.twimg.com/profile_images/1479335486825000960/8f4zGvxc_normal.jpg")</f>
        <v>https://pbs.twimg.com/profile_images/1479335486825000960/8f4zGvxc_normal.jpg</v>
      </c>
      <c r="G18" s="66"/>
      <c r="H18" s="70" t="s">
        <v>491</v>
      </c>
      <c r="I18" s="71" t="s">
        <v>4396</v>
      </c>
      <c r="J18" s="71" t="s">
        <v>75</v>
      </c>
      <c r="K18" s="70" t="s">
        <v>2156</v>
      </c>
      <c r="L18" s="74">
        <v>99.01960784313725</v>
      </c>
      <c r="M18" s="75">
        <v>647.5416259765625</v>
      </c>
      <c r="N18" s="75">
        <v>1705.990478515625</v>
      </c>
      <c r="O18" s="76"/>
      <c r="P18" s="77"/>
      <c r="Q18" s="77"/>
      <c r="R18" s="90"/>
      <c r="S18" s="49">
        <v>1</v>
      </c>
      <c r="T18" s="49">
        <v>0</v>
      </c>
      <c r="U18" s="50">
        <v>0</v>
      </c>
      <c r="V18" s="50">
        <v>0.003636</v>
      </c>
      <c r="W18" s="50">
        <v>0</v>
      </c>
      <c r="X18" s="50">
        <v>0.003623</v>
      </c>
      <c r="Y18" s="50">
        <v>0</v>
      </c>
      <c r="Z18" s="50">
        <v>0</v>
      </c>
      <c r="AA18" s="72">
        <v>18</v>
      </c>
      <c r="AB18" s="72"/>
      <c r="AC18" s="73"/>
      <c r="AD18" s="80" t="s">
        <v>1249</v>
      </c>
      <c r="AE18" s="89" t="s">
        <v>1163</v>
      </c>
      <c r="AF18" s="80">
        <v>31</v>
      </c>
      <c r="AG18" s="80">
        <v>114</v>
      </c>
      <c r="AH18" s="80">
        <v>3156</v>
      </c>
      <c r="AI18" s="80">
        <v>229</v>
      </c>
      <c r="AJ18" s="80"/>
      <c r="AK18" s="80" t="s">
        <v>1782</v>
      </c>
      <c r="AL18" s="80" t="s">
        <v>2036</v>
      </c>
      <c r="AM18" s="86" t="str">
        <f>HYPERLINK("https://t.co/ihDDjseZgZ")</f>
        <v>https://t.co/ihDDjseZgZ</v>
      </c>
      <c r="AN18" s="80"/>
      <c r="AO18" s="82">
        <v>44066.51164351852</v>
      </c>
      <c r="AP18" s="86" t="str">
        <f>HYPERLINK("https://pbs.twimg.com/profile_banners/1297507998546276352/1646223814")</f>
        <v>https://pbs.twimg.com/profile_banners/1297507998546276352/1646223814</v>
      </c>
      <c r="AQ18" s="80" t="b">
        <v>1</v>
      </c>
      <c r="AR18" s="80" t="b">
        <v>0</v>
      </c>
      <c r="AS18" s="80" t="b">
        <v>0</v>
      </c>
      <c r="AT18" s="80"/>
      <c r="AU18" s="80">
        <v>2</v>
      </c>
      <c r="AV18" s="80"/>
      <c r="AW18" s="80" t="b">
        <v>0</v>
      </c>
      <c r="AX18" s="80" t="s">
        <v>2141</v>
      </c>
      <c r="AY18" s="86" t="str">
        <f>HYPERLINK("https://twitter.com/ot7place")</f>
        <v>https://twitter.com/ot7place</v>
      </c>
      <c r="AZ18" s="80" t="s">
        <v>65</v>
      </c>
      <c r="BA18" s="80" t="str">
        <f>REPLACE(INDEX(GroupVertices[Group],MATCH(Vertices[[#This Row],[Vertex]],GroupVertices[Vertex],0)),1,1,"")</f>
        <v>21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233</v>
      </c>
      <c r="B19" s="66"/>
      <c r="C19" s="66" t="s">
        <v>64</v>
      </c>
      <c r="D19" s="67"/>
      <c r="E19" s="69"/>
      <c r="F19" s="104" t="str">
        <f>HYPERLINK("https://pbs.twimg.com/profile_images/1197168270383730688/O3q7V1a3_normal.jpg")</f>
        <v>https://pbs.twimg.com/profile_images/1197168270383730688/O3q7V1a3_normal.jpg</v>
      </c>
      <c r="G19" s="66"/>
      <c r="H19" s="70" t="s">
        <v>233</v>
      </c>
      <c r="I19" s="71" t="s">
        <v>4399</v>
      </c>
      <c r="J19" s="71" t="s">
        <v>73</v>
      </c>
      <c r="K19" s="70" t="s">
        <v>2157</v>
      </c>
      <c r="L19" s="74">
        <v>1</v>
      </c>
      <c r="M19" s="75">
        <v>7963.81640625</v>
      </c>
      <c r="N19" s="75">
        <v>3302.735595703125</v>
      </c>
      <c r="O19" s="76"/>
      <c r="P19" s="77"/>
      <c r="Q19" s="77"/>
      <c r="R19" s="90"/>
      <c r="S19" s="49">
        <v>0</v>
      </c>
      <c r="T19" s="49">
        <v>1</v>
      </c>
      <c r="U19" s="50">
        <v>0</v>
      </c>
      <c r="V19" s="50">
        <v>0.199193</v>
      </c>
      <c r="W19" s="50">
        <v>0.006144</v>
      </c>
      <c r="X19" s="50">
        <v>0.003155</v>
      </c>
      <c r="Y19" s="50">
        <v>0</v>
      </c>
      <c r="Z19" s="50">
        <v>0</v>
      </c>
      <c r="AA19" s="72">
        <v>19</v>
      </c>
      <c r="AB19" s="72"/>
      <c r="AC19" s="73"/>
      <c r="AD19" s="80" t="s">
        <v>1250</v>
      </c>
      <c r="AE19" s="89" t="s">
        <v>1520</v>
      </c>
      <c r="AF19" s="80">
        <v>2852</v>
      </c>
      <c r="AG19" s="80">
        <v>3054</v>
      </c>
      <c r="AH19" s="80">
        <v>14321</v>
      </c>
      <c r="AI19" s="80">
        <v>39046</v>
      </c>
      <c r="AJ19" s="80"/>
      <c r="AK19" s="80" t="s">
        <v>1783</v>
      </c>
      <c r="AL19" s="80"/>
      <c r="AM19" s="80"/>
      <c r="AN19" s="80"/>
      <c r="AO19" s="82">
        <v>41865.54121527778</v>
      </c>
      <c r="AP19" s="86" t="str">
        <f>HYPERLINK("https://pbs.twimg.com/profile_banners/2731674961/1556968770")</f>
        <v>https://pbs.twimg.com/profile_banners/2731674961/1556968770</v>
      </c>
      <c r="AQ19" s="80" t="b">
        <v>0</v>
      </c>
      <c r="AR19" s="80" t="b">
        <v>0</v>
      </c>
      <c r="AS19" s="80" t="b">
        <v>0</v>
      </c>
      <c r="AT19" s="80"/>
      <c r="AU19" s="80">
        <v>34</v>
      </c>
      <c r="AV19" s="86" t="str">
        <f>HYPERLINK("https://abs.twimg.com/images/themes/theme1/bg.png")</f>
        <v>https://abs.twimg.com/images/themes/theme1/bg.png</v>
      </c>
      <c r="AW19" s="80" t="b">
        <v>0</v>
      </c>
      <c r="AX19" s="80" t="s">
        <v>2141</v>
      </c>
      <c r="AY19" s="86" t="str">
        <f>HYPERLINK("https://twitter.com/o_tiainen")</f>
        <v>https://twitter.com/o_tiainen</v>
      </c>
      <c r="AZ19" s="80" t="s">
        <v>66</v>
      </c>
      <c r="BA19" s="80" t="str">
        <f>REPLACE(INDEX(GroupVertices[Group],MATCH(Vertices[[#This Row],[Vertex]],GroupVertices[Vertex],0)),1,1,"")</f>
        <v>2</v>
      </c>
      <c r="BB19" s="49">
        <v>0</v>
      </c>
      <c r="BC19" s="50">
        <v>0</v>
      </c>
      <c r="BD19" s="49">
        <v>0</v>
      </c>
      <c r="BE19" s="50">
        <v>0</v>
      </c>
      <c r="BF19" s="49">
        <v>0</v>
      </c>
      <c r="BG19" s="50">
        <v>0</v>
      </c>
      <c r="BH19" s="49">
        <v>6</v>
      </c>
      <c r="BI19" s="50">
        <v>100</v>
      </c>
      <c r="BJ19" s="49">
        <v>6</v>
      </c>
      <c r="BK19" s="49"/>
      <c r="BL19" s="49"/>
      <c r="BM19" s="49"/>
      <c r="BN19" s="49"/>
      <c r="BO19" s="49"/>
      <c r="BP19" s="49"/>
      <c r="BQ19" s="116" t="s">
        <v>4241</v>
      </c>
      <c r="BR19" s="116" t="s">
        <v>4241</v>
      </c>
      <c r="BS19" s="116" t="s">
        <v>4322</v>
      </c>
      <c r="BT19" s="116" t="s">
        <v>4322</v>
      </c>
      <c r="BU19" s="2"/>
      <c r="BV19" s="3"/>
      <c r="BW19" s="3"/>
      <c r="BX19" s="3"/>
      <c r="BY19" s="3"/>
    </row>
    <row r="20" spans="1:77" ht="15">
      <c r="A20" s="65" t="s">
        <v>430</v>
      </c>
      <c r="B20" s="66"/>
      <c r="C20" s="66" t="s">
        <v>64</v>
      </c>
      <c r="D20" s="67">
        <v>1000</v>
      </c>
      <c r="E20" s="69"/>
      <c r="F20" s="104" t="str">
        <f>HYPERLINK("https://pbs.twimg.com/profile_images/1375804905148051460/t8JCMbzX_normal.jpg")</f>
        <v>https://pbs.twimg.com/profile_images/1375804905148051460/t8JCMbzX_normal.jpg</v>
      </c>
      <c r="G20" s="66"/>
      <c r="H20" s="70" t="s">
        <v>430</v>
      </c>
      <c r="I20" s="71" t="s">
        <v>4399</v>
      </c>
      <c r="J20" s="71" t="s">
        <v>73</v>
      </c>
      <c r="K20" s="70" t="s">
        <v>2158</v>
      </c>
      <c r="L20" s="74">
        <v>6862.3725490196075</v>
      </c>
      <c r="M20" s="75">
        <v>5745.92236328125</v>
      </c>
      <c r="N20" s="75">
        <v>1949.7618408203125</v>
      </c>
      <c r="O20" s="76"/>
      <c r="P20" s="77"/>
      <c r="Q20" s="77"/>
      <c r="R20" s="90"/>
      <c r="S20" s="49">
        <v>70</v>
      </c>
      <c r="T20" s="49">
        <v>1</v>
      </c>
      <c r="U20" s="50">
        <v>21057</v>
      </c>
      <c r="V20" s="50">
        <v>0.277563</v>
      </c>
      <c r="W20" s="50">
        <v>0.065226</v>
      </c>
      <c r="X20" s="50">
        <v>0.035117</v>
      </c>
      <c r="Y20" s="50">
        <v>0</v>
      </c>
      <c r="Z20" s="50">
        <v>0</v>
      </c>
      <c r="AA20" s="72">
        <v>20</v>
      </c>
      <c r="AB20" s="72"/>
      <c r="AC20" s="73"/>
      <c r="AD20" s="80" t="s">
        <v>1251</v>
      </c>
      <c r="AE20" s="89" t="s">
        <v>1165</v>
      </c>
      <c r="AF20" s="80">
        <v>3548</v>
      </c>
      <c r="AG20" s="80">
        <v>4783</v>
      </c>
      <c r="AH20" s="80">
        <v>34923</v>
      </c>
      <c r="AI20" s="80">
        <v>24091</v>
      </c>
      <c r="AJ20" s="80"/>
      <c r="AK20" s="80" t="s">
        <v>1784</v>
      </c>
      <c r="AL20" s="80" t="s">
        <v>2037</v>
      </c>
      <c r="AM20" s="86" t="str">
        <f>HYPERLINK("https://t.co/bLHQhA4Y2I")</f>
        <v>https://t.co/bLHQhA4Y2I</v>
      </c>
      <c r="AN20" s="80"/>
      <c r="AO20" s="82">
        <v>41358.87049768519</v>
      </c>
      <c r="AP20" s="86" t="str">
        <f>HYPERLINK("https://pbs.twimg.com/profile_banners/1301086910/1478126352")</f>
        <v>https://pbs.twimg.com/profile_banners/1301086910/1478126352</v>
      </c>
      <c r="AQ20" s="80" t="b">
        <v>0</v>
      </c>
      <c r="AR20" s="80" t="b">
        <v>0</v>
      </c>
      <c r="AS20" s="80" t="b">
        <v>1</v>
      </c>
      <c r="AT20" s="80"/>
      <c r="AU20" s="80">
        <v>42</v>
      </c>
      <c r="AV20" s="86" t="str">
        <f>HYPERLINK("https://abs.twimg.com/images/themes/theme1/bg.png")</f>
        <v>https://abs.twimg.com/images/themes/theme1/bg.png</v>
      </c>
      <c r="AW20" s="80" t="b">
        <v>0</v>
      </c>
      <c r="AX20" s="80" t="s">
        <v>2141</v>
      </c>
      <c r="AY20" s="86" t="str">
        <f>HYPERLINK("https://twitter.com/aleksipahkala")</f>
        <v>https://twitter.com/aleksipahkala</v>
      </c>
      <c r="AZ20" s="80" t="s">
        <v>66</v>
      </c>
      <c r="BA20" s="80" t="str">
        <f>REPLACE(INDEX(GroupVertices[Group],MATCH(Vertices[[#This Row],[Vertex]],GroupVertices[Vertex],0)),1,1,"")</f>
        <v>2</v>
      </c>
      <c r="BB20" s="49">
        <v>1</v>
      </c>
      <c r="BC20" s="50">
        <v>4.166666666666667</v>
      </c>
      <c r="BD20" s="49">
        <v>0</v>
      </c>
      <c r="BE20" s="50">
        <v>0</v>
      </c>
      <c r="BF20" s="49">
        <v>0</v>
      </c>
      <c r="BG20" s="50">
        <v>0</v>
      </c>
      <c r="BH20" s="49">
        <v>23</v>
      </c>
      <c r="BI20" s="50">
        <v>95.83333333333333</v>
      </c>
      <c r="BJ20" s="49">
        <v>24</v>
      </c>
      <c r="BK20" s="49" t="s">
        <v>3990</v>
      </c>
      <c r="BL20" s="49" t="s">
        <v>3990</v>
      </c>
      <c r="BM20" s="49" t="s">
        <v>582</v>
      </c>
      <c r="BN20" s="49" t="s">
        <v>582</v>
      </c>
      <c r="BO20" s="49"/>
      <c r="BP20" s="49"/>
      <c r="BQ20" s="116" t="s">
        <v>4242</v>
      </c>
      <c r="BR20" s="116" t="s">
        <v>4310</v>
      </c>
      <c r="BS20" s="116" t="s">
        <v>4323</v>
      </c>
      <c r="BT20" s="116" t="s">
        <v>4388</v>
      </c>
      <c r="BU20" s="2"/>
      <c r="BV20" s="3"/>
      <c r="BW20" s="3"/>
      <c r="BX20" s="3"/>
      <c r="BY20" s="3"/>
    </row>
    <row r="21" spans="1:77" ht="15">
      <c r="A21" s="65" t="s">
        <v>234</v>
      </c>
      <c r="B21" s="66"/>
      <c r="C21" s="66" t="s">
        <v>64</v>
      </c>
      <c r="D21" s="67"/>
      <c r="E21" s="69"/>
      <c r="F21" s="104" t="str">
        <f>HYPERLINK("https://pbs.twimg.com/profile_images/1505566571816697860/VtKyBMrg_normal.jpg")</f>
        <v>https://pbs.twimg.com/profile_images/1505566571816697860/VtKyBMrg_normal.jpg</v>
      </c>
      <c r="G21" s="66"/>
      <c r="H21" s="70" t="s">
        <v>234</v>
      </c>
      <c r="I21" s="71" t="s">
        <v>4399</v>
      </c>
      <c r="J21" s="71" t="s">
        <v>73</v>
      </c>
      <c r="K21" s="70" t="s">
        <v>2159</v>
      </c>
      <c r="L21" s="74">
        <v>1</v>
      </c>
      <c r="M21" s="75">
        <v>7410.3232421875</v>
      </c>
      <c r="N21" s="75">
        <v>1404.91259765625</v>
      </c>
      <c r="O21" s="76"/>
      <c r="P21" s="77"/>
      <c r="Q21" s="77"/>
      <c r="R21" s="90"/>
      <c r="S21" s="49">
        <v>0</v>
      </c>
      <c r="T21" s="49">
        <v>1</v>
      </c>
      <c r="U21" s="50">
        <v>0</v>
      </c>
      <c r="V21" s="50">
        <v>0.199193</v>
      </c>
      <c r="W21" s="50">
        <v>0.006144</v>
      </c>
      <c r="X21" s="50">
        <v>0.003155</v>
      </c>
      <c r="Y21" s="50">
        <v>0</v>
      </c>
      <c r="Z21" s="50">
        <v>0</v>
      </c>
      <c r="AA21" s="72">
        <v>21</v>
      </c>
      <c r="AB21" s="72"/>
      <c r="AC21" s="73"/>
      <c r="AD21" s="80" t="s">
        <v>1252</v>
      </c>
      <c r="AE21" s="89" t="s">
        <v>1521</v>
      </c>
      <c r="AF21" s="80">
        <v>1176</v>
      </c>
      <c r="AG21" s="80">
        <v>347</v>
      </c>
      <c r="AH21" s="80">
        <v>3465</v>
      </c>
      <c r="AI21" s="80">
        <v>34432</v>
      </c>
      <c r="AJ21" s="80"/>
      <c r="AK21" s="80" t="s">
        <v>1785</v>
      </c>
      <c r="AL21" s="80" t="s">
        <v>2038</v>
      </c>
      <c r="AM21" s="80"/>
      <c r="AN21" s="80"/>
      <c r="AO21" s="82">
        <v>42545.70479166666</v>
      </c>
      <c r="AP21" s="86" t="str">
        <f>HYPERLINK("https://pbs.twimg.com/profile_banners/746386126076784640/1645726442")</f>
        <v>https://pbs.twimg.com/profile_banners/746386126076784640/1645726442</v>
      </c>
      <c r="AQ21" s="80" t="b">
        <v>0</v>
      </c>
      <c r="AR21" s="80" t="b">
        <v>0</v>
      </c>
      <c r="AS21" s="80" t="b">
        <v>0</v>
      </c>
      <c r="AT21" s="80"/>
      <c r="AU21" s="80">
        <v>2</v>
      </c>
      <c r="AV21" s="86" t="str">
        <f>HYPERLINK("https://abs.twimg.com/images/themes/theme1/bg.png")</f>
        <v>https://abs.twimg.com/images/themes/theme1/bg.png</v>
      </c>
      <c r="AW21" s="80" t="b">
        <v>0</v>
      </c>
      <c r="AX21" s="80" t="s">
        <v>2141</v>
      </c>
      <c r="AY21" s="86" t="str">
        <f>HYPERLINK("https://twitter.com/kallaslukka")</f>
        <v>https://twitter.com/kallaslukka</v>
      </c>
      <c r="AZ21" s="80" t="s">
        <v>66</v>
      </c>
      <c r="BA21" s="80" t="str">
        <f>REPLACE(INDEX(GroupVertices[Group],MATCH(Vertices[[#This Row],[Vertex]],GroupVertices[Vertex],0)),1,1,"")</f>
        <v>2</v>
      </c>
      <c r="BB21" s="49">
        <v>0</v>
      </c>
      <c r="BC21" s="50">
        <v>0</v>
      </c>
      <c r="BD21" s="49">
        <v>0</v>
      </c>
      <c r="BE21" s="50">
        <v>0</v>
      </c>
      <c r="BF21" s="49">
        <v>0</v>
      </c>
      <c r="BG21" s="50">
        <v>0</v>
      </c>
      <c r="BH21" s="49">
        <v>6</v>
      </c>
      <c r="BI21" s="50">
        <v>100</v>
      </c>
      <c r="BJ21" s="49">
        <v>6</v>
      </c>
      <c r="BK21" s="49"/>
      <c r="BL21" s="49"/>
      <c r="BM21" s="49"/>
      <c r="BN21" s="49"/>
      <c r="BO21" s="49"/>
      <c r="BP21" s="49"/>
      <c r="BQ21" s="116" t="s">
        <v>4241</v>
      </c>
      <c r="BR21" s="116" t="s">
        <v>4241</v>
      </c>
      <c r="BS21" s="116" t="s">
        <v>4322</v>
      </c>
      <c r="BT21" s="116" t="s">
        <v>4322</v>
      </c>
      <c r="BU21" s="2"/>
      <c r="BV21" s="3"/>
      <c r="BW21" s="3"/>
      <c r="BX21" s="3"/>
      <c r="BY21" s="3"/>
    </row>
    <row r="22" spans="1:77" ht="15">
      <c r="A22" s="65" t="s">
        <v>235</v>
      </c>
      <c r="B22" s="66"/>
      <c r="C22" s="66" t="s">
        <v>64</v>
      </c>
      <c r="D22" s="67"/>
      <c r="E22" s="69"/>
      <c r="F22" s="104" t="str">
        <f>HYPERLINK("https://pbs.twimg.com/profile_images/1157677213199872005/kxos-yvW_normal.jpg")</f>
        <v>https://pbs.twimg.com/profile_images/1157677213199872005/kxos-yvW_normal.jpg</v>
      </c>
      <c r="G22" s="66"/>
      <c r="H22" s="70" t="s">
        <v>235</v>
      </c>
      <c r="I22" s="71" t="s">
        <v>4399</v>
      </c>
      <c r="J22" s="71" t="s">
        <v>73</v>
      </c>
      <c r="K22" s="70" t="s">
        <v>2160</v>
      </c>
      <c r="L22" s="74">
        <v>1</v>
      </c>
      <c r="M22" s="75">
        <v>8979.287109375</v>
      </c>
      <c r="N22" s="75">
        <v>2843.298828125</v>
      </c>
      <c r="O22" s="76"/>
      <c r="P22" s="77"/>
      <c r="Q22" s="77"/>
      <c r="R22" s="90"/>
      <c r="S22" s="49">
        <v>0</v>
      </c>
      <c r="T22" s="49">
        <v>1</v>
      </c>
      <c r="U22" s="50">
        <v>0</v>
      </c>
      <c r="V22" s="50">
        <v>0.199193</v>
      </c>
      <c r="W22" s="50">
        <v>0.006144</v>
      </c>
      <c r="X22" s="50">
        <v>0.003155</v>
      </c>
      <c r="Y22" s="50">
        <v>0</v>
      </c>
      <c r="Z22" s="50">
        <v>0</v>
      </c>
      <c r="AA22" s="72">
        <v>22</v>
      </c>
      <c r="AB22" s="72"/>
      <c r="AC22" s="73"/>
      <c r="AD22" s="80" t="s">
        <v>1253</v>
      </c>
      <c r="AE22" s="89" t="s">
        <v>1522</v>
      </c>
      <c r="AF22" s="80">
        <v>1261</v>
      </c>
      <c r="AG22" s="80">
        <v>589</v>
      </c>
      <c r="AH22" s="80">
        <v>22642</v>
      </c>
      <c r="AI22" s="80">
        <v>64219</v>
      </c>
      <c r="AJ22" s="80"/>
      <c r="AK22" s="80" t="s">
        <v>1786</v>
      </c>
      <c r="AL22" s="80"/>
      <c r="AM22" s="80"/>
      <c r="AN22" s="80"/>
      <c r="AO22" s="82">
        <v>41238.36724537037</v>
      </c>
      <c r="AP22" s="86" t="str">
        <f>HYPERLINK("https://pbs.twimg.com/profile_banners/969685489/1393793887")</f>
        <v>https://pbs.twimg.com/profile_banners/969685489/1393793887</v>
      </c>
      <c r="AQ22" s="80" t="b">
        <v>0</v>
      </c>
      <c r="AR22" s="80" t="b">
        <v>0</v>
      </c>
      <c r="AS22" s="80" t="b">
        <v>1</v>
      </c>
      <c r="AT22" s="80"/>
      <c r="AU22" s="80">
        <v>0</v>
      </c>
      <c r="AV22" s="86" t="str">
        <f>HYPERLINK("https://abs.twimg.com/images/themes/theme9/bg.gif")</f>
        <v>https://abs.twimg.com/images/themes/theme9/bg.gif</v>
      </c>
      <c r="AW22" s="80" t="b">
        <v>0</v>
      </c>
      <c r="AX22" s="80" t="s">
        <v>2141</v>
      </c>
      <c r="AY22" s="86" t="str">
        <f>HYPERLINK("https://twitter.com/niko01650")</f>
        <v>https://twitter.com/niko01650</v>
      </c>
      <c r="AZ22" s="80" t="s">
        <v>66</v>
      </c>
      <c r="BA22" s="80" t="str">
        <f>REPLACE(INDEX(GroupVertices[Group],MATCH(Vertices[[#This Row],[Vertex]],GroupVertices[Vertex],0)),1,1,"")</f>
        <v>2</v>
      </c>
      <c r="BB22" s="49">
        <v>0</v>
      </c>
      <c r="BC22" s="50">
        <v>0</v>
      </c>
      <c r="BD22" s="49">
        <v>0</v>
      </c>
      <c r="BE22" s="50">
        <v>0</v>
      </c>
      <c r="BF22" s="49">
        <v>0</v>
      </c>
      <c r="BG22" s="50">
        <v>0</v>
      </c>
      <c r="BH22" s="49">
        <v>6</v>
      </c>
      <c r="BI22" s="50">
        <v>100</v>
      </c>
      <c r="BJ22" s="49">
        <v>6</v>
      </c>
      <c r="BK22" s="49"/>
      <c r="BL22" s="49"/>
      <c r="BM22" s="49"/>
      <c r="BN22" s="49"/>
      <c r="BO22" s="49"/>
      <c r="BP22" s="49"/>
      <c r="BQ22" s="116" t="s">
        <v>4241</v>
      </c>
      <c r="BR22" s="116" t="s">
        <v>4241</v>
      </c>
      <c r="BS22" s="116" t="s">
        <v>4322</v>
      </c>
      <c r="BT22" s="116" t="s">
        <v>4322</v>
      </c>
      <c r="BU22" s="2"/>
      <c r="BV22" s="3"/>
      <c r="BW22" s="3"/>
      <c r="BX22" s="3"/>
      <c r="BY22" s="3"/>
    </row>
    <row r="23" spans="1:77" ht="15">
      <c r="A23" s="65" t="s">
        <v>236</v>
      </c>
      <c r="B23" s="66"/>
      <c r="C23" s="66" t="s">
        <v>64</v>
      </c>
      <c r="D23" s="67"/>
      <c r="E23" s="69"/>
      <c r="F23" s="104" t="str">
        <f>HYPERLINK("https://pbs.twimg.com/profile_images/459002577120550913/wulDnyck_normal.png")</f>
        <v>https://pbs.twimg.com/profile_images/459002577120550913/wulDnyck_normal.png</v>
      </c>
      <c r="G23" s="66"/>
      <c r="H23" s="70" t="s">
        <v>236</v>
      </c>
      <c r="I23" s="71" t="s">
        <v>4399</v>
      </c>
      <c r="J23" s="71" t="s">
        <v>73</v>
      </c>
      <c r="K23" s="70" t="s">
        <v>2161</v>
      </c>
      <c r="L23" s="74">
        <v>1</v>
      </c>
      <c r="M23" s="75">
        <v>5620.17333984375</v>
      </c>
      <c r="N23" s="75">
        <v>590.229736328125</v>
      </c>
      <c r="O23" s="76"/>
      <c r="P23" s="77"/>
      <c r="Q23" s="77"/>
      <c r="R23" s="90"/>
      <c r="S23" s="49">
        <v>0</v>
      </c>
      <c r="T23" s="49">
        <v>1</v>
      </c>
      <c r="U23" s="50">
        <v>0</v>
      </c>
      <c r="V23" s="50">
        <v>0.199193</v>
      </c>
      <c r="W23" s="50">
        <v>0.006144</v>
      </c>
      <c r="X23" s="50">
        <v>0.003155</v>
      </c>
      <c r="Y23" s="50">
        <v>0</v>
      </c>
      <c r="Z23" s="50">
        <v>0</v>
      </c>
      <c r="AA23" s="72">
        <v>23</v>
      </c>
      <c r="AB23" s="72"/>
      <c r="AC23" s="73"/>
      <c r="AD23" s="80" t="s">
        <v>1254</v>
      </c>
      <c r="AE23" s="89" t="s">
        <v>1523</v>
      </c>
      <c r="AF23" s="80">
        <v>1122</v>
      </c>
      <c r="AG23" s="80">
        <v>1329</v>
      </c>
      <c r="AH23" s="80">
        <v>33087</v>
      </c>
      <c r="AI23" s="80">
        <v>41067</v>
      </c>
      <c r="AJ23" s="80"/>
      <c r="AK23" s="80" t="s">
        <v>1787</v>
      </c>
      <c r="AL23" s="80" t="s">
        <v>2039</v>
      </c>
      <c r="AM23" s="86" t="str">
        <f>HYPERLINK("https://t.co/4DgMGzm1Qx")</f>
        <v>https://t.co/4DgMGzm1Qx</v>
      </c>
      <c r="AN23" s="80"/>
      <c r="AO23" s="82">
        <v>39792.475810185184</v>
      </c>
      <c r="AP23" s="86" t="str">
        <f>HYPERLINK("https://pbs.twimg.com/profile_banners/18017206/1565970746")</f>
        <v>https://pbs.twimg.com/profile_banners/18017206/1565970746</v>
      </c>
      <c r="AQ23" s="80" t="b">
        <v>0</v>
      </c>
      <c r="AR23" s="80" t="b">
        <v>0</v>
      </c>
      <c r="AS23" s="80" t="b">
        <v>1</v>
      </c>
      <c r="AT23" s="80"/>
      <c r="AU23" s="80">
        <v>111</v>
      </c>
      <c r="AV23" s="86" t="str">
        <f>HYPERLINK("https://abs.twimg.com/images/themes/theme6/bg.gif")</f>
        <v>https://abs.twimg.com/images/themes/theme6/bg.gif</v>
      </c>
      <c r="AW23" s="80" t="b">
        <v>0</v>
      </c>
      <c r="AX23" s="80" t="s">
        <v>2141</v>
      </c>
      <c r="AY23" s="86" t="str">
        <f>HYPERLINK("https://twitter.com/miemo")</f>
        <v>https://twitter.com/miemo</v>
      </c>
      <c r="AZ23" s="80" t="s">
        <v>66</v>
      </c>
      <c r="BA23" s="80" t="str">
        <f>REPLACE(INDEX(GroupVertices[Group],MATCH(Vertices[[#This Row],[Vertex]],GroupVertices[Vertex],0)),1,1,"")</f>
        <v>2</v>
      </c>
      <c r="BB23" s="49">
        <v>0</v>
      </c>
      <c r="BC23" s="50">
        <v>0</v>
      </c>
      <c r="BD23" s="49">
        <v>0</v>
      </c>
      <c r="BE23" s="50">
        <v>0</v>
      </c>
      <c r="BF23" s="49">
        <v>0</v>
      </c>
      <c r="BG23" s="50">
        <v>0</v>
      </c>
      <c r="BH23" s="49">
        <v>6</v>
      </c>
      <c r="BI23" s="50">
        <v>100</v>
      </c>
      <c r="BJ23" s="49">
        <v>6</v>
      </c>
      <c r="BK23" s="49"/>
      <c r="BL23" s="49"/>
      <c r="BM23" s="49"/>
      <c r="BN23" s="49"/>
      <c r="BO23" s="49"/>
      <c r="BP23" s="49"/>
      <c r="BQ23" s="116" t="s">
        <v>4241</v>
      </c>
      <c r="BR23" s="116" t="s">
        <v>4241</v>
      </c>
      <c r="BS23" s="116" t="s">
        <v>4322</v>
      </c>
      <c r="BT23" s="116" t="s">
        <v>4322</v>
      </c>
      <c r="BU23" s="2"/>
      <c r="BV23" s="3"/>
      <c r="BW23" s="3"/>
      <c r="BX23" s="3"/>
      <c r="BY23" s="3"/>
    </row>
    <row r="24" spans="1:77" ht="15">
      <c r="A24" s="65" t="s">
        <v>237</v>
      </c>
      <c r="B24" s="66"/>
      <c r="C24" s="66" t="s">
        <v>64</v>
      </c>
      <c r="D24" s="67"/>
      <c r="E24" s="69"/>
      <c r="F24" s="104" t="str">
        <f>HYPERLINK("https://pbs.twimg.com/profile_images/1072586945602170881/jWdlaBeL_normal.jpg")</f>
        <v>https://pbs.twimg.com/profile_images/1072586945602170881/jWdlaBeL_normal.jpg</v>
      </c>
      <c r="G24" s="66"/>
      <c r="H24" s="70" t="s">
        <v>237</v>
      </c>
      <c r="I24" s="71" t="s">
        <v>4399</v>
      </c>
      <c r="J24" s="71" t="s">
        <v>73</v>
      </c>
      <c r="K24" s="70" t="s">
        <v>2162</v>
      </c>
      <c r="L24" s="74">
        <v>1</v>
      </c>
      <c r="M24" s="75">
        <v>2772.710693359375</v>
      </c>
      <c r="N24" s="75">
        <v>896.759033203125</v>
      </c>
      <c r="O24" s="76"/>
      <c r="P24" s="77"/>
      <c r="Q24" s="77"/>
      <c r="R24" s="90"/>
      <c r="S24" s="49">
        <v>0</v>
      </c>
      <c r="T24" s="49">
        <v>1</v>
      </c>
      <c r="U24" s="50">
        <v>0</v>
      </c>
      <c r="V24" s="50">
        <v>0.199193</v>
      </c>
      <c r="W24" s="50">
        <v>0.006144</v>
      </c>
      <c r="X24" s="50">
        <v>0.003155</v>
      </c>
      <c r="Y24" s="50">
        <v>0</v>
      </c>
      <c r="Z24" s="50">
        <v>0</v>
      </c>
      <c r="AA24" s="72">
        <v>24</v>
      </c>
      <c r="AB24" s="72"/>
      <c r="AC24" s="73"/>
      <c r="AD24" s="80" t="s">
        <v>1255</v>
      </c>
      <c r="AE24" s="89" t="s">
        <v>1524</v>
      </c>
      <c r="AF24" s="80">
        <v>337</v>
      </c>
      <c r="AG24" s="80">
        <v>147</v>
      </c>
      <c r="AH24" s="80">
        <v>5023</v>
      </c>
      <c r="AI24" s="80">
        <v>4611</v>
      </c>
      <c r="AJ24" s="80"/>
      <c r="AK24" s="80" t="s">
        <v>1788</v>
      </c>
      <c r="AL24" s="80" t="s">
        <v>2038</v>
      </c>
      <c r="AM24" s="80"/>
      <c r="AN24" s="80"/>
      <c r="AO24" s="82">
        <v>42400.85041666667</v>
      </c>
      <c r="AP24" s="86" t="str">
        <f>HYPERLINK("https://pbs.twimg.com/profile_banners/4867328686/1454342953")</f>
        <v>https://pbs.twimg.com/profile_banners/4867328686/1454342953</v>
      </c>
      <c r="AQ24" s="80" t="b">
        <v>1</v>
      </c>
      <c r="AR24" s="80" t="b">
        <v>0</v>
      </c>
      <c r="AS24" s="80" t="b">
        <v>1</v>
      </c>
      <c r="AT24" s="80"/>
      <c r="AU24" s="80">
        <v>2</v>
      </c>
      <c r="AV24" s="80"/>
      <c r="AW24" s="80" t="b">
        <v>0</v>
      </c>
      <c r="AX24" s="80" t="s">
        <v>2141</v>
      </c>
      <c r="AY24" s="86" t="str">
        <f>HYPERLINK("https://twitter.com/npmatilainen")</f>
        <v>https://twitter.com/npmatilainen</v>
      </c>
      <c r="AZ24" s="80" t="s">
        <v>66</v>
      </c>
      <c r="BA24" s="80" t="str">
        <f>REPLACE(INDEX(GroupVertices[Group],MATCH(Vertices[[#This Row],[Vertex]],GroupVertices[Vertex],0)),1,1,"")</f>
        <v>2</v>
      </c>
      <c r="BB24" s="49">
        <v>0</v>
      </c>
      <c r="BC24" s="50">
        <v>0</v>
      </c>
      <c r="BD24" s="49">
        <v>0</v>
      </c>
      <c r="BE24" s="50">
        <v>0</v>
      </c>
      <c r="BF24" s="49">
        <v>0</v>
      </c>
      <c r="BG24" s="50">
        <v>0</v>
      </c>
      <c r="BH24" s="49">
        <v>6</v>
      </c>
      <c r="BI24" s="50">
        <v>100</v>
      </c>
      <c r="BJ24" s="49">
        <v>6</v>
      </c>
      <c r="BK24" s="49"/>
      <c r="BL24" s="49"/>
      <c r="BM24" s="49"/>
      <c r="BN24" s="49"/>
      <c r="BO24" s="49"/>
      <c r="BP24" s="49"/>
      <c r="BQ24" s="116" t="s">
        <v>4241</v>
      </c>
      <c r="BR24" s="116" t="s">
        <v>4241</v>
      </c>
      <c r="BS24" s="116" t="s">
        <v>4322</v>
      </c>
      <c r="BT24" s="116" t="s">
        <v>4322</v>
      </c>
      <c r="BU24" s="2"/>
      <c r="BV24" s="3"/>
      <c r="BW24" s="3"/>
      <c r="BX24" s="3"/>
      <c r="BY24" s="3"/>
    </row>
    <row r="25" spans="1:77" ht="15">
      <c r="A25" s="65" t="s">
        <v>238</v>
      </c>
      <c r="B25" s="66"/>
      <c r="C25" s="66" t="s">
        <v>64</v>
      </c>
      <c r="D25" s="67"/>
      <c r="E25" s="69"/>
      <c r="F25" s="104" t="str">
        <f>HYPERLINK("https://pbs.twimg.com/profile_images/1492234479536119813/_ji38rl0_normal.jpg")</f>
        <v>https://pbs.twimg.com/profile_images/1492234479536119813/_ji38rl0_normal.jpg</v>
      </c>
      <c r="G25" s="66"/>
      <c r="H25" s="70" t="s">
        <v>238</v>
      </c>
      <c r="I25" s="71" t="s">
        <v>4399</v>
      </c>
      <c r="J25" s="71" t="s">
        <v>73</v>
      </c>
      <c r="K25" s="70" t="s">
        <v>2163</v>
      </c>
      <c r="L25" s="74">
        <v>1</v>
      </c>
      <c r="M25" s="75">
        <v>4014.790771484375</v>
      </c>
      <c r="N25" s="75">
        <v>2722.258056640625</v>
      </c>
      <c r="O25" s="76"/>
      <c r="P25" s="77"/>
      <c r="Q25" s="77"/>
      <c r="R25" s="90"/>
      <c r="S25" s="49">
        <v>0</v>
      </c>
      <c r="T25" s="49">
        <v>1</v>
      </c>
      <c r="U25" s="50">
        <v>0</v>
      </c>
      <c r="V25" s="50">
        <v>0.199193</v>
      </c>
      <c r="W25" s="50">
        <v>0.006144</v>
      </c>
      <c r="X25" s="50">
        <v>0.003155</v>
      </c>
      <c r="Y25" s="50">
        <v>0</v>
      </c>
      <c r="Z25" s="50">
        <v>0</v>
      </c>
      <c r="AA25" s="72">
        <v>25</v>
      </c>
      <c r="AB25" s="72"/>
      <c r="AC25" s="73"/>
      <c r="AD25" s="80" t="s">
        <v>1256</v>
      </c>
      <c r="AE25" s="89" t="s">
        <v>1525</v>
      </c>
      <c r="AF25" s="80">
        <v>2995</v>
      </c>
      <c r="AG25" s="80">
        <v>12568</v>
      </c>
      <c r="AH25" s="80">
        <v>24928</v>
      </c>
      <c r="AI25" s="80">
        <v>144388</v>
      </c>
      <c r="AJ25" s="80"/>
      <c r="AK25" s="80" t="s">
        <v>1789</v>
      </c>
      <c r="AL25" s="80" t="s">
        <v>2038</v>
      </c>
      <c r="AM25" s="86" t="str">
        <f>HYPERLINK("https://t.co/5LV0fjaGhZ")</f>
        <v>https://t.co/5LV0fjaGhZ</v>
      </c>
      <c r="AN25" s="80"/>
      <c r="AO25" s="82">
        <v>42655.61547453704</v>
      </c>
      <c r="AP25" s="86" t="str">
        <f>HYPERLINK("https://pbs.twimg.com/profile_banners/786216422657650688/1648038269")</f>
        <v>https://pbs.twimg.com/profile_banners/786216422657650688/1648038269</v>
      </c>
      <c r="AQ25" s="80" t="b">
        <v>1</v>
      </c>
      <c r="AR25" s="80" t="b">
        <v>0</v>
      </c>
      <c r="AS25" s="80" t="b">
        <v>0</v>
      </c>
      <c r="AT25" s="80"/>
      <c r="AU25" s="80">
        <v>30</v>
      </c>
      <c r="AV25" s="80"/>
      <c r="AW25" s="80" t="b">
        <v>0</v>
      </c>
      <c r="AX25" s="80" t="s">
        <v>2141</v>
      </c>
      <c r="AY25" s="86" t="str">
        <f>HYPERLINK("https://twitter.com/tiiamaija")</f>
        <v>https://twitter.com/tiiamaija</v>
      </c>
      <c r="AZ25" s="80" t="s">
        <v>66</v>
      </c>
      <c r="BA25" s="80" t="str">
        <f>REPLACE(INDEX(GroupVertices[Group],MATCH(Vertices[[#This Row],[Vertex]],GroupVertices[Vertex],0)),1,1,"")</f>
        <v>2</v>
      </c>
      <c r="BB25" s="49">
        <v>0</v>
      </c>
      <c r="BC25" s="50">
        <v>0</v>
      </c>
      <c r="BD25" s="49">
        <v>0</v>
      </c>
      <c r="BE25" s="50">
        <v>0</v>
      </c>
      <c r="BF25" s="49">
        <v>0</v>
      </c>
      <c r="BG25" s="50">
        <v>0</v>
      </c>
      <c r="BH25" s="49">
        <v>6</v>
      </c>
      <c r="BI25" s="50">
        <v>100</v>
      </c>
      <c r="BJ25" s="49">
        <v>6</v>
      </c>
      <c r="BK25" s="49"/>
      <c r="BL25" s="49"/>
      <c r="BM25" s="49"/>
      <c r="BN25" s="49"/>
      <c r="BO25" s="49"/>
      <c r="BP25" s="49"/>
      <c r="BQ25" s="116" t="s">
        <v>4241</v>
      </c>
      <c r="BR25" s="116" t="s">
        <v>4241</v>
      </c>
      <c r="BS25" s="116" t="s">
        <v>4322</v>
      </c>
      <c r="BT25" s="116" t="s">
        <v>4322</v>
      </c>
      <c r="BU25" s="2"/>
      <c r="BV25" s="3"/>
      <c r="BW25" s="3"/>
      <c r="BX25" s="3"/>
      <c r="BY25" s="3"/>
    </row>
    <row r="26" spans="1:77" ht="15">
      <c r="A26" s="65" t="s">
        <v>239</v>
      </c>
      <c r="B26" s="66"/>
      <c r="C26" s="66" t="s">
        <v>64</v>
      </c>
      <c r="D26" s="67"/>
      <c r="E26" s="69"/>
      <c r="F26" s="104" t="str">
        <f>HYPERLINK("https://pbs.twimg.com/profile_images/1490696100889694212/HTMWJPwN_normal.jpg")</f>
        <v>https://pbs.twimg.com/profile_images/1490696100889694212/HTMWJPwN_normal.jpg</v>
      </c>
      <c r="G26" s="66"/>
      <c r="H26" s="70" t="s">
        <v>239</v>
      </c>
      <c r="I26" s="71" t="s">
        <v>4399</v>
      </c>
      <c r="J26" s="71" t="s">
        <v>73</v>
      </c>
      <c r="K26" s="70" t="s">
        <v>2164</v>
      </c>
      <c r="L26" s="74">
        <v>1</v>
      </c>
      <c r="M26" s="75">
        <v>3786.24365234375</v>
      </c>
      <c r="N26" s="75">
        <v>3458.192626953125</v>
      </c>
      <c r="O26" s="76"/>
      <c r="P26" s="77"/>
      <c r="Q26" s="77"/>
      <c r="R26" s="90"/>
      <c r="S26" s="49">
        <v>0</v>
      </c>
      <c r="T26" s="49">
        <v>1</v>
      </c>
      <c r="U26" s="50">
        <v>0</v>
      </c>
      <c r="V26" s="50">
        <v>0.199193</v>
      </c>
      <c r="W26" s="50">
        <v>0.006144</v>
      </c>
      <c r="X26" s="50">
        <v>0.003155</v>
      </c>
      <c r="Y26" s="50">
        <v>0</v>
      </c>
      <c r="Z26" s="50">
        <v>0</v>
      </c>
      <c r="AA26" s="72">
        <v>26</v>
      </c>
      <c r="AB26" s="72"/>
      <c r="AC26" s="73"/>
      <c r="AD26" s="80" t="s">
        <v>1257</v>
      </c>
      <c r="AE26" s="89" t="s">
        <v>1526</v>
      </c>
      <c r="AF26" s="80">
        <v>326</v>
      </c>
      <c r="AG26" s="80">
        <v>184</v>
      </c>
      <c r="AH26" s="80">
        <v>4914</v>
      </c>
      <c r="AI26" s="80">
        <v>26351</v>
      </c>
      <c r="AJ26" s="80"/>
      <c r="AK26" s="80" t="s">
        <v>1790</v>
      </c>
      <c r="AL26" s="80"/>
      <c r="AM26" s="80"/>
      <c r="AN26" s="80"/>
      <c r="AO26" s="82">
        <v>44274.27135416667</v>
      </c>
      <c r="AP26" s="86" t="str">
        <f>HYPERLINK("https://pbs.twimg.com/profile_banners/1372797478303453185/1621504159")</f>
        <v>https://pbs.twimg.com/profile_banners/1372797478303453185/1621504159</v>
      </c>
      <c r="AQ26" s="80" t="b">
        <v>1</v>
      </c>
      <c r="AR26" s="80" t="b">
        <v>0</v>
      </c>
      <c r="AS26" s="80" t="b">
        <v>0</v>
      </c>
      <c r="AT26" s="80"/>
      <c r="AU26" s="80">
        <v>0</v>
      </c>
      <c r="AV26" s="80"/>
      <c r="AW26" s="80" t="b">
        <v>0</v>
      </c>
      <c r="AX26" s="80" t="s">
        <v>2141</v>
      </c>
      <c r="AY26" s="86" t="str">
        <f>HYPERLINK("https://twitter.com/kateellinenl")</f>
        <v>https://twitter.com/kateellinenl</v>
      </c>
      <c r="AZ26" s="80" t="s">
        <v>66</v>
      </c>
      <c r="BA26" s="80" t="str">
        <f>REPLACE(INDEX(GroupVertices[Group],MATCH(Vertices[[#This Row],[Vertex]],GroupVertices[Vertex],0)),1,1,"")</f>
        <v>2</v>
      </c>
      <c r="BB26" s="49">
        <v>0</v>
      </c>
      <c r="BC26" s="50">
        <v>0</v>
      </c>
      <c r="BD26" s="49">
        <v>0</v>
      </c>
      <c r="BE26" s="50">
        <v>0</v>
      </c>
      <c r="BF26" s="49">
        <v>0</v>
      </c>
      <c r="BG26" s="50">
        <v>0</v>
      </c>
      <c r="BH26" s="49">
        <v>6</v>
      </c>
      <c r="BI26" s="50">
        <v>100</v>
      </c>
      <c r="BJ26" s="49">
        <v>6</v>
      </c>
      <c r="BK26" s="49"/>
      <c r="BL26" s="49"/>
      <c r="BM26" s="49"/>
      <c r="BN26" s="49"/>
      <c r="BO26" s="49"/>
      <c r="BP26" s="49"/>
      <c r="BQ26" s="116" t="s">
        <v>4241</v>
      </c>
      <c r="BR26" s="116" t="s">
        <v>4241</v>
      </c>
      <c r="BS26" s="116" t="s">
        <v>4322</v>
      </c>
      <c r="BT26" s="116" t="s">
        <v>4322</v>
      </c>
      <c r="BU26" s="2"/>
      <c r="BV26" s="3"/>
      <c r="BW26" s="3"/>
      <c r="BX26" s="3"/>
      <c r="BY26" s="3"/>
    </row>
    <row r="27" spans="1:77" ht="15">
      <c r="A27" s="65" t="s">
        <v>240</v>
      </c>
      <c r="B27" s="66"/>
      <c r="C27" s="66" t="s">
        <v>64</v>
      </c>
      <c r="D27" s="67"/>
      <c r="E27" s="69"/>
      <c r="F27" s="104" t="str">
        <f>HYPERLINK("https://pbs.twimg.com/profile_images/1410613033756282883/Tt2ytFKh_normal.jpg")</f>
        <v>https://pbs.twimg.com/profile_images/1410613033756282883/Tt2ytFKh_normal.jpg</v>
      </c>
      <c r="G27" s="66"/>
      <c r="H27" s="70" t="s">
        <v>240</v>
      </c>
      <c r="I27" s="71" t="s">
        <v>4399</v>
      </c>
      <c r="J27" s="71" t="s">
        <v>73</v>
      </c>
      <c r="K27" s="70" t="s">
        <v>2165</v>
      </c>
      <c r="L27" s="74">
        <v>1</v>
      </c>
      <c r="M27" s="75">
        <v>2443.68310546875</v>
      </c>
      <c r="N27" s="75">
        <v>2832.17333984375</v>
      </c>
      <c r="O27" s="76"/>
      <c r="P27" s="77"/>
      <c r="Q27" s="77"/>
      <c r="R27" s="90"/>
      <c r="S27" s="49">
        <v>0</v>
      </c>
      <c r="T27" s="49">
        <v>1</v>
      </c>
      <c r="U27" s="50">
        <v>0</v>
      </c>
      <c r="V27" s="50">
        <v>0.199193</v>
      </c>
      <c r="W27" s="50">
        <v>0.006144</v>
      </c>
      <c r="X27" s="50">
        <v>0.003155</v>
      </c>
      <c r="Y27" s="50">
        <v>0</v>
      </c>
      <c r="Z27" s="50">
        <v>0</v>
      </c>
      <c r="AA27" s="72">
        <v>27</v>
      </c>
      <c r="AB27" s="72"/>
      <c r="AC27" s="73"/>
      <c r="AD27" s="80" t="s">
        <v>1258</v>
      </c>
      <c r="AE27" s="89" t="s">
        <v>1527</v>
      </c>
      <c r="AF27" s="80">
        <v>538</v>
      </c>
      <c r="AG27" s="80">
        <v>235</v>
      </c>
      <c r="AH27" s="80">
        <v>15811</v>
      </c>
      <c r="AI27" s="80">
        <v>180110</v>
      </c>
      <c r="AJ27" s="80"/>
      <c r="AK27" s="80" t="s">
        <v>1791</v>
      </c>
      <c r="AL27" s="80" t="s">
        <v>2040</v>
      </c>
      <c r="AM27" s="80"/>
      <c r="AN27" s="80"/>
      <c r="AO27" s="82">
        <v>40812.58480324074</v>
      </c>
      <c r="AP27" s="80"/>
      <c r="AQ27" s="80" t="b">
        <v>1</v>
      </c>
      <c r="AR27" s="80" t="b">
        <v>0</v>
      </c>
      <c r="AS27" s="80" t="b">
        <v>0</v>
      </c>
      <c r="AT27" s="80"/>
      <c r="AU27" s="80">
        <v>5</v>
      </c>
      <c r="AV27" s="86" t="str">
        <f>HYPERLINK("https://abs.twimg.com/images/themes/theme1/bg.png")</f>
        <v>https://abs.twimg.com/images/themes/theme1/bg.png</v>
      </c>
      <c r="AW27" s="80" t="b">
        <v>0</v>
      </c>
      <c r="AX27" s="80" t="s">
        <v>2141</v>
      </c>
      <c r="AY27" s="86" t="str">
        <f>HYPERLINK("https://twitter.com/ilmariwalker")</f>
        <v>https://twitter.com/ilmariwalker</v>
      </c>
      <c r="AZ27" s="80" t="s">
        <v>66</v>
      </c>
      <c r="BA27" s="80" t="str">
        <f>REPLACE(INDEX(GroupVertices[Group],MATCH(Vertices[[#This Row],[Vertex]],GroupVertices[Vertex],0)),1,1,"")</f>
        <v>2</v>
      </c>
      <c r="BB27" s="49">
        <v>0</v>
      </c>
      <c r="BC27" s="50">
        <v>0</v>
      </c>
      <c r="BD27" s="49">
        <v>0</v>
      </c>
      <c r="BE27" s="50">
        <v>0</v>
      </c>
      <c r="BF27" s="49">
        <v>0</v>
      </c>
      <c r="BG27" s="50">
        <v>0</v>
      </c>
      <c r="BH27" s="49">
        <v>6</v>
      </c>
      <c r="BI27" s="50">
        <v>100</v>
      </c>
      <c r="BJ27" s="49">
        <v>6</v>
      </c>
      <c r="BK27" s="49"/>
      <c r="BL27" s="49"/>
      <c r="BM27" s="49"/>
      <c r="BN27" s="49"/>
      <c r="BO27" s="49"/>
      <c r="BP27" s="49"/>
      <c r="BQ27" s="116" t="s">
        <v>4241</v>
      </c>
      <c r="BR27" s="116" t="s">
        <v>4241</v>
      </c>
      <c r="BS27" s="116" t="s">
        <v>4322</v>
      </c>
      <c r="BT27" s="116" t="s">
        <v>4322</v>
      </c>
      <c r="BU27" s="2"/>
      <c r="BV27" s="3"/>
      <c r="BW27" s="3"/>
      <c r="BX27" s="3"/>
      <c r="BY27" s="3"/>
    </row>
    <row r="28" spans="1:77" ht="15">
      <c r="A28" s="65" t="s">
        <v>241</v>
      </c>
      <c r="B28" s="66"/>
      <c r="C28" s="66" t="s">
        <v>64</v>
      </c>
      <c r="D28" s="67"/>
      <c r="E28" s="69"/>
      <c r="F28" s="104" t="str">
        <f>HYPERLINK("https://pbs.twimg.com/profile_images/501008216042373125/uPGtfCx3_normal.jpeg")</f>
        <v>https://pbs.twimg.com/profile_images/501008216042373125/uPGtfCx3_normal.jpeg</v>
      </c>
      <c r="G28" s="66"/>
      <c r="H28" s="70" t="s">
        <v>241</v>
      </c>
      <c r="I28" s="71" t="s">
        <v>4399</v>
      </c>
      <c r="J28" s="71" t="s">
        <v>73</v>
      </c>
      <c r="K28" s="70" t="s">
        <v>2166</v>
      </c>
      <c r="L28" s="74">
        <v>1</v>
      </c>
      <c r="M28" s="75">
        <v>6331.802734375</v>
      </c>
      <c r="N28" s="75">
        <v>3274.39111328125</v>
      </c>
      <c r="O28" s="76"/>
      <c r="P28" s="77"/>
      <c r="Q28" s="77"/>
      <c r="R28" s="90"/>
      <c r="S28" s="49">
        <v>0</v>
      </c>
      <c r="T28" s="49">
        <v>1</v>
      </c>
      <c r="U28" s="50">
        <v>0</v>
      </c>
      <c r="V28" s="50">
        <v>0.199193</v>
      </c>
      <c r="W28" s="50">
        <v>0.006144</v>
      </c>
      <c r="X28" s="50">
        <v>0.003155</v>
      </c>
      <c r="Y28" s="50">
        <v>0</v>
      </c>
      <c r="Z28" s="50">
        <v>0</v>
      </c>
      <c r="AA28" s="72">
        <v>28</v>
      </c>
      <c r="AB28" s="72"/>
      <c r="AC28" s="73"/>
      <c r="AD28" s="80" t="s">
        <v>1259</v>
      </c>
      <c r="AE28" s="89" t="s">
        <v>1528</v>
      </c>
      <c r="AF28" s="80">
        <v>761</v>
      </c>
      <c r="AG28" s="80">
        <v>340</v>
      </c>
      <c r="AH28" s="80">
        <v>16149</v>
      </c>
      <c r="AI28" s="80">
        <v>84813</v>
      </c>
      <c r="AJ28" s="80"/>
      <c r="AK28" s="80" t="s">
        <v>1792</v>
      </c>
      <c r="AL28" s="80" t="s">
        <v>2041</v>
      </c>
      <c r="AM28" s="80"/>
      <c r="AN28" s="80"/>
      <c r="AO28" s="82">
        <v>41794.54546296296</v>
      </c>
      <c r="AP28" s="86" t="str">
        <f>HYPERLINK("https://pbs.twimg.com/profile_banners/2546077902/1401888418")</f>
        <v>https://pbs.twimg.com/profile_banners/2546077902/1401888418</v>
      </c>
      <c r="AQ28" s="80" t="b">
        <v>0</v>
      </c>
      <c r="AR28" s="80" t="b">
        <v>0</v>
      </c>
      <c r="AS28" s="80" t="b">
        <v>1</v>
      </c>
      <c r="AT28" s="80"/>
      <c r="AU28" s="80">
        <v>12</v>
      </c>
      <c r="AV28" s="86" t="str">
        <f>HYPERLINK("https://abs.twimg.com/images/themes/theme3/bg.gif")</f>
        <v>https://abs.twimg.com/images/themes/theme3/bg.gif</v>
      </c>
      <c r="AW28" s="80" t="b">
        <v>0</v>
      </c>
      <c r="AX28" s="80" t="s">
        <v>2141</v>
      </c>
      <c r="AY28" s="86" t="str">
        <f>HYPERLINK("https://twitter.com/torlillqvist")</f>
        <v>https://twitter.com/torlillqvist</v>
      </c>
      <c r="AZ28" s="80" t="s">
        <v>66</v>
      </c>
      <c r="BA28" s="80" t="str">
        <f>REPLACE(INDEX(GroupVertices[Group],MATCH(Vertices[[#This Row],[Vertex]],GroupVertices[Vertex],0)),1,1,"")</f>
        <v>2</v>
      </c>
      <c r="BB28" s="49">
        <v>0</v>
      </c>
      <c r="BC28" s="50">
        <v>0</v>
      </c>
      <c r="BD28" s="49">
        <v>0</v>
      </c>
      <c r="BE28" s="50">
        <v>0</v>
      </c>
      <c r="BF28" s="49">
        <v>0</v>
      </c>
      <c r="BG28" s="50">
        <v>0</v>
      </c>
      <c r="BH28" s="49">
        <v>6</v>
      </c>
      <c r="BI28" s="50">
        <v>100</v>
      </c>
      <c r="BJ28" s="49">
        <v>6</v>
      </c>
      <c r="BK28" s="49"/>
      <c r="BL28" s="49"/>
      <c r="BM28" s="49"/>
      <c r="BN28" s="49"/>
      <c r="BO28" s="49"/>
      <c r="BP28" s="49"/>
      <c r="BQ28" s="116" t="s">
        <v>4241</v>
      </c>
      <c r="BR28" s="116" t="s">
        <v>4241</v>
      </c>
      <c r="BS28" s="116" t="s">
        <v>4322</v>
      </c>
      <c r="BT28" s="116" t="s">
        <v>4322</v>
      </c>
      <c r="BU28" s="2"/>
      <c r="BV28" s="3"/>
      <c r="BW28" s="3"/>
      <c r="BX28" s="3"/>
      <c r="BY28" s="3"/>
    </row>
    <row r="29" spans="1:77" ht="15">
      <c r="A29" s="65" t="s">
        <v>242</v>
      </c>
      <c r="B29" s="66"/>
      <c r="C29" s="66" t="s">
        <v>64</v>
      </c>
      <c r="D29" s="67"/>
      <c r="E29" s="69"/>
      <c r="F29" s="104" t="str">
        <f>HYPERLINK("https://pbs.twimg.com/profile_images/1299306535437217792/vr0jkoXX_normal.jpg")</f>
        <v>https://pbs.twimg.com/profile_images/1299306535437217792/vr0jkoXX_normal.jpg</v>
      </c>
      <c r="G29" s="66"/>
      <c r="H29" s="70" t="s">
        <v>242</v>
      </c>
      <c r="I29" s="71" t="s">
        <v>4399</v>
      </c>
      <c r="J29" s="71" t="s">
        <v>73</v>
      </c>
      <c r="K29" s="70" t="s">
        <v>2167</v>
      </c>
      <c r="L29" s="74">
        <v>1</v>
      </c>
      <c r="M29" s="75">
        <v>9430.64453125</v>
      </c>
      <c r="N29" s="75">
        <v>1562.3140869140625</v>
      </c>
      <c r="O29" s="76"/>
      <c r="P29" s="77"/>
      <c r="Q29" s="77"/>
      <c r="R29" s="90"/>
      <c r="S29" s="49">
        <v>0</v>
      </c>
      <c r="T29" s="49">
        <v>1</v>
      </c>
      <c r="U29" s="50">
        <v>0</v>
      </c>
      <c r="V29" s="50">
        <v>0.199193</v>
      </c>
      <c r="W29" s="50">
        <v>0.006144</v>
      </c>
      <c r="X29" s="50">
        <v>0.003155</v>
      </c>
      <c r="Y29" s="50">
        <v>0</v>
      </c>
      <c r="Z29" s="50">
        <v>0</v>
      </c>
      <c r="AA29" s="72">
        <v>29</v>
      </c>
      <c r="AB29" s="72"/>
      <c r="AC29" s="73"/>
      <c r="AD29" s="80" t="s">
        <v>1260</v>
      </c>
      <c r="AE29" s="89" t="s">
        <v>1529</v>
      </c>
      <c r="AF29" s="80">
        <v>273</v>
      </c>
      <c r="AG29" s="80">
        <v>250</v>
      </c>
      <c r="AH29" s="80">
        <v>26841</v>
      </c>
      <c r="AI29" s="80">
        <v>176487</v>
      </c>
      <c r="AJ29" s="80"/>
      <c r="AK29" s="80" t="s">
        <v>1793</v>
      </c>
      <c r="AL29" s="80" t="s">
        <v>2041</v>
      </c>
      <c r="AM29" s="80"/>
      <c r="AN29" s="80"/>
      <c r="AO29" s="82">
        <v>41149.62074074074</v>
      </c>
      <c r="AP29" s="86" t="str">
        <f>HYPERLINK("https://pbs.twimg.com/profile_banners/787178274/1540578989")</f>
        <v>https://pbs.twimg.com/profile_banners/787178274/1540578989</v>
      </c>
      <c r="AQ29" s="80" t="b">
        <v>1</v>
      </c>
      <c r="AR29" s="80" t="b">
        <v>0</v>
      </c>
      <c r="AS29" s="80" t="b">
        <v>1</v>
      </c>
      <c r="AT29" s="80"/>
      <c r="AU29" s="80">
        <v>5</v>
      </c>
      <c r="AV29" s="86" t="str">
        <f>HYPERLINK("https://abs.twimg.com/images/themes/theme1/bg.png")</f>
        <v>https://abs.twimg.com/images/themes/theme1/bg.png</v>
      </c>
      <c r="AW29" s="80" t="b">
        <v>0</v>
      </c>
      <c r="AX29" s="80" t="s">
        <v>2141</v>
      </c>
      <c r="AY29" s="86" t="str">
        <f>HYPERLINK("https://twitter.com/jannentnen")</f>
        <v>https://twitter.com/jannentnen</v>
      </c>
      <c r="AZ29" s="80" t="s">
        <v>66</v>
      </c>
      <c r="BA29" s="80" t="str">
        <f>REPLACE(INDEX(GroupVertices[Group],MATCH(Vertices[[#This Row],[Vertex]],GroupVertices[Vertex],0)),1,1,"")</f>
        <v>2</v>
      </c>
      <c r="BB29" s="49">
        <v>0</v>
      </c>
      <c r="BC29" s="50">
        <v>0</v>
      </c>
      <c r="BD29" s="49">
        <v>0</v>
      </c>
      <c r="BE29" s="50">
        <v>0</v>
      </c>
      <c r="BF29" s="49">
        <v>0</v>
      </c>
      <c r="BG29" s="50">
        <v>0</v>
      </c>
      <c r="BH29" s="49">
        <v>6</v>
      </c>
      <c r="BI29" s="50">
        <v>100</v>
      </c>
      <c r="BJ29" s="49">
        <v>6</v>
      </c>
      <c r="BK29" s="49"/>
      <c r="BL29" s="49"/>
      <c r="BM29" s="49"/>
      <c r="BN29" s="49"/>
      <c r="BO29" s="49"/>
      <c r="BP29" s="49"/>
      <c r="BQ29" s="116" t="s">
        <v>4241</v>
      </c>
      <c r="BR29" s="116" t="s">
        <v>4241</v>
      </c>
      <c r="BS29" s="116" t="s">
        <v>4322</v>
      </c>
      <c r="BT29" s="116" t="s">
        <v>4322</v>
      </c>
      <c r="BU29" s="2"/>
      <c r="BV29" s="3"/>
      <c r="BW29" s="3"/>
      <c r="BX29" s="3"/>
      <c r="BY29" s="3"/>
    </row>
    <row r="30" spans="1:77" ht="15">
      <c r="A30" s="65" t="s">
        <v>243</v>
      </c>
      <c r="B30" s="66"/>
      <c r="C30" s="66" t="s">
        <v>64</v>
      </c>
      <c r="D30" s="67"/>
      <c r="E30" s="69"/>
      <c r="F30" s="104" t="str">
        <f>HYPERLINK("https://pbs.twimg.com/profile_images/1351187001303830536/0fpH1IWo_normal.jpg")</f>
        <v>https://pbs.twimg.com/profile_images/1351187001303830536/0fpH1IWo_normal.jpg</v>
      </c>
      <c r="G30" s="66"/>
      <c r="H30" s="70" t="s">
        <v>243</v>
      </c>
      <c r="I30" s="71" t="s">
        <v>4399</v>
      </c>
      <c r="J30" s="71" t="s">
        <v>73</v>
      </c>
      <c r="K30" s="70" t="s">
        <v>2168</v>
      </c>
      <c r="L30" s="74">
        <v>1</v>
      </c>
      <c r="M30" s="75">
        <v>8142.30712890625</v>
      </c>
      <c r="N30" s="75">
        <v>1123.0545654296875</v>
      </c>
      <c r="O30" s="76"/>
      <c r="P30" s="77"/>
      <c r="Q30" s="77"/>
      <c r="R30" s="90"/>
      <c r="S30" s="49">
        <v>0</v>
      </c>
      <c r="T30" s="49">
        <v>1</v>
      </c>
      <c r="U30" s="50">
        <v>0</v>
      </c>
      <c r="V30" s="50">
        <v>0.199193</v>
      </c>
      <c r="W30" s="50">
        <v>0.006144</v>
      </c>
      <c r="X30" s="50">
        <v>0.003155</v>
      </c>
      <c r="Y30" s="50">
        <v>0</v>
      </c>
      <c r="Z30" s="50">
        <v>0</v>
      </c>
      <c r="AA30" s="72">
        <v>30</v>
      </c>
      <c r="AB30" s="72"/>
      <c r="AC30" s="73"/>
      <c r="AD30" s="80" t="s">
        <v>1261</v>
      </c>
      <c r="AE30" s="89" t="s">
        <v>1530</v>
      </c>
      <c r="AF30" s="80">
        <v>2211</v>
      </c>
      <c r="AG30" s="80">
        <v>16939</v>
      </c>
      <c r="AH30" s="80">
        <v>31637</v>
      </c>
      <c r="AI30" s="80">
        <v>45641</v>
      </c>
      <c r="AJ30" s="80"/>
      <c r="AK30" s="80"/>
      <c r="AL30" s="80"/>
      <c r="AM30" s="80"/>
      <c r="AN30" s="80"/>
      <c r="AO30" s="82">
        <v>41904.66025462963</v>
      </c>
      <c r="AP30" s="86" t="str">
        <f>HYPERLINK("https://pbs.twimg.com/profile_banners/2826613735/1411402251")</f>
        <v>https://pbs.twimg.com/profile_banners/2826613735/1411402251</v>
      </c>
      <c r="AQ30" s="80" t="b">
        <v>1</v>
      </c>
      <c r="AR30" s="80" t="b">
        <v>0</v>
      </c>
      <c r="AS30" s="80" t="b">
        <v>1</v>
      </c>
      <c r="AT30" s="80"/>
      <c r="AU30" s="80">
        <v>72</v>
      </c>
      <c r="AV30" s="86" t="str">
        <f>HYPERLINK("https://abs.twimg.com/images/themes/theme1/bg.png")</f>
        <v>https://abs.twimg.com/images/themes/theme1/bg.png</v>
      </c>
      <c r="AW30" s="80" t="b">
        <v>0</v>
      </c>
      <c r="AX30" s="80" t="s">
        <v>2141</v>
      </c>
      <c r="AY30" s="86" t="str">
        <f>HYPERLINK("https://twitter.com/rosamerilainen")</f>
        <v>https://twitter.com/rosamerilainen</v>
      </c>
      <c r="AZ30" s="80" t="s">
        <v>66</v>
      </c>
      <c r="BA30" s="80" t="str">
        <f>REPLACE(INDEX(GroupVertices[Group],MATCH(Vertices[[#This Row],[Vertex]],GroupVertices[Vertex],0)),1,1,"")</f>
        <v>2</v>
      </c>
      <c r="BB30" s="49">
        <v>0</v>
      </c>
      <c r="BC30" s="50">
        <v>0</v>
      </c>
      <c r="BD30" s="49">
        <v>0</v>
      </c>
      <c r="BE30" s="50">
        <v>0</v>
      </c>
      <c r="BF30" s="49">
        <v>0</v>
      </c>
      <c r="BG30" s="50">
        <v>0</v>
      </c>
      <c r="BH30" s="49">
        <v>6</v>
      </c>
      <c r="BI30" s="50">
        <v>100</v>
      </c>
      <c r="BJ30" s="49">
        <v>6</v>
      </c>
      <c r="BK30" s="49"/>
      <c r="BL30" s="49"/>
      <c r="BM30" s="49"/>
      <c r="BN30" s="49"/>
      <c r="BO30" s="49"/>
      <c r="BP30" s="49"/>
      <c r="BQ30" s="116" t="s">
        <v>4241</v>
      </c>
      <c r="BR30" s="116" t="s">
        <v>4241</v>
      </c>
      <c r="BS30" s="116" t="s">
        <v>4322</v>
      </c>
      <c r="BT30" s="116" t="s">
        <v>4322</v>
      </c>
      <c r="BU30" s="2"/>
      <c r="BV30" s="3"/>
      <c r="BW30" s="3"/>
      <c r="BX30" s="3"/>
      <c r="BY30" s="3"/>
    </row>
    <row r="31" spans="1:77" ht="15">
      <c r="A31" s="65" t="s">
        <v>244</v>
      </c>
      <c r="B31" s="66"/>
      <c r="C31" s="66" t="s">
        <v>64</v>
      </c>
      <c r="D31" s="67"/>
      <c r="E31" s="69"/>
      <c r="F31" s="104" t="str">
        <f>HYPERLINK("https://pbs.twimg.com/profile_images/1320448439629611009/M0rbBHvN_normal.jpg")</f>
        <v>https://pbs.twimg.com/profile_images/1320448439629611009/M0rbBHvN_normal.jpg</v>
      </c>
      <c r="G31" s="66"/>
      <c r="H31" s="70" t="s">
        <v>244</v>
      </c>
      <c r="I31" s="71" t="s">
        <v>4399</v>
      </c>
      <c r="J31" s="71" t="s">
        <v>73</v>
      </c>
      <c r="K31" s="70" t="s">
        <v>2169</v>
      </c>
      <c r="L31" s="74">
        <v>1</v>
      </c>
      <c r="M31" s="75">
        <v>8946.8701171875</v>
      </c>
      <c r="N31" s="75">
        <v>1352.825439453125</v>
      </c>
      <c r="O31" s="76"/>
      <c r="P31" s="77"/>
      <c r="Q31" s="77"/>
      <c r="R31" s="90"/>
      <c r="S31" s="49">
        <v>0</v>
      </c>
      <c r="T31" s="49">
        <v>1</v>
      </c>
      <c r="U31" s="50">
        <v>0</v>
      </c>
      <c r="V31" s="50">
        <v>0.199193</v>
      </c>
      <c r="W31" s="50">
        <v>0.006144</v>
      </c>
      <c r="X31" s="50">
        <v>0.003155</v>
      </c>
      <c r="Y31" s="50">
        <v>0</v>
      </c>
      <c r="Z31" s="50">
        <v>0</v>
      </c>
      <c r="AA31" s="72">
        <v>31</v>
      </c>
      <c r="AB31" s="72"/>
      <c r="AC31" s="73"/>
      <c r="AD31" s="80" t="s">
        <v>1262</v>
      </c>
      <c r="AE31" s="89" t="s">
        <v>1531</v>
      </c>
      <c r="AF31" s="80">
        <v>732</v>
      </c>
      <c r="AG31" s="80">
        <v>267</v>
      </c>
      <c r="AH31" s="80">
        <v>5551</v>
      </c>
      <c r="AI31" s="80">
        <v>6271</v>
      </c>
      <c r="AJ31" s="80"/>
      <c r="AK31" s="80" t="s">
        <v>1794</v>
      </c>
      <c r="AL31" s="80" t="s">
        <v>2042</v>
      </c>
      <c r="AM31" s="86" t="str">
        <f>HYPERLINK("https://t.co/0nfag86Xlk")</f>
        <v>https://t.co/0nfag86Xlk</v>
      </c>
      <c r="AN31" s="80"/>
      <c r="AO31" s="82">
        <v>39563.80825231481</v>
      </c>
      <c r="AP31" s="80"/>
      <c r="AQ31" s="80" t="b">
        <v>0</v>
      </c>
      <c r="AR31" s="80" t="b">
        <v>0</v>
      </c>
      <c r="AS31" s="80" t="b">
        <v>1</v>
      </c>
      <c r="AT31" s="80"/>
      <c r="AU31" s="80">
        <v>7</v>
      </c>
      <c r="AV31" s="86" t="str">
        <f>HYPERLINK("https://abs.twimg.com/images/themes/theme3/bg.gif")</f>
        <v>https://abs.twimg.com/images/themes/theme3/bg.gif</v>
      </c>
      <c r="AW31" s="80" t="b">
        <v>0</v>
      </c>
      <c r="AX31" s="80" t="s">
        <v>2141</v>
      </c>
      <c r="AY31" s="86" t="str">
        <f>HYPERLINK("https://twitter.com/kimvais")</f>
        <v>https://twitter.com/kimvais</v>
      </c>
      <c r="AZ31" s="80" t="s">
        <v>66</v>
      </c>
      <c r="BA31" s="80" t="str">
        <f>REPLACE(INDEX(GroupVertices[Group],MATCH(Vertices[[#This Row],[Vertex]],GroupVertices[Vertex],0)),1,1,"")</f>
        <v>2</v>
      </c>
      <c r="BB31" s="49">
        <v>0</v>
      </c>
      <c r="BC31" s="50">
        <v>0</v>
      </c>
      <c r="BD31" s="49">
        <v>0</v>
      </c>
      <c r="BE31" s="50">
        <v>0</v>
      </c>
      <c r="BF31" s="49">
        <v>0</v>
      </c>
      <c r="BG31" s="50">
        <v>0</v>
      </c>
      <c r="BH31" s="49">
        <v>6</v>
      </c>
      <c r="BI31" s="50">
        <v>100</v>
      </c>
      <c r="BJ31" s="49">
        <v>6</v>
      </c>
      <c r="BK31" s="49"/>
      <c r="BL31" s="49"/>
      <c r="BM31" s="49"/>
      <c r="BN31" s="49"/>
      <c r="BO31" s="49"/>
      <c r="BP31" s="49"/>
      <c r="BQ31" s="116" t="s">
        <v>4241</v>
      </c>
      <c r="BR31" s="116" t="s">
        <v>4241</v>
      </c>
      <c r="BS31" s="116" t="s">
        <v>4322</v>
      </c>
      <c r="BT31" s="116" t="s">
        <v>4322</v>
      </c>
      <c r="BU31" s="2"/>
      <c r="BV31" s="3"/>
      <c r="BW31" s="3"/>
      <c r="BX31" s="3"/>
      <c r="BY31" s="3"/>
    </row>
    <row r="32" spans="1:77" ht="15">
      <c r="A32" s="65" t="s">
        <v>245</v>
      </c>
      <c r="B32" s="66"/>
      <c r="C32" s="66" t="s">
        <v>64</v>
      </c>
      <c r="D32" s="67"/>
      <c r="E32" s="69"/>
      <c r="F32" s="104" t="str">
        <f>HYPERLINK("https://pbs.twimg.com/profile_images/1259725893192351744/aP6tiSox_normal.jpg")</f>
        <v>https://pbs.twimg.com/profile_images/1259725893192351744/aP6tiSox_normal.jpg</v>
      </c>
      <c r="G32" s="66"/>
      <c r="H32" s="70" t="s">
        <v>245</v>
      </c>
      <c r="I32" s="71" t="s">
        <v>4399</v>
      </c>
      <c r="J32" s="71" t="s">
        <v>73</v>
      </c>
      <c r="K32" s="70" t="s">
        <v>2170</v>
      </c>
      <c r="L32" s="74">
        <v>1</v>
      </c>
      <c r="M32" s="75">
        <v>9453.8408203125</v>
      </c>
      <c r="N32" s="75">
        <v>2126.172607421875</v>
      </c>
      <c r="O32" s="76"/>
      <c r="P32" s="77"/>
      <c r="Q32" s="77"/>
      <c r="R32" s="90"/>
      <c r="S32" s="49">
        <v>0</v>
      </c>
      <c r="T32" s="49">
        <v>1</v>
      </c>
      <c r="U32" s="50">
        <v>0</v>
      </c>
      <c r="V32" s="50">
        <v>0.199193</v>
      </c>
      <c r="W32" s="50">
        <v>0.006144</v>
      </c>
      <c r="X32" s="50">
        <v>0.003155</v>
      </c>
      <c r="Y32" s="50">
        <v>0</v>
      </c>
      <c r="Z32" s="50">
        <v>0</v>
      </c>
      <c r="AA32" s="72">
        <v>32</v>
      </c>
      <c r="AB32" s="72"/>
      <c r="AC32" s="73"/>
      <c r="AD32" s="80" t="s">
        <v>1263</v>
      </c>
      <c r="AE32" s="89" t="s">
        <v>1532</v>
      </c>
      <c r="AF32" s="80">
        <v>852</v>
      </c>
      <c r="AG32" s="80">
        <v>1052</v>
      </c>
      <c r="AH32" s="80">
        <v>11277</v>
      </c>
      <c r="AI32" s="80">
        <v>34941</v>
      </c>
      <c r="AJ32" s="80"/>
      <c r="AK32" s="80" t="s">
        <v>1795</v>
      </c>
      <c r="AL32" s="80" t="s">
        <v>2043</v>
      </c>
      <c r="AM32" s="86" t="str">
        <f>HYPERLINK("https://t.co/k7pQSKzxgk")</f>
        <v>https://t.co/k7pQSKzxgk</v>
      </c>
      <c r="AN32" s="80"/>
      <c r="AO32" s="82">
        <v>39904.11987268519</v>
      </c>
      <c r="AP32" s="86" t="str">
        <f>HYPERLINK("https://pbs.twimg.com/profile_banners/28034404/1514492078")</f>
        <v>https://pbs.twimg.com/profile_banners/28034404/1514492078</v>
      </c>
      <c r="AQ32" s="80" t="b">
        <v>0</v>
      </c>
      <c r="AR32" s="80" t="b">
        <v>0</v>
      </c>
      <c r="AS32" s="80" t="b">
        <v>1</v>
      </c>
      <c r="AT32" s="80"/>
      <c r="AU32" s="80">
        <v>30</v>
      </c>
      <c r="AV32" s="86" t="str">
        <f>HYPERLINK("https://abs.twimg.com/images/themes/theme13/bg.gif")</f>
        <v>https://abs.twimg.com/images/themes/theme13/bg.gif</v>
      </c>
      <c r="AW32" s="80" t="b">
        <v>0</v>
      </c>
      <c r="AX32" s="80" t="s">
        <v>2141</v>
      </c>
      <c r="AY32" s="86" t="str">
        <f>HYPERLINK("https://twitter.com/karrianttoni")</f>
        <v>https://twitter.com/karrianttoni</v>
      </c>
      <c r="AZ32" s="80" t="s">
        <v>66</v>
      </c>
      <c r="BA32" s="80" t="str">
        <f>REPLACE(INDEX(GroupVertices[Group],MATCH(Vertices[[#This Row],[Vertex]],GroupVertices[Vertex],0)),1,1,"")</f>
        <v>2</v>
      </c>
      <c r="BB32" s="49">
        <v>0</v>
      </c>
      <c r="BC32" s="50">
        <v>0</v>
      </c>
      <c r="BD32" s="49">
        <v>0</v>
      </c>
      <c r="BE32" s="50">
        <v>0</v>
      </c>
      <c r="BF32" s="49">
        <v>0</v>
      </c>
      <c r="BG32" s="50">
        <v>0</v>
      </c>
      <c r="BH32" s="49">
        <v>6</v>
      </c>
      <c r="BI32" s="50">
        <v>100</v>
      </c>
      <c r="BJ32" s="49">
        <v>6</v>
      </c>
      <c r="BK32" s="49"/>
      <c r="BL32" s="49"/>
      <c r="BM32" s="49"/>
      <c r="BN32" s="49"/>
      <c r="BO32" s="49"/>
      <c r="BP32" s="49"/>
      <c r="BQ32" s="116" t="s">
        <v>4241</v>
      </c>
      <c r="BR32" s="116" t="s">
        <v>4241</v>
      </c>
      <c r="BS32" s="116" t="s">
        <v>4322</v>
      </c>
      <c r="BT32" s="116" t="s">
        <v>4322</v>
      </c>
      <c r="BU32" s="2"/>
      <c r="BV32" s="3"/>
      <c r="BW32" s="3"/>
      <c r="BX32" s="3"/>
      <c r="BY32" s="3"/>
    </row>
    <row r="33" spans="1:77" ht="15">
      <c r="A33" s="65" t="s">
        <v>246</v>
      </c>
      <c r="B33" s="66"/>
      <c r="C33" s="66" t="s">
        <v>64</v>
      </c>
      <c r="D33" s="67"/>
      <c r="E33" s="69"/>
      <c r="F33" s="104" t="str">
        <f>HYPERLINK("https://pbs.twimg.com/profile_images/1358863364924051462/Xn-ifAas_normal.png")</f>
        <v>https://pbs.twimg.com/profile_images/1358863364924051462/Xn-ifAas_normal.png</v>
      </c>
      <c r="G33" s="66"/>
      <c r="H33" s="70" t="s">
        <v>246</v>
      </c>
      <c r="I33" s="71" t="s">
        <v>4399</v>
      </c>
      <c r="J33" s="71" t="s">
        <v>73</v>
      </c>
      <c r="K33" s="70" t="s">
        <v>2171</v>
      </c>
      <c r="L33" s="74">
        <v>1</v>
      </c>
      <c r="M33" s="75">
        <v>3276.696044921875</v>
      </c>
      <c r="N33" s="75">
        <v>685.85009765625</v>
      </c>
      <c r="O33" s="76"/>
      <c r="P33" s="77"/>
      <c r="Q33" s="77"/>
      <c r="R33" s="90"/>
      <c r="S33" s="49">
        <v>0</v>
      </c>
      <c r="T33" s="49">
        <v>1</v>
      </c>
      <c r="U33" s="50">
        <v>0</v>
      </c>
      <c r="V33" s="50">
        <v>0.199193</v>
      </c>
      <c r="W33" s="50">
        <v>0.006144</v>
      </c>
      <c r="X33" s="50">
        <v>0.003155</v>
      </c>
      <c r="Y33" s="50">
        <v>0</v>
      </c>
      <c r="Z33" s="50">
        <v>0</v>
      </c>
      <c r="AA33" s="72">
        <v>33</v>
      </c>
      <c r="AB33" s="72"/>
      <c r="AC33" s="73"/>
      <c r="AD33" s="80" t="s">
        <v>1264</v>
      </c>
      <c r="AE33" s="89" t="s">
        <v>1533</v>
      </c>
      <c r="AF33" s="80">
        <v>4101</v>
      </c>
      <c r="AG33" s="80">
        <v>6493</v>
      </c>
      <c r="AH33" s="80">
        <v>21764</v>
      </c>
      <c r="AI33" s="80">
        <v>2806</v>
      </c>
      <c r="AJ33" s="80"/>
      <c r="AK33" s="80" t="s">
        <v>1796</v>
      </c>
      <c r="AL33" s="86" t="str">
        <f>HYPERLINK("https://www.facebook.com/luulosanakirja/?fref=ts")</f>
        <v>https://www.facebook.com/luulosanakirja/?fref=ts</v>
      </c>
      <c r="AM33" s="86" t="str">
        <f>HYPERLINK("https://t.co/WVKI16W8px")</f>
        <v>https://t.co/WVKI16W8px</v>
      </c>
      <c r="AN33" s="80"/>
      <c r="AO33" s="82">
        <v>41655.650868055556</v>
      </c>
      <c r="AP33" s="86" t="str">
        <f>HYPERLINK("https://pbs.twimg.com/profile_banners/2294623436/1564571466")</f>
        <v>https://pbs.twimg.com/profile_banners/2294623436/1564571466</v>
      </c>
      <c r="AQ33" s="80" t="b">
        <v>0</v>
      </c>
      <c r="AR33" s="80" t="b">
        <v>0</v>
      </c>
      <c r="AS33" s="80" t="b">
        <v>0</v>
      </c>
      <c r="AT33" s="80"/>
      <c r="AU33" s="80">
        <v>10</v>
      </c>
      <c r="AV33" s="86" t="str">
        <f>HYPERLINK("https://abs.twimg.com/images/themes/theme1/bg.png")</f>
        <v>https://abs.twimg.com/images/themes/theme1/bg.png</v>
      </c>
      <c r="AW33" s="80" t="b">
        <v>0</v>
      </c>
      <c r="AX33" s="80" t="s">
        <v>2141</v>
      </c>
      <c r="AY33" s="86" t="str">
        <f>HYPERLINK("https://twitter.com/hikipediainfo")</f>
        <v>https://twitter.com/hikipediainfo</v>
      </c>
      <c r="AZ33" s="80" t="s">
        <v>66</v>
      </c>
      <c r="BA33" s="80" t="str">
        <f>REPLACE(INDEX(GroupVertices[Group],MATCH(Vertices[[#This Row],[Vertex]],GroupVertices[Vertex],0)),1,1,"")</f>
        <v>2</v>
      </c>
      <c r="BB33" s="49">
        <v>0</v>
      </c>
      <c r="BC33" s="50">
        <v>0</v>
      </c>
      <c r="BD33" s="49">
        <v>0</v>
      </c>
      <c r="BE33" s="50">
        <v>0</v>
      </c>
      <c r="BF33" s="49">
        <v>0</v>
      </c>
      <c r="BG33" s="50">
        <v>0</v>
      </c>
      <c r="BH33" s="49">
        <v>6</v>
      </c>
      <c r="BI33" s="50">
        <v>100</v>
      </c>
      <c r="BJ33" s="49">
        <v>6</v>
      </c>
      <c r="BK33" s="49"/>
      <c r="BL33" s="49"/>
      <c r="BM33" s="49"/>
      <c r="BN33" s="49"/>
      <c r="BO33" s="49"/>
      <c r="BP33" s="49"/>
      <c r="BQ33" s="116" t="s">
        <v>4241</v>
      </c>
      <c r="BR33" s="116" t="s">
        <v>4241</v>
      </c>
      <c r="BS33" s="116" t="s">
        <v>4322</v>
      </c>
      <c r="BT33" s="116" t="s">
        <v>4322</v>
      </c>
      <c r="BU33" s="2"/>
      <c r="BV33" s="3"/>
      <c r="BW33" s="3"/>
      <c r="BX33" s="3"/>
      <c r="BY33" s="3"/>
    </row>
    <row r="34" spans="1:77" ht="15">
      <c r="A34" s="65" t="s">
        <v>247</v>
      </c>
      <c r="B34" s="66"/>
      <c r="C34" s="66" t="s">
        <v>64</v>
      </c>
      <c r="D34" s="67"/>
      <c r="E34" s="69"/>
      <c r="F34" s="104" t="str">
        <f>HYPERLINK("https://pbs.twimg.com/profile_images/758986187302285312/ZqXN5szB_normal.jpg")</f>
        <v>https://pbs.twimg.com/profile_images/758986187302285312/ZqXN5szB_normal.jpg</v>
      </c>
      <c r="G34" s="66"/>
      <c r="H34" s="70" t="s">
        <v>247</v>
      </c>
      <c r="I34" s="71" t="s">
        <v>4399</v>
      </c>
      <c r="J34" s="71" t="s">
        <v>73</v>
      </c>
      <c r="K34" s="70" t="s">
        <v>2172</v>
      </c>
      <c r="L34" s="74">
        <v>1</v>
      </c>
      <c r="M34" s="75">
        <v>7019.72412109375</v>
      </c>
      <c r="N34" s="75">
        <v>3066.335205078125</v>
      </c>
      <c r="O34" s="76"/>
      <c r="P34" s="77"/>
      <c r="Q34" s="77"/>
      <c r="R34" s="90"/>
      <c r="S34" s="49">
        <v>0</v>
      </c>
      <c r="T34" s="49">
        <v>1</v>
      </c>
      <c r="U34" s="50">
        <v>0</v>
      </c>
      <c r="V34" s="50">
        <v>0.199193</v>
      </c>
      <c r="W34" s="50">
        <v>0.006144</v>
      </c>
      <c r="X34" s="50">
        <v>0.003155</v>
      </c>
      <c r="Y34" s="50">
        <v>0</v>
      </c>
      <c r="Z34" s="50">
        <v>0</v>
      </c>
      <c r="AA34" s="72">
        <v>34</v>
      </c>
      <c r="AB34" s="72"/>
      <c r="AC34" s="73"/>
      <c r="AD34" s="80" t="s">
        <v>1265</v>
      </c>
      <c r="AE34" s="89" t="s">
        <v>1534</v>
      </c>
      <c r="AF34" s="80">
        <v>3138</v>
      </c>
      <c r="AG34" s="80">
        <v>1182</v>
      </c>
      <c r="AH34" s="80">
        <v>2987</v>
      </c>
      <c r="AI34" s="80">
        <v>36021</v>
      </c>
      <c r="AJ34" s="80"/>
      <c r="AK34" s="80" t="s">
        <v>1797</v>
      </c>
      <c r="AL34" s="80" t="s">
        <v>2044</v>
      </c>
      <c r="AM34" s="86" t="str">
        <f>HYPERLINK("https://t.co/KLBGfdzUo6")</f>
        <v>https://t.co/KLBGfdzUo6</v>
      </c>
      <c r="AN34" s="80"/>
      <c r="AO34" s="82">
        <v>39863.42222222222</v>
      </c>
      <c r="AP34" s="86" t="str">
        <f>HYPERLINK("https://pbs.twimg.com/profile_banners/21287393/1646751054")</f>
        <v>https://pbs.twimg.com/profile_banners/21287393/1646751054</v>
      </c>
      <c r="AQ34" s="80" t="b">
        <v>0</v>
      </c>
      <c r="AR34" s="80" t="b">
        <v>0</v>
      </c>
      <c r="AS34" s="80" t="b">
        <v>0</v>
      </c>
      <c r="AT34" s="80"/>
      <c r="AU34" s="80">
        <v>18</v>
      </c>
      <c r="AV34" s="86" t="str">
        <f>HYPERLINK("https://abs.twimg.com/images/themes/theme9/bg.gif")</f>
        <v>https://abs.twimg.com/images/themes/theme9/bg.gif</v>
      </c>
      <c r="AW34" s="80" t="b">
        <v>0</v>
      </c>
      <c r="AX34" s="80" t="s">
        <v>2141</v>
      </c>
      <c r="AY34" s="86" t="str">
        <f>HYPERLINK("https://twitter.com/goashem")</f>
        <v>https://twitter.com/goashem</v>
      </c>
      <c r="AZ34" s="80" t="s">
        <v>66</v>
      </c>
      <c r="BA34" s="80" t="str">
        <f>REPLACE(INDEX(GroupVertices[Group],MATCH(Vertices[[#This Row],[Vertex]],GroupVertices[Vertex],0)),1,1,"")</f>
        <v>2</v>
      </c>
      <c r="BB34" s="49">
        <v>0</v>
      </c>
      <c r="BC34" s="50">
        <v>0</v>
      </c>
      <c r="BD34" s="49">
        <v>0</v>
      </c>
      <c r="BE34" s="50">
        <v>0</v>
      </c>
      <c r="BF34" s="49">
        <v>0</v>
      </c>
      <c r="BG34" s="50">
        <v>0</v>
      </c>
      <c r="BH34" s="49">
        <v>6</v>
      </c>
      <c r="BI34" s="50">
        <v>100</v>
      </c>
      <c r="BJ34" s="49">
        <v>6</v>
      </c>
      <c r="BK34" s="49"/>
      <c r="BL34" s="49"/>
      <c r="BM34" s="49"/>
      <c r="BN34" s="49"/>
      <c r="BO34" s="49"/>
      <c r="BP34" s="49"/>
      <c r="BQ34" s="116" t="s">
        <v>4241</v>
      </c>
      <c r="BR34" s="116" t="s">
        <v>4241</v>
      </c>
      <c r="BS34" s="116" t="s">
        <v>4322</v>
      </c>
      <c r="BT34" s="116" t="s">
        <v>4322</v>
      </c>
      <c r="BU34" s="2"/>
      <c r="BV34" s="3"/>
      <c r="BW34" s="3"/>
      <c r="BX34" s="3"/>
      <c r="BY34" s="3"/>
    </row>
    <row r="35" spans="1:77" ht="15">
      <c r="A35" s="65" t="s">
        <v>248</v>
      </c>
      <c r="B35" s="66"/>
      <c r="C35" s="66" t="s">
        <v>64</v>
      </c>
      <c r="D35" s="67"/>
      <c r="E35" s="69"/>
      <c r="F35" s="104" t="str">
        <f>HYPERLINK("https://pbs.twimg.com/profile_images/1379522393912262658/Z3NSstJp_normal.jpg")</f>
        <v>https://pbs.twimg.com/profile_images/1379522393912262658/Z3NSstJp_normal.jpg</v>
      </c>
      <c r="G35" s="66"/>
      <c r="H35" s="70" t="s">
        <v>248</v>
      </c>
      <c r="I35" s="71" t="s">
        <v>4399</v>
      </c>
      <c r="J35" s="71" t="s">
        <v>73</v>
      </c>
      <c r="K35" s="70" t="s">
        <v>2173</v>
      </c>
      <c r="L35" s="74">
        <v>1</v>
      </c>
      <c r="M35" s="75">
        <v>3480.038818359375</v>
      </c>
      <c r="N35" s="75">
        <v>1629.47998046875</v>
      </c>
      <c r="O35" s="76"/>
      <c r="P35" s="77"/>
      <c r="Q35" s="77"/>
      <c r="R35" s="90"/>
      <c r="S35" s="49">
        <v>0</v>
      </c>
      <c r="T35" s="49">
        <v>1</v>
      </c>
      <c r="U35" s="50">
        <v>0</v>
      </c>
      <c r="V35" s="50">
        <v>0.199193</v>
      </c>
      <c r="W35" s="50">
        <v>0.006144</v>
      </c>
      <c r="X35" s="50">
        <v>0.003155</v>
      </c>
      <c r="Y35" s="50">
        <v>0</v>
      </c>
      <c r="Z35" s="50">
        <v>0</v>
      </c>
      <c r="AA35" s="72">
        <v>35</v>
      </c>
      <c r="AB35" s="72"/>
      <c r="AC35" s="73"/>
      <c r="AD35" s="80" t="s">
        <v>1266</v>
      </c>
      <c r="AE35" s="89" t="s">
        <v>1535</v>
      </c>
      <c r="AF35" s="80">
        <v>784</v>
      </c>
      <c r="AG35" s="80">
        <v>1882</v>
      </c>
      <c r="AH35" s="80">
        <v>36221</v>
      </c>
      <c r="AI35" s="80">
        <v>120319</v>
      </c>
      <c r="AJ35" s="80"/>
      <c r="AK35" s="80" t="s">
        <v>1798</v>
      </c>
      <c r="AL35" s="80" t="s">
        <v>2045</v>
      </c>
      <c r="AM35" s="80"/>
      <c r="AN35" s="80"/>
      <c r="AO35" s="82">
        <v>41858.71792824074</v>
      </c>
      <c r="AP35" s="80"/>
      <c r="AQ35" s="80" t="b">
        <v>0</v>
      </c>
      <c r="AR35" s="80" t="b">
        <v>0</v>
      </c>
      <c r="AS35" s="80" t="b">
        <v>1</v>
      </c>
      <c r="AT35" s="80"/>
      <c r="AU35" s="80">
        <v>9</v>
      </c>
      <c r="AV35" s="86" t="str">
        <f>HYPERLINK("https://abs.twimg.com/images/themes/theme1/bg.png")</f>
        <v>https://abs.twimg.com/images/themes/theme1/bg.png</v>
      </c>
      <c r="AW35" s="80" t="b">
        <v>0</v>
      </c>
      <c r="AX35" s="80" t="s">
        <v>2141</v>
      </c>
      <c r="AY35" s="86" t="str">
        <f>HYPERLINK("https://twitter.com/naururastas")</f>
        <v>https://twitter.com/naururastas</v>
      </c>
      <c r="AZ35" s="80" t="s">
        <v>66</v>
      </c>
      <c r="BA35" s="80" t="str">
        <f>REPLACE(INDEX(GroupVertices[Group],MATCH(Vertices[[#This Row],[Vertex]],GroupVertices[Vertex],0)),1,1,"")</f>
        <v>2</v>
      </c>
      <c r="BB35" s="49">
        <v>0</v>
      </c>
      <c r="BC35" s="50">
        <v>0</v>
      </c>
      <c r="BD35" s="49">
        <v>0</v>
      </c>
      <c r="BE35" s="50">
        <v>0</v>
      </c>
      <c r="BF35" s="49">
        <v>0</v>
      </c>
      <c r="BG35" s="50">
        <v>0</v>
      </c>
      <c r="BH35" s="49">
        <v>6</v>
      </c>
      <c r="BI35" s="50">
        <v>100</v>
      </c>
      <c r="BJ35" s="49">
        <v>6</v>
      </c>
      <c r="BK35" s="49"/>
      <c r="BL35" s="49"/>
      <c r="BM35" s="49"/>
      <c r="BN35" s="49"/>
      <c r="BO35" s="49"/>
      <c r="BP35" s="49"/>
      <c r="BQ35" s="116" t="s">
        <v>4241</v>
      </c>
      <c r="BR35" s="116" t="s">
        <v>4241</v>
      </c>
      <c r="BS35" s="116" t="s">
        <v>4322</v>
      </c>
      <c r="BT35" s="116" t="s">
        <v>4322</v>
      </c>
      <c r="BU35" s="2"/>
      <c r="BV35" s="3"/>
      <c r="BW35" s="3"/>
      <c r="BX35" s="3"/>
      <c r="BY35" s="3"/>
    </row>
    <row r="36" spans="1:77" ht="15">
      <c r="A36" s="65" t="s">
        <v>249</v>
      </c>
      <c r="B36" s="66"/>
      <c r="C36" s="66" t="s">
        <v>64</v>
      </c>
      <c r="D36" s="67"/>
      <c r="E36" s="69"/>
      <c r="F36" s="104" t="str">
        <f>HYPERLINK("https://pbs.twimg.com/profile_images/1425770394443784195/msKtZpFe_normal.jpg")</f>
        <v>https://pbs.twimg.com/profile_images/1425770394443784195/msKtZpFe_normal.jpg</v>
      </c>
      <c r="G36" s="66"/>
      <c r="H36" s="70" t="s">
        <v>249</v>
      </c>
      <c r="I36" s="71" t="s">
        <v>4399</v>
      </c>
      <c r="J36" s="71" t="s">
        <v>73</v>
      </c>
      <c r="K36" s="70" t="s">
        <v>2174</v>
      </c>
      <c r="L36" s="74">
        <v>1</v>
      </c>
      <c r="M36" s="75">
        <v>2128.283935546875</v>
      </c>
      <c r="N36" s="75">
        <v>2399.1728515625</v>
      </c>
      <c r="O36" s="76"/>
      <c r="P36" s="77"/>
      <c r="Q36" s="77"/>
      <c r="R36" s="90"/>
      <c r="S36" s="49">
        <v>0</v>
      </c>
      <c r="T36" s="49">
        <v>1</v>
      </c>
      <c r="U36" s="50">
        <v>0</v>
      </c>
      <c r="V36" s="50">
        <v>0.199193</v>
      </c>
      <c r="W36" s="50">
        <v>0.006144</v>
      </c>
      <c r="X36" s="50">
        <v>0.003155</v>
      </c>
      <c r="Y36" s="50">
        <v>0</v>
      </c>
      <c r="Z36" s="50">
        <v>0</v>
      </c>
      <c r="AA36" s="72">
        <v>36</v>
      </c>
      <c r="AB36" s="72"/>
      <c r="AC36" s="73"/>
      <c r="AD36" s="80" t="s">
        <v>1267</v>
      </c>
      <c r="AE36" s="89" t="s">
        <v>1536</v>
      </c>
      <c r="AF36" s="80">
        <v>172</v>
      </c>
      <c r="AG36" s="80">
        <v>23</v>
      </c>
      <c r="AH36" s="80">
        <v>3696</v>
      </c>
      <c r="AI36" s="80">
        <v>6844</v>
      </c>
      <c r="AJ36" s="80"/>
      <c r="AK36" s="80" t="s">
        <v>1799</v>
      </c>
      <c r="AL36" s="80" t="s">
        <v>2046</v>
      </c>
      <c r="AM36" s="80"/>
      <c r="AN36" s="80"/>
      <c r="AO36" s="82">
        <v>42459.22217592593</v>
      </c>
      <c r="AP36" s="80"/>
      <c r="AQ36" s="80" t="b">
        <v>1</v>
      </c>
      <c r="AR36" s="80" t="b">
        <v>0</v>
      </c>
      <c r="AS36" s="80" t="b">
        <v>1</v>
      </c>
      <c r="AT36" s="80"/>
      <c r="AU36" s="80">
        <v>0</v>
      </c>
      <c r="AV36" s="80"/>
      <c r="AW36" s="80" t="b">
        <v>0</v>
      </c>
      <c r="AX36" s="80" t="s">
        <v>2141</v>
      </c>
      <c r="AY36" s="86" t="str">
        <f>HYPERLINK("https://twitter.com/hirmutwiittaa")</f>
        <v>https://twitter.com/hirmutwiittaa</v>
      </c>
      <c r="AZ36" s="80" t="s">
        <v>66</v>
      </c>
      <c r="BA36" s="80" t="str">
        <f>REPLACE(INDEX(GroupVertices[Group],MATCH(Vertices[[#This Row],[Vertex]],GroupVertices[Vertex],0)),1,1,"")</f>
        <v>2</v>
      </c>
      <c r="BB36" s="49">
        <v>0</v>
      </c>
      <c r="BC36" s="50">
        <v>0</v>
      </c>
      <c r="BD36" s="49">
        <v>0</v>
      </c>
      <c r="BE36" s="50">
        <v>0</v>
      </c>
      <c r="BF36" s="49">
        <v>0</v>
      </c>
      <c r="BG36" s="50">
        <v>0</v>
      </c>
      <c r="BH36" s="49">
        <v>6</v>
      </c>
      <c r="BI36" s="50">
        <v>100</v>
      </c>
      <c r="BJ36" s="49">
        <v>6</v>
      </c>
      <c r="BK36" s="49"/>
      <c r="BL36" s="49"/>
      <c r="BM36" s="49"/>
      <c r="BN36" s="49"/>
      <c r="BO36" s="49"/>
      <c r="BP36" s="49"/>
      <c r="BQ36" s="116" t="s">
        <v>4241</v>
      </c>
      <c r="BR36" s="116" t="s">
        <v>4241</v>
      </c>
      <c r="BS36" s="116" t="s">
        <v>4322</v>
      </c>
      <c r="BT36" s="116" t="s">
        <v>4322</v>
      </c>
      <c r="BU36" s="2"/>
      <c r="BV36" s="3"/>
      <c r="BW36" s="3"/>
      <c r="BX36" s="3"/>
      <c r="BY36" s="3"/>
    </row>
    <row r="37" spans="1:77" ht="15">
      <c r="A37" s="65" t="s">
        <v>250</v>
      </c>
      <c r="B37" s="66"/>
      <c r="C37" s="66" t="s">
        <v>64</v>
      </c>
      <c r="D37" s="67"/>
      <c r="E37" s="69"/>
      <c r="F37" s="104" t="str">
        <f>HYPERLINK("https://pbs.twimg.com/profile_images/1381585517985271808/wG9CDg_b_normal.jpg")</f>
        <v>https://pbs.twimg.com/profile_images/1381585517985271808/wG9CDg_b_normal.jpg</v>
      </c>
      <c r="G37" s="66"/>
      <c r="H37" s="70" t="s">
        <v>250</v>
      </c>
      <c r="I37" s="71" t="s">
        <v>4399</v>
      </c>
      <c r="J37" s="71" t="s">
        <v>73</v>
      </c>
      <c r="K37" s="70" t="s">
        <v>2175</v>
      </c>
      <c r="L37" s="74">
        <v>1</v>
      </c>
      <c r="M37" s="75">
        <v>6889.474609375</v>
      </c>
      <c r="N37" s="75">
        <v>2511.916748046875</v>
      </c>
      <c r="O37" s="76"/>
      <c r="P37" s="77"/>
      <c r="Q37" s="77"/>
      <c r="R37" s="90"/>
      <c r="S37" s="49">
        <v>0</v>
      </c>
      <c r="T37" s="49">
        <v>1</v>
      </c>
      <c r="U37" s="50">
        <v>0</v>
      </c>
      <c r="V37" s="50">
        <v>0.199193</v>
      </c>
      <c r="W37" s="50">
        <v>0.006144</v>
      </c>
      <c r="X37" s="50">
        <v>0.003155</v>
      </c>
      <c r="Y37" s="50">
        <v>0</v>
      </c>
      <c r="Z37" s="50">
        <v>0</v>
      </c>
      <c r="AA37" s="72">
        <v>37</v>
      </c>
      <c r="AB37" s="72"/>
      <c r="AC37" s="73"/>
      <c r="AD37" s="80" t="s">
        <v>1268</v>
      </c>
      <c r="AE37" s="89" t="s">
        <v>1537</v>
      </c>
      <c r="AF37" s="80">
        <v>140</v>
      </c>
      <c r="AG37" s="80">
        <v>250</v>
      </c>
      <c r="AH37" s="80">
        <v>18647</v>
      </c>
      <c r="AI37" s="80">
        <v>61518</v>
      </c>
      <c r="AJ37" s="80"/>
      <c r="AK37" s="80"/>
      <c r="AL37" s="80"/>
      <c r="AM37" s="80"/>
      <c r="AN37" s="80"/>
      <c r="AO37" s="82">
        <v>43208.30731481482</v>
      </c>
      <c r="AP37" s="80"/>
      <c r="AQ37" s="80" t="b">
        <v>1</v>
      </c>
      <c r="AR37" s="80" t="b">
        <v>0</v>
      </c>
      <c r="AS37" s="80" t="b">
        <v>0</v>
      </c>
      <c r="AT37" s="80"/>
      <c r="AU37" s="80">
        <v>0</v>
      </c>
      <c r="AV37" s="80"/>
      <c r="AW37" s="80" t="b">
        <v>0</v>
      </c>
      <c r="AX37" s="80" t="s">
        <v>2141</v>
      </c>
      <c r="AY37" s="86" t="str">
        <f>HYPERLINK("https://twitter.com/kp_keto")</f>
        <v>https://twitter.com/kp_keto</v>
      </c>
      <c r="AZ37" s="80" t="s">
        <v>66</v>
      </c>
      <c r="BA37" s="80" t="str">
        <f>REPLACE(INDEX(GroupVertices[Group],MATCH(Vertices[[#This Row],[Vertex]],GroupVertices[Vertex],0)),1,1,"")</f>
        <v>2</v>
      </c>
      <c r="BB37" s="49">
        <v>0</v>
      </c>
      <c r="BC37" s="50">
        <v>0</v>
      </c>
      <c r="BD37" s="49">
        <v>0</v>
      </c>
      <c r="BE37" s="50">
        <v>0</v>
      </c>
      <c r="BF37" s="49">
        <v>0</v>
      </c>
      <c r="BG37" s="50">
        <v>0</v>
      </c>
      <c r="BH37" s="49">
        <v>6</v>
      </c>
      <c r="BI37" s="50">
        <v>100</v>
      </c>
      <c r="BJ37" s="49">
        <v>6</v>
      </c>
      <c r="BK37" s="49"/>
      <c r="BL37" s="49"/>
      <c r="BM37" s="49"/>
      <c r="BN37" s="49"/>
      <c r="BO37" s="49"/>
      <c r="BP37" s="49"/>
      <c r="BQ37" s="116" t="s">
        <v>4241</v>
      </c>
      <c r="BR37" s="116" t="s">
        <v>4241</v>
      </c>
      <c r="BS37" s="116" t="s">
        <v>4322</v>
      </c>
      <c r="BT37" s="116" t="s">
        <v>4322</v>
      </c>
      <c r="BU37" s="2"/>
      <c r="BV37" s="3"/>
      <c r="BW37" s="3"/>
      <c r="BX37" s="3"/>
      <c r="BY37" s="3"/>
    </row>
    <row r="38" spans="1:77" ht="15">
      <c r="A38" s="65" t="s">
        <v>251</v>
      </c>
      <c r="B38" s="66"/>
      <c r="C38" s="66" t="s">
        <v>64</v>
      </c>
      <c r="D38" s="67"/>
      <c r="E38" s="69"/>
      <c r="F38" s="104" t="str">
        <f>HYPERLINK("https://pbs.twimg.com/profile_images/1447596154296971264/hJ7y-px0_normal.jpg")</f>
        <v>https://pbs.twimg.com/profile_images/1447596154296971264/hJ7y-px0_normal.jpg</v>
      </c>
      <c r="G38" s="66"/>
      <c r="H38" s="70" t="s">
        <v>251</v>
      </c>
      <c r="I38" s="71" t="s">
        <v>4399</v>
      </c>
      <c r="J38" s="71" t="s">
        <v>73</v>
      </c>
      <c r="K38" s="70" t="s">
        <v>2176</v>
      </c>
      <c r="L38" s="74">
        <v>1</v>
      </c>
      <c r="M38" s="75">
        <v>4240.2099609375</v>
      </c>
      <c r="N38" s="75">
        <v>1882.644287109375</v>
      </c>
      <c r="O38" s="76"/>
      <c r="P38" s="77"/>
      <c r="Q38" s="77"/>
      <c r="R38" s="90"/>
      <c r="S38" s="49">
        <v>0</v>
      </c>
      <c r="T38" s="49">
        <v>1</v>
      </c>
      <c r="U38" s="50">
        <v>0</v>
      </c>
      <c r="V38" s="50">
        <v>0.199193</v>
      </c>
      <c r="W38" s="50">
        <v>0.006144</v>
      </c>
      <c r="X38" s="50">
        <v>0.003155</v>
      </c>
      <c r="Y38" s="50">
        <v>0</v>
      </c>
      <c r="Z38" s="50">
        <v>0</v>
      </c>
      <c r="AA38" s="72">
        <v>38</v>
      </c>
      <c r="AB38" s="72"/>
      <c r="AC38" s="73"/>
      <c r="AD38" s="80" t="s">
        <v>1269</v>
      </c>
      <c r="AE38" s="89" t="s">
        <v>1538</v>
      </c>
      <c r="AF38" s="80">
        <v>1246</v>
      </c>
      <c r="AG38" s="80">
        <v>502</v>
      </c>
      <c r="AH38" s="80">
        <v>7645</v>
      </c>
      <c r="AI38" s="80">
        <v>31992</v>
      </c>
      <c r="AJ38" s="80"/>
      <c r="AK38" s="80" t="s">
        <v>1800</v>
      </c>
      <c r="AL38" s="80" t="s">
        <v>2041</v>
      </c>
      <c r="AM38" s="86" t="str">
        <f>HYPERLINK("https://t.co/7shilTyXTs")</f>
        <v>https://t.co/7shilTyXTs</v>
      </c>
      <c r="AN38" s="80"/>
      <c r="AO38" s="82">
        <v>40225.545069444444</v>
      </c>
      <c r="AP38" s="86" t="str">
        <f>HYPERLINK("https://pbs.twimg.com/profile_banners/114738266/1504691606")</f>
        <v>https://pbs.twimg.com/profile_banners/114738266/1504691606</v>
      </c>
      <c r="AQ38" s="80" t="b">
        <v>0</v>
      </c>
      <c r="AR38" s="80" t="b">
        <v>0</v>
      </c>
      <c r="AS38" s="80" t="b">
        <v>1</v>
      </c>
      <c r="AT38" s="80"/>
      <c r="AU38" s="80">
        <v>9</v>
      </c>
      <c r="AV38" s="86" t="str">
        <f>HYPERLINK("https://abs.twimg.com/images/themes/theme1/bg.png")</f>
        <v>https://abs.twimg.com/images/themes/theme1/bg.png</v>
      </c>
      <c r="AW38" s="80" t="b">
        <v>0</v>
      </c>
      <c r="AX38" s="80" t="s">
        <v>2141</v>
      </c>
      <c r="AY38" s="86" t="str">
        <f>HYPERLINK("https://twitter.com/suurimies")</f>
        <v>https://twitter.com/suurimies</v>
      </c>
      <c r="AZ38" s="80" t="s">
        <v>66</v>
      </c>
      <c r="BA38" s="80" t="str">
        <f>REPLACE(INDEX(GroupVertices[Group],MATCH(Vertices[[#This Row],[Vertex]],GroupVertices[Vertex],0)),1,1,"")</f>
        <v>2</v>
      </c>
      <c r="BB38" s="49">
        <v>0</v>
      </c>
      <c r="BC38" s="50">
        <v>0</v>
      </c>
      <c r="BD38" s="49">
        <v>0</v>
      </c>
      <c r="BE38" s="50">
        <v>0</v>
      </c>
      <c r="BF38" s="49">
        <v>0</v>
      </c>
      <c r="BG38" s="50">
        <v>0</v>
      </c>
      <c r="BH38" s="49">
        <v>6</v>
      </c>
      <c r="BI38" s="50">
        <v>100</v>
      </c>
      <c r="BJ38" s="49">
        <v>6</v>
      </c>
      <c r="BK38" s="49"/>
      <c r="BL38" s="49"/>
      <c r="BM38" s="49"/>
      <c r="BN38" s="49"/>
      <c r="BO38" s="49"/>
      <c r="BP38" s="49"/>
      <c r="BQ38" s="116" t="s">
        <v>4241</v>
      </c>
      <c r="BR38" s="116" t="s">
        <v>4241</v>
      </c>
      <c r="BS38" s="116" t="s">
        <v>4322</v>
      </c>
      <c r="BT38" s="116" t="s">
        <v>4322</v>
      </c>
      <c r="BU38" s="2"/>
      <c r="BV38" s="3"/>
      <c r="BW38" s="3"/>
      <c r="BX38" s="3"/>
      <c r="BY38" s="3"/>
    </row>
    <row r="39" spans="1:77" ht="15">
      <c r="A39" s="65" t="s">
        <v>252</v>
      </c>
      <c r="B39" s="66"/>
      <c r="C39" s="66" t="s">
        <v>64</v>
      </c>
      <c r="D39" s="67"/>
      <c r="E39" s="69"/>
      <c r="F39" s="104" t="str">
        <f>HYPERLINK("https://pbs.twimg.com/profile_images/529162409391296512/UbD4KU1F_normal.jpeg")</f>
        <v>https://pbs.twimg.com/profile_images/529162409391296512/UbD4KU1F_normal.jpeg</v>
      </c>
      <c r="G39" s="66"/>
      <c r="H39" s="70" t="s">
        <v>252</v>
      </c>
      <c r="I39" s="71" t="s">
        <v>4399</v>
      </c>
      <c r="J39" s="71" t="s">
        <v>73</v>
      </c>
      <c r="K39" s="70" t="s">
        <v>2177</v>
      </c>
      <c r="L39" s="74">
        <v>1</v>
      </c>
      <c r="M39" s="75">
        <v>2623.665771484375</v>
      </c>
      <c r="N39" s="75">
        <v>1522.1361083984375</v>
      </c>
      <c r="O39" s="76"/>
      <c r="P39" s="77"/>
      <c r="Q39" s="77"/>
      <c r="R39" s="90"/>
      <c r="S39" s="49">
        <v>0</v>
      </c>
      <c r="T39" s="49">
        <v>1</v>
      </c>
      <c r="U39" s="50">
        <v>0</v>
      </c>
      <c r="V39" s="50">
        <v>0.199193</v>
      </c>
      <c r="W39" s="50">
        <v>0.006144</v>
      </c>
      <c r="X39" s="50">
        <v>0.003155</v>
      </c>
      <c r="Y39" s="50">
        <v>0</v>
      </c>
      <c r="Z39" s="50">
        <v>0</v>
      </c>
      <c r="AA39" s="72">
        <v>39</v>
      </c>
      <c r="AB39" s="72"/>
      <c r="AC39" s="73"/>
      <c r="AD39" s="80" t="s">
        <v>1270</v>
      </c>
      <c r="AE39" s="89" t="s">
        <v>1539</v>
      </c>
      <c r="AF39" s="80">
        <v>623</v>
      </c>
      <c r="AG39" s="80">
        <v>60</v>
      </c>
      <c r="AH39" s="80">
        <v>182</v>
      </c>
      <c r="AI39" s="80">
        <v>4258</v>
      </c>
      <c r="AJ39" s="80"/>
      <c r="AK39" s="80"/>
      <c r="AL39" s="80"/>
      <c r="AM39" s="80"/>
      <c r="AN39" s="80"/>
      <c r="AO39" s="82">
        <v>41946.275405092594</v>
      </c>
      <c r="AP39" s="80"/>
      <c r="AQ39" s="80" t="b">
        <v>1</v>
      </c>
      <c r="AR39" s="80" t="b">
        <v>0</v>
      </c>
      <c r="AS39" s="80" t="b">
        <v>0</v>
      </c>
      <c r="AT39" s="80"/>
      <c r="AU39" s="80">
        <v>0</v>
      </c>
      <c r="AV39" s="86" t="str">
        <f>HYPERLINK("https://abs.twimg.com/images/themes/theme1/bg.png")</f>
        <v>https://abs.twimg.com/images/themes/theme1/bg.png</v>
      </c>
      <c r="AW39" s="80" t="b">
        <v>0</v>
      </c>
      <c r="AX39" s="80" t="s">
        <v>2141</v>
      </c>
      <c r="AY39" s="86" t="str">
        <f>HYPERLINK("https://twitter.com/pekkalajanne")</f>
        <v>https://twitter.com/pekkalajanne</v>
      </c>
      <c r="AZ39" s="80" t="s">
        <v>66</v>
      </c>
      <c r="BA39" s="80" t="str">
        <f>REPLACE(INDEX(GroupVertices[Group],MATCH(Vertices[[#This Row],[Vertex]],GroupVertices[Vertex],0)),1,1,"")</f>
        <v>2</v>
      </c>
      <c r="BB39" s="49">
        <v>0</v>
      </c>
      <c r="BC39" s="50">
        <v>0</v>
      </c>
      <c r="BD39" s="49">
        <v>0</v>
      </c>
      <c r="BE39" s="50">
        <v>0</v>
      </c>
      <c r="BF39" s="49">
        <v>0</v>
      </c>
      <c r="BG39" s="50">
        <v>0</v>
      </c>
      <c r="BH39" s="49">
        <v>6</v>
      </c>
      <c r="BI39" s="50">
        <v>100</v>
      </c>
      <c r="BJ39" s="49">
        <v>6</v>
      </c>
      <c r="BK39" s="49"/>
      <c r="BL39" s="49"/>
      <c r="BM39" s="49"/>
      <c r="BN39" s="49"/>
      <c r="BO39" s="49"/>
      <c r="BP39" s="49"/>
      <c r="BQ39" s="116" t="s">
        <v>4241</v>
      </c>
      <c r="BR39" s="116" t="s">
        <v>4241</v>
      </c>
      <c r="BS39" s="116" t="s">
        <v>4322</v>
      </c>
      <c r="BT39" s="116" t="s">
        <v>4322</v>
      </c>
      <c r="BU39" s="2"/>
      <c r="BV39" s="3"/>
      <c r="BW39" s="3"/>
      <c r="BX39" s="3"/>
      <c r="BY39" s="3"/>
    </row>
    <row r="40" spans="1:77" ht="15">
      <c r="A40" s="65" t="s">
        <v>253</v>
      </c>
      <c r="B40" s="66"/>
      <c r="C40" s="66" t="s">
        <v>64</v>
      </c>
      <c r="D40" s="67"/>
      <c r="E40" s="69"/>
      <c r="F40" s="104" t="str">
        <f>HYPERLINK("https://pbs.twimg.com/profile_images/1506967237353443335/J7I-58Wy_normal.jpg")</f>
        <v>https://pbs.twimg.com/profile_images/1506967237353443335/J7I-58Wy_normal.jpg</v>
      </c>
      <c r="G40" s="66"/>
      <c r="H40" s="70" t="s">
        <v>253</v>
      </c>
      <c r="I40" s="71" t="s">
        <v>4400</v>
      </c>
      <c r="J40" s="71" t="s">
        <v>73</v>
      </c>
      <c r="K40" s="70" t="s">
        <v>2178</v>
      </c>
      <c r="L40" s="74">
        <v>1</v>
      </c>
      <c r="M40" s="75">
        <v>8322.306640625</v>
      </c>
      <c r="N40" s="75">
        <v>7937.5947265625</v>
      </c>
      <c r="O40" s="76"/>
      <c r="P40" s="77"/>
      <c r="Q40" s="77"/>
      <c r="R40" s="90"/>
      <c r="S40" s="49">
        <v>0</v>
      </c>
      <c r="T40" s="49">
        <v>1</v>
      </c>
      <c r="U40" s="50">
        <v>0</v>
      </c>
      <c r="V40" s="50">
        <v>0.003636</v>
      </c>
      <c r="W40" s="50">
        <v>0</v>
      </c>
      <c r="X40" s="50">
        <v>0.003623</v>
      </c>
      <c r="Y40" s="50">
        <v>0</v>
      </c>
      <c r="Z40" s="50">
        <v>0</v>
      </c>
      <c r="AA40" s="72">
        <v>40</v>
      </c>
      <c r="AB40" s="72"/>
      <c r="AC40" s="73"/>
      <c r="AD40" s="80" t="s">
        <v>1271</v>
      </c>
      <c r="AE40" s="89" t="s">
        <v>1540</v>
      </c>
      <c r="AF40" s="80">
        <v>500</v>
      </c>
      <c r="AG40" s="80">
        <v>716</v>
      </c>
      <c r="AH40" s="80">
        <v>47488</v>
      </c>
      <c r="AI40" s="80">
        <v>2696</v>
      </c>
      <c r="AJ40" s="80"/>
      <c r="AK40" s="80" t="s">
        <v>1801</v>
      </c>
      <c r="AL40" s="80" t="s">
        <v>2047</v>
      </c>
      <c r="AM40" s="80"/>
      <c r="AN40" s="80"/>
      <c r="AO40" s="82">
        <v>40483.35868055555</v>
      </c>
      <c r="AP40" s="86" t="str">
        <f>HYPERLINK("https://pbs.twimg.com/profile_banners/210749740/1569187241")</f>
        <v>https://pbs.twimg.com/profile_banners/210749740/1569187241</v>
      </c>
      <c r="AQ40" s="80" t="b">
        <v>0</v>
      </c>
      <c r="AR40" s="80" t="b">
        <v>0</v>
      </c>
      <c r="AS40" s="80" t="b">
        <v>1</v>
      </c>
      <c r="AT40" s="80"/>
      <c r="AU40" s="80">
        <v>1</v>
      </c>
      <c r="AV40" s="86" t="str">
        <f>HYPERLINK("https://abs.twimg.com/images/themes/theme1/bg.png")</f>
        <v>https://abs.twimg.com/images/themes/theme1/bg.png</v>
      </c>
      <c r="AW40" s="80" t="b">
        <v>0</v>
      </c>
      <c r="AX40" s="80" t="s">
        <v>2141</v>
      </c>
      <c r="AY40" s="86" t="str">
        <f>HYPERLINK("https://twitter.com/sambateveridei")</f>
        <v>https://twitter.com/sambateveridei</v>
      </c>
      <c r="AZ40" s="80" t="s">
        <v>66</v>
      </c>
      <c r="BA40" s="80" t="str">
        <f>REPLACE(INDEX(GroupVertices[Group],MATCH(Vertices[[#This Row],[Vertex]],GroupVertices[Vertex],0)),1,1,"")</f>
        <v>20</v>
      </c>
      <c r="BB40" s="49">
        <v>0</v>
      </c>
      <c r="BC40" s="50">
        <v>0</v>
      </c>
      <c r="BD40" s="49">
        <v>0</v>
      </c>
      <c r="BE40" s="50">
        <v>0</v>
      </c>
      <c r="BF40" s="49">
        <v>0</v>
      </c>
      <c r="BG40" s="50">
        <v>0</v>
      </c>
      <c r="BH40" s="49">
        <v>16</v>
      </c>
      <c r="BI40" s="50">
        <v>100</v>
      </c>
      <c r="BJ40" s="49">
        <v>16</v>
      </c>
      <c r="BK40" s="49"/>
      <c r="BL40" s="49"/>
      <c r="BM40" s="49"/>
      <c r="BN40" s="49"/>
      <c r="BO40" s="49"/>
      <c r="BP40" s="49"/>
      <c r="BQ40" s="116" t="s">
        <v>4243</v>
      </c>
      <c r="BR40" s="116" t="s">
        <v>4243</v>
      </c>
      <c r="BS40" s="116" t="s">
        <v>4324</v>
      </c>
      <c r="BT40" s="116" t="s">
        <v>4324</v>
      </c>
      <c r="BU40" s="2"/>
      <c r="BV40" s="3"/>
      <c r="BW40" s="3"/>
      <c r="BX40" s="3"/>
      <c r="BY40" s="3"/>
    </row>
    <row r="41" spans="1:77" ht="15">
      <c r="A41" s="65" t="s">
        <v>492</v>
      </c>
      <c r="B41" s="66"/>
      <c r="C41" s="66" t="s">
        <v>64</v>
      </c>
      <c r="D41" s="67">
        <v>10</v>
      </c>
      <c r="E41" s="69"/>
      <c r="F41" s="104" t="str">
        <f>HYPERLINK("https://pbs.twimg.com/profile_images/1357219671133458433/z_fR2ym7_normal.jpg")</f>
        <v>https://pbs.twimg.com/profile_images/1357219671133458433/z_fR2ym7_normal.jpg</v>
      </c>
      <c r="G41" s="66"/>
      <c r="H41" s="70" t="s">
        <v>492</v>
      </c>
      <c r="I41" s="71" t="s">
        <v>4400</v>
      </c>
      <c r="J41" s="71" t="s">
        <v>75</v>
      </c>
      <c r="K41" s="70" t="s">
        <v>2179</v>
      </c>
      <c r="L41" s="74">
        <v>99.01960784313725</v>
      </c>
      <c r="M41" s="75">
        <v>8665.357421875</v>
      </c>
      <c r="N41" s="75">
        <v>7937.5947265625</v>
      </c>
      <c r="O41" s="76"/>
      <c r="P41" s="77"/>
      <c r="Q41" s="77"/>
      <c r="R41" s="90"/>
      <c r="S41" s="49">
        <v>1</v>
      </c>
      <c r="T41" s="49">
        <v>0</v>
      </c>
      <c r="U41" s="50">
        <v>0</v>
      </c>
      <c r="V41" s="50">
        <v>0.003636</v>
      </c>
      <c r="W41" s="50">
        <v>0</v>
      </c>
      <c r="X41" s="50">
        <v>0.003623</v>
      </c>
      <c r="Y41" s="50">
        <v>0</v>
      </c>
      <c r="Z41" s="50">
        <v>0</v>
      </c>
      <c r="AA41" s="72">
        <v>41</v>
      </c>
      <c r="AB41" s="72"/>
      <c r="AC41" s="73"/>
      <c r="AD41" s="80" t="s">
        <v>1272</v>
      </c>
      <c r="AE41" s="89" t="s">
        <v>1164</v>
      </c>
      <c r="AF41" s="80">
        <v>49555</v>
      </c>
      <c r="AG41" s="80">
        <v>655170</v>
      </c>
      <c r="AH41" s="80">
        <v>1313138</v>
      </c>
      <c r="AI41" s="80">
        <v>208</v>
      </c>
      <c r="AJ41" s="80"/>
      <c r="AK41" s="80" t="s">
        <v>1802</v>
      </c>
      <c r="AL41" s="80" t="s">
        <v>2048</v>
      </c>
      <c r="AM41" s="86" t="str">
        <f>HYPERLINK("https://t.co/Eikwch5wCm")</f>
        <v>https://t.co/Eikwch5wCm</v>
      </c>
      <c r="AN41" s="80"/>
      <c r="AO41" s="82">
        <v>43231.200011574074</v>
      </c>
      <c r="AP41" s="86" t="str">
        <f>HYPERLINK("https://pbs.twimg.com/profile_banners/994801274091687936/1612421362")</f>
        <v>https://pbs.twimg.com/profile_banners/994801274091687936/1612421362</v>
      </c>
      <c r="AQ41" s="80" t="b">
        <v>0</v>
      </c>
      <c r="AR41" s="80" t="b">
        <v>0</v>
      </c>
      <c r="AS41" s="80" t="b">
        <v>0</v>
      </c>
      <c r="AT41" s="80"/>
      <c r="AU41" s="80">
        <v>5715</v>
      </c>
      <c r="AV41" s="86" t="str">
        <f>HYPERLINK("https://abs.twimg.com/images/themes/theme1/bg.png")</f>
        <v>https://abs.twimg.com/images/themes/theme1/bg.png</v>
      </c>
      <c r="AW41" s="80" t="b">
        <v>0</v>
      </c>
      <c r="AX41" s="80" t="s">
        <v>2141</v>
      </c>
      <c r="AY41" s="86" t="str">
        <f>HYPERLINK("https://twitter.com/ohmybeautybank")</f>
        <v>https://twitter.com/ohmybeautybank</v>
      </c>
      <c r="AZ41" s="80" t="s">
        <v>65</v>
      </c>
      <c r="BA41" s="80" t="str">
        <f>REPLACE(INDEX(GroupVertices[Group],MATCH(Vertices[[#This Row],[Vertex]],GroupVertices[Vertex],0)),1,1,"")</f>
        <v>20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254</v>
      </c>
      <c r="B42" s="66"/>
      <c r="C42" s="66" t="s">
        <v>64</v>
      </c>
      <c r="D42" s="67"/>
      <c r="E42" s="69"/>
      <c r="F42" s="104" t="str">
        <f>HYPERLINK("https://pbs.twimg.com/profile_images/1475061444874055680/Mha2p6ge_normal.jpg")</f>
        <v>https://pbs.twimg.com/profile_images/1475061444874055680/Mha2p6ge_normal.jpg</v>
      </c>
      <c r="G42" s="66"/>
      <c r="H42" s="70" t="s">
        <v>254</v>
      </c>
      <c r="I42" s="71" t="s">
        <v>4399</v>
      </c>
      <c r="J42" s="71" t="s">
        <v>73</v>
      </c>
      <c r="K42" s="70" t="s">
        <v>2180</v>
      </c>
      <c r="L42" s="74">
        <v>1</v>
      </c>
      <c r="M42" s="75">
        <v>4780.80419921875</v>
      </c>
      <c r="N42" s="75">
        <v>2998.254638671875</v>
      </c>
      <c r="O42" s="76"/>
      <c r="P42" s="77"/>
      <c r="Q42" s="77"/>
      <c r="R42" s="90"/>
      <c r="S42" s="49">
        <v>0</v>
      </c>
      <c r="T42" s="49">
        <v>1</v>
      </c>
      <c r="U42" s="50">
        <v>0</v>
      </c>
      <c r="V42" s="50">
        <v>0.199193</v>
      </c>
      <c r="W42" s="50">
        <v>0.006144</v>
      </c>
      <c r="X42" s="50">
        <v>0.003155</v>
      </c>
      <c r="Y42" s="50">
        <v>0</v>
      </c>
      <c r="Z42" s="50">
        <v>0</v>
      </c>
      <c r="AA42" s="72">
        <v>42</v>
      </c>
      <c r="AB42" s="72"/>
      <c r="AC42" s="73"/>
      <c r="AD42" s="80" t="s">
        <v>1273</v>
      </c>
      <c r="AE42" s="89" t="s">
        <v>1541</v>
      </c>
      <c r="AF42" s="80">
        <v>803</v>
      </c>
      <c r="AG42" s="80">
        <v>853</v>
      </c>
      <c r="AH42" s="80">
        <v>52699</v>
      </c>
      <c r="AI42" s="80">
        <v>246444</v>
      </c>
      <c r="AJ42" s="80"/>
      <c r="AK42" s="80" t="s">
        <v>1803</v>
      </c>
      <c r="AL42" s="80"/>
      <c r="AM42" s="80"/>
      <c r="AN42" s="80"/>
      <c r="AO42" s="82">
        <v>42288.32121527778</v>
      </c>
      <c r="AP42" s="86" t="str">
        <f>HYPERLINK("https://pbs.twimg.com/profile_banners/3925857208/1640517028")</f>
        <v>https://pbs.twimg.com/profile_banners/3925857208/1640517028</v>
      </c>
      <c r="AQ42" s="80" t="b">
        <v>1</v>
      </c>
      <c r="AR42" s="80" t="b">
        <v>0</v>
      </c>
      <c r="AS42" s="80" t="b">
        <v>0</v>
      </c>
      <c r="AT42" s="80"/>
      <c r="AU42" s="80">
        <v>9</v>
      </c>
      <c r="AV42" s="86" t="str">
        <f>HYPERLINK("https://abs.twimg.com/images/themes/theme1/bg.png")</f>
        <v>https://abs.twimg.com/images/themes/theme1/bg.png</v>
      </c>
      <c r="AW42" s="80" t="b">
        <v>0</v>
      </c>
      <c r="AX42" s="80" t="s">
        <v>2141</v>
      </c>
      <c r="AY42" s="86" t="str">
        <f>HYPERLINK("https://twitter.com/jermulion")</f>
        <v>https://twitter.com/jermulion</v>
      </c>
      <c r="AZ42" s="80" t="s">
        <v>66</v>
      </c>
      <c r="BA42" s="80" t="str">
        <f>REPLACE(INDEX(GroupVertices[Group],MATCH(Vertices[[#This Row],[Vertex]],GroupVertices[Vertex],0)),1,1,"")</f>
        <v>2</v>
      </c>
      <c r="BB42" s="49">
        <v>0</v>
      </c>
      <c r="BC42" s="50">
        <v>0</v>
      </c>
      <c r="BD42" s="49">
        <v>0</v>
      </c>
      <c r="BE42" s="50">
        <v>0</v>
      </c>
      <c r="BF42" s="49">
        <v>0</v>
      </c>
      <c r="BG42" s="50">
        <v>0</v>
      </c>
      <c r="BH42" s="49">
        <v>6</v>
      </c>
      <c r="BI42" s="50">
        <v>100</v>
      </c>
      <c r="BJ42" s="49">
        <v>6</v>
      </c>
      <c r="BK42" s="49"/>
      <c r="BL42" s="49"/>
      <c r="BM42" s="49"/>
      <c r="BN42" s="49"/>
      <c r="BO42" s="49"/>
      <c r="BP42" s="49"/>
      <c r="BQ42" s="116" t="s">
        <v>4241</v>
      </c>
      <c r="BR42" s="116" t="s">
        <v>4241</v>
      </c>
      <c r="BS42" s="116" t="s">
        <v>4322</v>
      </c>
      <c r="BT42" s="116" t="s">
        <v>4322</v>
      </c>
      <c r="BU42" s="2"/>
      <c r="BV42" s="3"/>
      <c r="BW42" s="3"/>
      <c r="BX42" s="3"/>
      <c r="BY42" s="3"/>
    </row>
    <row r="43" spans="1:77" ht="15">
      <c r="A43" s="65" t="s">
        <v>255</v>
      </c>
      <c r="B43" s="66"/>
      <c r="C43" s="66" t="s">
        <v>64</v>
      </c>
      <c r="D43" s="67"/>
      <c r="E43" s="69"/>
      <c r="F43" s="104" t="str">
        <f>HYPERLINK("https://pbs.twimg.com/profile_images/737165450275106816/b7zbRVwo_normal.jpg")</f>
        <v>https://pbs.twimg.com/profile_images/737165450275106816/b7zbRVwo_normal.jpg</v>
      </c>
      <c r="G43" s="66"/>
      <c r="H43" s="70" t="s">
        <v>255</v>
      </c>
      <c r="I43" s="71" t="s">
        <v>4399</v>
      </c>
      <c r="J43" s="71" t="s">
        <v>73</v>
      </c>
      <c r="K43" s="70" t="s">
        <v>2181</v>
      </c>
      <c r="L43" s="74">
        <v>1</v>
      </c>
      <c r="M43" s="75">
        <v>8264.3779296875</v>
      </c>
      <c r="N43" s="75">
        <v>1546.3582763671875</v>
      </c>
      <c r="O43" s="76"/>
      <c r="P43" s="77"/>
      <c r="Q43" s="77"/>
      <c r="R43" s="90"/>
      <c r="S43" s="49">
        <v>0</v>
      </c>
      <c r="T43" s="49">
        <v>1</v>
      </c>
      <c r="U43" s="50">
        <v>0</v>
      </c>
      <c r="V43" s="50">
        <v>0.199193</v>
      </c>
      <c r="W43" s="50">
        <v>0.006144</v>
      </c>
      <c r="X43" s="50">
        <v>0.003155</v>
      </c>
      <c r="Y43" s="50">
        <v>0</v>
      </c>
      <c r="Z43" s="50">
        <v>0</v>
      </c>
      <c r="AA43" s="72">
        <v>43</v>
      </c>
      <c r="AB43" s="72"/>
      <c r="AC43" s="73"/>
      <c r="AD43" s="80" t="s">
        <v>1274</v>
      </c>
      <c r="AE43" s="89" t="s">
        <v>1542</v>
      </c>
      <c r="AF43" s="80">
        <v>430</v>
      </c>
      <c r="AG43" s="80">
        <v>286</v>
      </c>
      <c r="AH43" s="80">
        <v>4935</v>
      </c>
      <c r="AI43" s="80">
        <v>2237</v>
      </c>
      <c r="AJ43" s="80"/>
      <c r="AK43" s="80" t="s">
        <v>1804</v>
      </c>
      <c r="AL43" s="80" t="s">
        <v>2049</v>
      </c>
      <c r="AM43" s="86" t="str">
        <f>HYPERLINK("https://t.co/BRLTOdy9Pt")</f>
        <v>https://t.co/BRLTOdy9Pt</v>
      </c>
      <c r="AN43" s="80"/>
      <c r="AO43" s="82">
        <v>40044.73063657407</v>
      </c>
      <c r="AP43" s="86" t="str">
        <f>HYPERLINK("https://pbs.twimg.com/profile_banners/67062441/1646036073")</f>
        <v>https://pbs.twimg.com/profile_banners/67062441/1646036073</v>
      </c>
      <c r="AQ43" s="80" t="b">
        <v>0</v>
      </c>
      <c r="AR43" s="80" t="b">
        <v>0</v>
      </c>
      <c r="AS43" s="80" t="b">
        <v>0</v>
      </c>
      <c r="AT43" s="80"/>
      <c r="AU43" s="80">
        <v>20</v>
      </c>
      <c r="AV43" s="86" t="str">
        <f>HYPERLINK("https://abs.twimg.com/images/themes/theme14/bg.gif")</f>
        <v>https://abs.twimg.com/images/themes/theme14/bg.gif</v>
      </c>
      <c r="AW43" s="80" t="b">
        <v>0</v>
      </c>
      <c r="AX43" s="80" t="s">
        <v>2141</v>
      </c>
      <c r="AY43" s="86" t="str">
        <f>HYPERLINK("https://twitter.com/anttiseppala")</f>
        <v>https://twitter.com/anttiseppala</v>
      </c>
      <c r="AZ43" s="80" t="s">
        <v>66</v>
      </c>
      <c r="BA43" s="80" t="str">
        <f>REPLACE(INDEX(GroupVertices[Group],MATCH(Vertices[[#This Row],[Vertex]],GroupVertices[Vertex],0)),1,1,"")</f>
        <v>2</v>
      </c>
      <c r="BB43" s="49">
        <v>0</v>
      </c>
      <c r="BC43" s="50">
        <v>0</v>
      </c>
      <c r="BD43" s="49">
        <v>0</v>
      </c>
      <c r="BE43" s="50">
        <v>0</v>
      </c>
      <c r="BF43" s="49">
        <v>0</v>
      </c>
      <c r="BG43" s="50">
        <v>0</v>
      </c>
      <c r="BH43" s="49">
        <v>6</v>
      </c>
      <c r="BI43" s="50">
        <v>100</v>
      </c>
      <c r="BJ43" s="49">
        <v>6</v>
      </c>
      <c r="BK43" s="49"/>
      <c r="BL43" s="49"/>
      <c r="BM43" s="49"/>
      <c r="BN43" s="49"/>
      <c r="BO43" s="49"/>
      <c r="BP43" s="49"/>
      <c r="BQ43" s="116" t="s">
        <v>4241</v>
      </c>
      <c r="BR43" s="116" t="s">
        <v>4241</v>
      </c>
      <c r="BS43" s="116" t="s">
        <v>4322</v>
      </c>
      <c r="BT43" s="116" t="s">
        <v>4322</v>
      </c>
      <c r="BU43" s="2"/>
      <c r="BV43" s="3"/>
      <c r="BW43" s="3"/>
      <c r="BX43" s="3"/>
      <c r="BY43" s="3"/>
    </row>
    <row r="44" spans="1:77" ht="15">
      <c r="A44" s="65" t="s">
        <v>256</v>
      </c>
      <c r="B44" s="66"/>
      <c r="C44" s="66" t="s">
        <v>64</v>
      </c>
      <c r="D44" s="67"/>
      <c r="E44" s="69"/>
      <c r="F44" s="104" t="str">
        <f>HYPERLINK("https://pbs.twimg.com/profile_images/1407223933485604867/wFWIk4LR_normal.jpg")</f>
        <v>https://pbs.twimg.com/profile_images/1407223933485604867/wFWIk4LR_normal.jpg</v>
      </c>
      <c r="G44" s="66"/>
      <c r="H44" s="70" t="s">
        <v>256</v>
      </c>
      <c r="I44" s="71" t="s">
        <v>4399</v>
      </c>
      <c r="J44" s="71" t="s">
        <v>73</v>
      </c>
      <c r="K44" s="70" t="s">
        <v>2182</v>
      </c>
      <c r="L44" s="74">
        <v>1</v>
      </c>
      <c r="M44" s="75">
        <v>9285.728515625</v>
      </c>
      <c r="N44" s="75">
        <v>2503.05810546875</v>
      </c>
      <c r="O44" s="76"/>
      <c r="P44" s="77"/>
      <c r="Q44" s="77"/>
      <c r="R44" s="90"/>
      <c r="S44" s="49">
        <v>0</v>
      </c>
      <c r="T44" s="49">
        <v>1</v>
      </c>
      <c r="U44" s="50">
        <v>0</v>
      </c>
      <c r="V44" s="50">
        <v>0.199193</v>
      </c>
      <c r="W44" s="50">
        <v>0.006144</v>
      </c>
      <c r="X44" s="50">
        <v>0.003155</v>
      </c>
      <c r="Y44" s="50">
        <v>0</v>
      </c>
      <c r="Z44" s="50">
        <v>0</v>
      </c>
      <c r="AA44" s="72">
        <v>44</v>
      </c>
      <c r="AB44" s="72"/>
      <c r="AC44" s="73"/>
      <c r="AD44" s="80" t="s">
        <v>1275</v>
      </c>
      <c r="AE44" s="89" t="s">
        <v>1543</v>
      </c>
      <c r="AF44" s="80">
        <v>2839</v>
      </c>
      <c r="AG44" s="80">
        <v>1390</v>
      </c>
      <c r="AH44" s="80">
        <v>11585</v>
      </c>
      <c r="AI44" s="80">
        <v>59616</v>
      </c>
      <c r="AJ44" s="80"/>
      <c r="AK44" s="80" t="s">
        <v>1805</v>
      </c>
      <c r="AL44" s="80" t="s">
        <v>1201</v>
      </c>
      <c r="AM44" s="80"/>
      <c r="AN44" s="80"/>
      <c r="AO44" s="82">
        <v>39912.36622685185</v>
      </c>
      <c r="AP44" s="86" t="str">
        <f>HYPERLINK("https://pbs.twimg.com/profile_banners/29949263/1645476469")</f>
        <v>https://pbs.twimg.com/profile_banners/29949263/1645476469</v>
      </c>
      <c r="AQ44" s="80" t="b">
        <v>0</v>
      </c>
      <c r="AR44" s="80" t="b">
        <v>0</v>
      </c>
      <c r="AS44" s="80" t="b">
        <v>0</v>
      </c>
      <c r="AT44" s="80"/>
      <c r="AU44" s="80">
        <v>2</v>
      </c>
      <c r="AV44" s="86" t="str">
        <f>HYPERLINK("https://abs.twimg.com/images/themes/theme1/bg.png")</f>
        <v>https://abs.twimg.com/images/themes/theme1/bg.png</v>
      </c>
      <c r="AW44" s="80" t="b">
        <v>0</v>
      </c>
      <c r="AX44" s="80" t="s">
        <v>2141</v>
      </c>
      <c r="AY44" s="86" t="str">
        <f>HYPERLINK("https://twitter.com/ahaaparanta")</f>
        <v>https://twitter.com/ahaaparanta</v>
      </c>
      <c r="AZ44" s="80" t="s">
        <v>66</v>
      </c>
      <c r="BA44" s="80" t="str">
        <f>REPLACE(INDEX(GroupVertices[Group],MATCH(Vertices[[#This Row],[Vertex]],GroupVertices[Vertex],0)),1,1,"")</f>
        <v>2</v>
      </c>
      <c r="BB44" s="49">
        <v>0</v>
      </c>
      <c r="BC44" s="50">
        <v>0</v>
      </c>
      <c r="BD44" s="49">
        <v>0</v>
      </c>
      <c r="BE44" s="50">
        <v>0</v>
      </c>
      <c r="BF44" s="49">
        <v>0</v>
      </c>
      <c r="BG44" s="50">
        <v>0</v>
      </c>
      <c r="BH44" s="49">
        <v>6</v>
      </c>
      <c r="BI44" s="50">
        <v>100</v>
      </c>
      <c r="BJ44" s="49">
        <v>6</v>
      </c>
      <c r="BK44" s="49"/>
      <c r="BL44" s="49"/>
      <c r="BM44" s="49"/>
      <c r="BN44" s="49"/>
      <c r="BO44" s="49"/>
      <c r="BP44" s="49"/>
      <c r="BQ44" s="116" t="s">
        <v>4241</v>
      </c>
      <c r="BR44" s="116" t="s">
        <v>4241</v>
      </c>
      <c r="BS44" s="116" t="s">
        <v>4322</v>
      </c>
      <c r="BT44" s="116" t="s">
        <v>4322</v>
      </c>
      <c r="BU44" s="2"/>
      <c r="BV44" s="3"/>
      <c r="BW44" s="3"/>
      <c r="BX44" s="3"/>
      <c r="BY44" s="3"/>
    </row>
    <row r="45" spans="1:77" ht="15">
      <c r="A45" s="65" t="s">
        <v>257</v>
      </c>
      <c r="B45" s="66"/>
      <c r="C45" s="66" t="s">
        <v>64</v>
      </c>
      <c r="D45" s="67"/>
      <c r="E45" s="69"/>
      <c r="F45" s="104" t="str">
        <f>HYPERLINK("https://pbs.twimg.com/profile_images/1502319447687708680/CNdcyeRk_normal.jpg")</f>
        <v>https://pbs.twimg.com/profile_images/1502319447687708680/CNdcyeRk_normal.jpg</v>
      </c>
      <c r="G45" s="66"/>
      <c r="H45" s="70" t="s">
        <v>257</v>
      </c>
      <c r="I45" s="71" t="s">
        <v>4399</v>
      </c>
      <c r="J45" s="71" t="s">
        <v>73</v>
      </c>
      <c r="K45" s="70" t="s">
        <v>2183</v>
      </c>
      <c r="L45" s="74">
        <v>1</v>
      </c>
      <c r="M45" s="75">
        <v>3045.36767578125</v>
      </c>
      <c r="N45" s="75">
        <v>3175.269287109375</v>
      </c>
      <c r="O45" s="76"/>
      <c r="P45" s="77"/>
      <c r="Q45" s="77"/>
      <c r="R45" s="90"/>
      <c r="S45" s="49">
        <v>0</v>
      </c>
      <c r="T45" s="49">
        <v>1</v>
      </c>
      <c r="U45" s="50">
        <v>0</v>
      </c>
      <c r="V45" s="50">
        <v>0.199193</v>
      </c>
      <c r="W45" s="50">
        <v>0.006144</v>
      </c>
      <c r="X45" s="50">
        <v>0.003155</v>
      </c>
      <c r="Y45" s="50">
        <v>0</v>
      </c>
      <c r="Z45" s="50">
        <v>0</v>
      </c>
      <c r="AA45" s="72">
        <v>45</v>
      </c>
      <c r="AB45" s="72"/>
      <c r="AC45" s="73"/>
      <c r="AD45" s="89" t="s">
        <v>1276</v>
      </c>
      <c r="AE45" s="89" t="s">
        <v>1544</v>
      </c>
      <c r="AF45" s="80">
        <v>1221</v>
      </c>
      <c r="AG45" s="80">
        <v>205</v>
      </c>
      <c r="AH45" s="80">
        <v>13079</v>
      </c>
      <c r="AI45" s="80">
        <v>30431</v>
      </c>
      <c r="AJ45" s="80"/>
      <c r="AK45" s="80" t="s">
        <v>1806</v>
      </c>
      <c r="AL45" s="80"/>
      <c r="AM45" s="80"/>
      <c r="AN45" s="80"/>
      <c r="AO45" s="82">
        <v>44208.623506944445</v>
      </c>
      <c r="AP45" s="86" t="str">
        <f>HYPERLINK("https://pbs.twimg.com/profile_banners/1349007442890412035/1647970683")</f>
        <v>https://pbs.twimg.com/profile_banners/1349007442890412035/1647970683</v>
      </c>
      <c r="AQ45" s="80" t="b">
        <v>1</v>
      </c>
      <c r="AR45" s="80" t="b">
        <v>0</v>
      </c>
      <c r="AS45" s="80" t="b">
        <v>0</v>
      </c>
      <c r="AT45" s="80"/>
      <c r="AU45" s="80">
        <v>1</v>
      </c>
      <c r="AV45" s="80"/>
      <c r="AW45" s="80" t="b">
        <v>0</v>
      </c>
      <c r="AX45" s="80" t="s">
        <v>2141</v>
      </c>
      <c r="AY45" s="86" t="str">
        <f>HYPERLINK("https://twitter.com/granstromolavi")</f>
        <v>https://twitter.com/granstromolavi</v>
      </c>
      <c r="AZ45" s="80" t="s">
        <v>66</v>
      </c>
      <c r="BA45" s="80" t="str">
        <f>REPLACE(INDEX(GroupVertices[Group],MATCH(Vertices[[#This Row],[Vertex]],GroupVertices[Vertex],0)),1,1,"")</f>
        <v>2</v>
      </c>
      <c r="BB45" s="49">
        <v>0</v>
      </c>
      <c r="BC45" s="50">
        <v>0</v>
      </c>
      <c r="BD45" s="49">
        <v>0</v>
      </c>
      <c r="BE45" s="50">
        <v>0</v>
      </c>
      <c r="BF45" s="49">
        <v>0</v>
      </c>
      <c r="BG45" s="50">
        <v>0</v>
      </c>
      <c r="BH45" s="49">
        <v>6</v>
      </c>
      <c r="BI45" s="50">
        <v>100</v>
      </c>
      <c r="BJ45" s="49">
        <v>6</v>
      </c>
      <c r="BK45" s="49"/>
      <c r="BL45" s="49"/>
      <c r="BM45" s="49"/>
      <c r="BN45" s="49"/>
      <c r="BO45" s="49"/>
      <c r="BP45" s="49"/>
      <c r="BQ45" s="116" t="s">
        <v>4241</v>
      </c>
      <c r="BR45" s="116" t="s">
        <v>4241</v>
      </c>
      <c r="BS45" s="116" t="s">
        <v>4322</v>
      </c>
      <c r="BT45" s="116" t="s">
        <v>4322</v>
      </c>
      <c r="BU45" s="2"/>
      <c r="BV45" s="3"/>
      <c r="BW45" s="3"/>
      <c r="BX45" s="3"/>
      <c r="BY45" s="3"/>
    </row>
    <row r="46" spans="1:77" ht="15">
      <c r="A46" s="65" t="s">
        <v>258</v>
      </c>
      <c r="B46" s="66"/>
      <c r="C46" s="66" t="s">
        <v>64</v>
      </c>
      <c r="D46" s="67">
        <v>10</v>
      </c>
      <c r="E46" s="69"/>
      <c r="F46" s="104" t="str">
        <f>HYPERLINK("https://pbs.twimg.com/profile_images/1170647391734837248/bDNanl7T_normal.jpg")</f>
        <v>https://pbs.twimg.com/profile_images/1170647391734837248/bDNanl7T_normal.jpg</v>
      </c>
      <c r="G46" s="66"/>
      <c r="H46" s="70" t="s">
        <v>258</v>
      </c>
      <c r="I46" s="71" t="s">
        <v>4398</v>
      </c>
      <c r="J46" s="71" t="s">
        <v>73</v>
      </c>
      <c r="K46" s="70" t="s">
        <v>2184</v>
      </c>
      <c r="L46" s="74">
        <v>99.01960784313725</v>
      </c>
      <c r="M46" s="75"/>
      <c r="N46" s="75"/>
      <c r="O46" s="76"/>
      <c r="P46" s="77"/>
      <c r="Q46" s="77"/>
      <c r="R46" s="90"/>
      <c r="S46" s="49">
        <v>1</v>
      </c>
      <c r="T46" s="49">
        <v>1</v>
      </c>
      <c r="U46" s="50">
        <v>0</v>
      </c>
      <c r="V46" s="50">
        <v>0</v>
      </c>
      <c r="W46" s="50">
        <v>0</v>
      </c>
      <c r="X46" s="50">
        <v>0.003623</v>
      </c>
      <c r="Y46" s="50">
        <v>0</v>
      </c>
      <c r="Z46" s="50">
        <v>0</v>
      </c>
      <c r="AA46" s="72">
        <v>46</v>
      </c>
      <c r="AB46" s="72"/>
      <c r="AC46" s="73"/>
      <c r="AD46" s="80" t="s">
        <v>1277</v>
      </c>
      <c r="AE46" s="89" t="s">
        <v>1545</v>
      </c>
      <c r="AF46" s="80">
        <v>333</v>
      </c>
      <c r="AG46" s="80">
        <v>813</v>
      </c>
      <c r="AH46" s="80">
        <v>8380</v>
      </c>
      <c r="AI46" s="80">
        <v>23590</v>
      </c>
      <c r="AJ46" s="80"/>
      <c r="AK46" s="80" t="s">
        <v>1807</v>
      </c>
      <c r="AL46" s="80" t="s">
        <v>2050</v>
      </c>
      <c r="AM46" s="86" t="str">
        <f>HYPERLINK("https://t.co/bHeUiNuAEf")</f>
        <v>https://t.co/bHeUiNuAEf</v>
      </c>
      <c r="AN46" s="80"/>
      <c r="AO46" s="82">
        <v>41000.79138888889</v>
      </c>
      <c r="AP46" s="86" t="str">
        <f>HYPERLINK("https://pbs.twimg.com/profile_banners/542775437/1645711173")</f>
        <v>https://pbs.twimg.com/profile_banners/542775437/1645711173</v>
      </c>
      <c r="AQ46" s="80" t="b">
        <v>1</v>
      </c>
      <c r="AR46" s="80" t="b">
        <v>0</v>
      </c>
      <c r="AS46" s="80" t="b">
        <v>0</v>
      </c>
      <c r="AT46" s="80"/>
      <c r="AU46" s="80">
        <v>7</v>
      </c>
      <c r="AV46" s="86" t="str">
        <f>HYPERLINK("https://abs.twimg.com/images/themes/theme1/bg.png")</f>
        <v>https://abs.twimg.com/images/themes/theme1/bg.png</v>
      </c>
      <c r="AW46" s="80" t="b">
        <v>0</v>
      </c>
      <c r="AX46" s="80" t="s">
        <v>2141</v>
      </c>
      <c r="AY46" s="86" t="str">
        <f>HYPERLINK("https://twitter.com/petripihko")</f>
        <v>https://twitter.com/petripihko</v>
      </c>
      <c r="AZ46" s="80" t="s">
        <v>66</v>
      </c>
      <c r="BA46" s="80" t="str">
        <f>REPLACE(INDEX(GroupVertices[Group],MATCH(Vertices[[#This Row],[Vertex]],GroupVertices[Vertex],0)),1,1,"")</f>
        <v>3</v>
      </c>
      <c r="BB46" s="49">
        <v>0</v>
      </c>
      <c r="BC46" s="50">
        <v>0</v>
      </c>
      <c r="BD46" s="49">
        <v>0</v>
      </c>
      <c r="BE46" s="50">
        <v>0</v>
      </c>
      <c r="BF46" s="49">
        <v>0</v>
      </c>
      <c r="BG46" s="50">
        <v>0</v>
      </c>
      <c r="BH46" s="49">
        <v>7</v>
      </c>
      <c r="BI46" s="50">
        <v>100</v>
      </c>
      <c r="BJ46" s="49">
        <v>7</v>
      </c>
      <c r="BK46" s="49" t="s">
        <v>4007</v>
      </c>
      <c r="BL46" s="49" t="s">
        <v>4007</v>
      </c>
      <c r="BM46" s="49" t="s">
        <v>580</v>
      </c>
      <c r="BN46" s="49" t="s">
        <v>580</v>
      </c>
      <c r="BO46" s="49"/>
      <c r="BP46" s="49"/>
      <c r="BQ46" s="116" t="s">
        <v>4244</v>
      </c>
      <c r="BR46" s="116" t="s">
        <v>4244</v>
      </c>
      <c r="BS46" s="116" t="s">
        <v>4325</v>
      </c>
      <c r="BT46" s="116" t="s">
        <v>4325</v>
      </c>
      <c r="BU46" s="2"/>
      <c r="BV46" s="3"/>
      <c r="BW46" s="3"/>
      <c r="BX46" s="3"/>
      <c r="BY46" s="3"/>
    </row>
    <row r="47" spans="1:77" ht="15">
      <c r="A47" s="65" t="s">
        <v>259</v>
      </c>
      <c r="B47" s="66"/>
      <c r="C47" s="66" t="s">
        <v>64</v>
      </c>
      <c r="D47" s="67"/>
      <c r="E47" s="69"/>
      <c r="F47" s="104" t="str">
        <f>HYPERLINK("https://pbs.twimg.com/profile_images/1410919518071832578/Gwuk3KaJ_normal.jpg")</f>
        <v>https://pbs.twimg.com/profile_images/1410919518071832578/Gwuk3KaJ_normal.jpg</v>
      </c>
      <c r="G47" s="66"/>
      <c r="H47" s="70" t="s">
        <v>259</v>
      </c>
      <c r="I47" s="71" t="s">
        <v>4399</v>
      </c>
      <c r="J47" s="71" t="s">
        <v>73</v>
      </c>
      <c r="K47" s="70" t="s">
        <v>2185</v>
      </c>
      <c r="L47" s="74">
        <v>1</v>
      </c>
      <c r="M47" s="75">
        <v>7834.37451171875</v>
      </c>
      <c r="N47" s="75">
        <v>639.7804565429688</v>
      </c>
      <c r="O47" s="76"/>
      <c r="P47" s="77"/>
      <c r="Q47" s="77"/>
      <c r="R47" s="90"/>
      <c r="S47" s="49">
        <v>0</v>
      </c>
      <c r="T47" s="49">
        <v>1</v>
      </c>
      <c r="U47" s="50">
        <v>0</v>
      </c>
      <c r="V47" s="50">
        <v>0.199193</v>
      </c>
      <c r="W47" s="50">
        <v>0.006144</v>
      </c>
      <c r="X47" s="50">
        <v>0.003155</v>
      </c>
      <c r="Y47" s="50">
        <v>0</v>
      </c>
      <c r="Z47" s="50">
        <v>0</v>
      </c>
      <c r="AA47" s="72">
        <v>47</v>
      </c>
      <c r="AB47" s="72"/>
      <c r="AC47" s="73"/>
      <c r="AD47" s="80" t="s">
        <v>1278</v>
      </c>
      <c r="AE47" s="89" t="s">
        <v>1546</v>
      </c>
      <c r="AF47" s="80">
        <v>310</v>
      </c>
      <c r="AG47" s="80">
        <v>94</v>
      </c>
      <c r="AH47" s="80">
        <v>2121</v>
      </c>
      <c r="AI47" s="80">
        <v>6827</v>
      </c>
      <c r="AJ47" s="80"/>
      <c r="AK47" s="80" t="s">
        <v>1808</v>
      </c>
      <c r="AL47" s="80" t="s">
        <v>2051</v>
      </c>
      <c r="AM47" s="86" t="str">
        <f>HYPERLINK("https://t.co/aGOcIgwndp")</f>
        <v>https://t.co/aGOcIgwndp</v>
      </c>
      <c r="AN47" s="80"/>
      <c r="AO47" s="82">
        <v>43207.83096064815</v>
      </c>
      <c r="AP47" s="86" t="str">
        <f>HYPERLINK("https://pbs.twimg.com/profile_banners/986332615878873088/1632582679")</f>
        <v>https://pbs.twimg.com/profile_banners/986332615878873088/1632582679</v>
      </c>
      <c r="AQ47" s="80" t="b">
        <v>1</v>
      </c>
      <c r="AR47" s="80" t="b">
        <v>0</v>
      </c>
      <c r="AS47" s="80" t="b">
        <v>0</v>
      </c>
      <c r="AT47" s="80"/>
      <c r="AU47" s="80">
        <v>0</v>
      </c>
      <c r="AV47" s="80"/>
      <c r="AW47" s="80" t="b">
        <v>0</v>
      </c>
      <c r="AX47" s="80" t="s">
        <v>2141</v>
      </c>
      <c r="AY47" s="86" t="str">
        <f>HYPERLINK("https://twitter.com/vesaukkonen")</f>
        <v>https://twitter.com/vesaukkonen</v>
      </c>
      <c r="AZ47" s="80" t="s">
        <v>66</v>
      </c>
      <c r="BA47" s="80" t="str">
        <f>REPLACE(INDEX(GroupVertices[Group],MATCH(Vertices[[#This Row],[Vertex]],GroupVertices[Vertex],0)),1,1,"")</f>
        <v>2</v>
      </c>
      <c r="BB47" s="49">
        <v>0</v>
      </c>
      <c r="BC47" s="50">
        <v>0</v>
      </c>
      <c r="BD47" s="49">
        <v>0</v>
      </c>
      <c r="BE47" s="50">
        <v>0</v>
      </c>
      <c r="BF47" s="49">
        <v>0</v>
      </c>
      <c r="BG47" s="50">
        <v>0</v>
      </c>
      <c r="BH47" s="49">
        <v>6</v>
      </c>
      <c r="BI47" s="50">
        <v>100</v>
      </c>
      <c r="BJ47" s="49">
        <v>6</v>
      </c>
      <c r="BK47" s="49"/>
      <c r="BL47" s="49"/>
      <c r="BM47" s="49"/>
      <c r="BN47" s="49"/>
      <c r="BO47" s="49"/>
      <c r="BP47" s="49"/>
      <c r="BQ47" s="116" t="s">
        <v>4241</v>
      </c>
      <c r="BR47" s="116" t="s">
        <v>4241</v>
      </c>
      <c r="BS47" s="116" t="s">
        <v>4322</v>
      </c>
      <c r="BT47" s="116" t="s">
        <v>4322</v>
      </c>
      <c r="BU47" s="2"/>
      <c r="BV47" s="3"/>
      <c r="BW47" s="3"/>
      <c r="BX47" s="3"/>
      <c r="BY47" s="3"/>
    </row>
    <row r="48" spans="1:77" ht="15">
      <c r="A48" s="65" t="s">
        <v>260</v>
      </c>
      <c r="B48" s="66"/>
      <c r="C48" s="66" t="s">
        <v>64</v>
      </c>
      <c r="D48" s="67"/>
      <c r="E48" s="69"/>
      <c r="F48" s="104" t="str">
        <f>HYPERLINK("https://pbs.twimg.com/profile_images/1268127033/tinkuliini_normal.jpg")</f>
        <v>https://pbs.twimg.com/profile_images/1268127033/tinkuliini_normal.jpg</v>
      </c>
      <c r="G48" s="66"/>
      <c r="H48" s="70" t="s">
        <v>260</v>
      </c>
      <c r="I48" s="71" t="s">
        <v>4399</v>
      </c>
      <c r="J48" s="71" t="s">
        <v>73</v>
      </c>
      <c r="K48" s="70" t="s">
        <v>2186</v>
      </c>
      <c r="L48" s="74">
        <v>1</v>
      </c>
      <c r="M48" s="75">
        <v>6398.34228515625</v>
      </c>
      <c r="N48" s="75">
        <v>267.7794494628906</v>
      </c>
      <c r="O48" s="76"/>
      <c r="P48" s="77"/>
      <c r="Q48" s="77"/>
      <c r="R48" s="90"/>
      <c r="S48" s="49">
        <v>0</v>
      </c>
      <c r="T48" s="49">
        <v>1</v>
      </c>
      <c r="U48" s="50">
        <v>0</v>
      </c>
      <c r="V48" s="50">
        <v>0.199193</v>
      </c>
      <c r="W48" s="50">
        <v>0.006144</v>
      </c>
      <c r="X48" s="50">
        <v>0.003155</v>
      </c>
      <c r="Y48" s="50">
        <v>0</v>
      </c>
      <c r="Z48" s="50">
        <v>0</v>
      </c>
      <c r="AA48" s="72">
        <v>48</v>
      </c>
      <c r="AB48" s="72"/>
      <c r="AC48" s="73"/>
      <c r="AD48" s="80" t="s">
        <v>1279</v>
      </c>
      <c r="AE48" s="89" t="s">
        <v>1547</v>
      </c>
      <c r="AF48" s="80">
        <v>230</v>
      </c>
      <c r="AG48" s="80">
        <v>153</v>
      </c>
      <c r="AH48" s="80">
        <v>2860</v>
      </c>
      <c r="AI48" s="80">
        <v>5353</v>
      </c>
      <c r="AJ48" s="80"/>
      <c r="AK48" s="80" t="s">
        <v>1809</v>
      </c>
      <c r="AL48" s="80" t="s">
        <v>1201</v>
      </c>
      <c r="AM48" s="86" t="str">
        <f>HYPERLINK("https://t.co/XVyQWZlWZh")</f>
        <v>https://t.co/XVyQWZlWZh</v>
      </c>
      <c r="AN48" s="80"/>
      <c r="AO48" s="82">
        <v>39937.46436342593</v>
      </c>
      <c r="AP48" s="86" t="str">
        <f>HYPERLINK("https://pbs.twimg.com/profile_banners/37638161/1487753859")</f>
        <v>https://pbs.twimg.com/profile_banners/37638161/1487753859</v>
      </c>
      <c r="AQ48" s="80" t="b">
        <v>0</v>
      </c>
      <c r="AR48" s="80" t="b">
        <v>0</v>
      </c>
      <c r="AS48" s="80" t="b">
        <v>1</v>
      </c>
      <c r="AT48" s="80"/>
      <c r="AU48" s="80">
        <v>15</v>
      </c>
      <c r="AV48" s="86" t="str">
        <f>HYPERLINK("https://abs.twimg.com/images/themes/theme12/bg.gif")</f>
        <v>https://abs.twimg.com/images/themes/theme12/bg.gif</v>
      </c>
      <c r="AW48" s="80" t="b">
        <v>0</v>
      </c>
      <c r="AX48" s="80" t="s">
        <v>2141</v>
      </c>
      <c r="AY48" s="86" t="str">
        <f>HYPERLINK("https://twitter.com/tinkeliini")</f>
        <v>https://twitter.com/tinkeliini</v>
      </c>
      <c r="AZ48" s="80" t="s">
        <v>66</v>
      </c>
      <c r="BA48" s="80" t="str">
        <f>REPLACE(INDEX(GroupVertices[Group],MATCH(Vertices[[#This Row],[Vertex]],GroupVertices[Vertex],0)),1,1,"")</f>
        <v>2</v>
      </c>
      <c r="BB48" s="49">
        <v>0</v>
      </c>
      <c r="BC48" s="50">
        <v>0</v>
      </c>
      <c r="BD48" s="49">
        <v>0</v>
      </c>
      <c r="BE48" s="50">
        <v>0</v>
      </c>
      <c r="BF48" s="49">
        <v>0</v>
      </c>
      <c r="BG48" s="50">
        <v>0</v>
      </c>
      <c r="BH48" s="49">
        <v>6</v>
      </c>
      <c r="BI48" s="50">
        <v>100</v>
      </c>
      <c r="BJ48" s="49">
        <v>6</v>
      </c>
      <c r="BK48" s="49"/>
      <c r="BL48" s="49"/>
      <c r="BM48" s="49"/>
      <c r="BN48" s="49"/>
      <c r="BO48" s="49"/>
      <c r="BP48" s="49"/>
      <c r="BQ48" s="116" t="s">
        <v>4241</v>
      </c>
      <c r="BR48" s="116" t="s">
        <v>4241</v>
      </c>
      <c r="BS48" s="116" t="s">
        <v>4322</v>
      </c>
      <c r="BT48" s="116" t="s">
        <v>4322</v>
      </c>
      <c r="BU48" s="2"/>
      <c r="BV48" s="3"/>
      <c r="BW48" s="3"/>
      <c r="BX48" s="3"/>
      <c r="BY48" s="3"/>
    </row>
    <row r="49" spans="1:77" ht="15">
      <c r="A49" s="65" t="s">
        <v>261</v>
      </c>
      <c r="B49" s="66"/>
      <c r="C49" s="66" t="s">
        <v>64</v>
      </c>
      <c r="D49" s="67"/>
      <c r="E49" s="69"/>
      <c r="F49" s="104" t="str">
        <f>HYPERLINK("https://pbs.twimg.com/profile_images/687335558004256768/dQNIHg65_normal.jpg")</f>
        <v>https://pbs.twimg.com/profile_images/687335558004256768/dQNIHg65_normal.jpg</v>
      </c>
      <c r="G49" s="66"/>
      <c r="H49" s="70" t="s">
        <v>261</v>
      </c>
      <c r="I49" s="71" t="s">
        <v>4399</v>
      </c>
      <c r="J49" s="71" t="s">
        <v>73</v>
      </c>
      <c r="K49" s="70" t="s">
        <v>2187</v>
      </c>
      <c r="L49" s="74">
        <v>1</v>
      </c>
      <c r="M49" s="75">
        <v>4770.0400390625</v>
      </c>
      <c r="N49" s="75">
        <v>3636.366943359375</v>
      </c>
      <c r="O49" s="76"/>
      <c r="P49" s="77"/>
      <c r="Q49" s="77"/>
      <c r="R49" s="90"/>
      <c r="S49" s="49">
        <v>0</v>
      </c>
      <c r="T49" s="49">
        <v>1</v>
      </c>
      <c r="U49" s="50">
        <v>0</v>
      </c>
      <c r="V49" s="50">
        <v>0.199193</v>
      </c>
      <c r="W49" s="50">
        <v>0.006144</v>
      </c>
      <c r="X49" s="50">
        <v>0.003155</v>
      </c>
      <c r="Y49" s="50">
        <v>0</v>
      </c>
      <c r="Z49" s="50">
        <v>0</v>
      </c>
      <c r="AA49" s="72">
        <v>49</v>
      </c>
      <c r="AB49" s="72"/>
      <c r="AC49" s="73"/>
      <c r="AD49" s="80" t="s">
        <v>1280</v>
      </c>
      <c r="AE49" s="89" t="s">
        <v>1548</v>
      </c>
      <c r="AF49" s="80">
        <v>164</v>
      </c>
      <c r="AG49" s="80">
        <v>667</v>
      </c>
      <c r="AH49" s="80">
        <v>2212</v>
      </c>
      <c r="AI49" s="80">
        <v>1658</v>
      </c>
      <c r="AJ49" s="80"/>
      <c r="AK49" s="80" t="s">
        <v>1810</v>
      </c>
      <c r="AL49" s="80" t="s">
        <v>2041</v>
      </c>
      <c r="AM49" s="86" t="str">
        <f>HYPERLINK("https://t.co/y42vv2kqZG")</f>
        <v>https://t.co/y42vv2kqZG</v>
      </c>
      <c r="AN49" s="80"/>
      <c r="AO49" s="82">
        <v>41642.32774305555</v>
      </c>
      <c r="AP49" s="80"/>
      <c r="AQ49" s="80" t="b">
        <v>1</v>
      </c>
      <c r="AR49" s="80" t="b">
        <v>0</v>
      </c>
      <c r="AS49" s="80" t="b">
        <v>1</v>
      </c>
      <c r="AT49" s="80"/>
      <c r="AU49" s="80">
        <v>1</v>
      </c>
      <c r="AV49" s="86" t="str">
        <f>HYPERLINK("https://abs.twimg.com/images/themes/theme1/bg.png")</f>
        <v>https://abs.twimg.com/images/themes/theme1/bg.png</v>
      </c>
      <c r="AW49" s="80" t="b">
        <v>0</v>
      </c>
      <c r="AX49" s="80" t="s">
        <v>2141</v>
      </c>
      <c r="AY49" s="86" t="str">
        <f>HYPERLINK("https://twitter.com/jussisaarelma")</f>
        <v>https://twitter.com/jussisaarelma</v>
      </c>
      <c r="AZ49" s="80" t="s">
        <v>66</v>
      </c>
      <c r="BA49" s="80" t="str">
        <f>REPLACE(INDEX(GroupVertices[Group],MATCH(Vertices[[#This Row],[Vertex]],GroupVertices[Vertex],0)),1,1,"")</f>
        <v>2</v>
      </c>
      <c r="BB49" s="49">
        <v>0</v>
      </c>
      <c r="BC49" s="50">
        <v>0</v>
      </c>
      <c r="BD49" s="49">
        <v>0</v>
      </c>
      <c r="BE49" s="50">
        <v>0</v>
      </c>
      <c r="BF49" s="49">
        <v>0</v>
      </c>
      <c r="BG49" s="50">
        <v>0</v>
      </c>
      <c r="BH49" s="49">
        <v>6</v>
      </c>
      <c r="BI49" s="50">
        <v>100</v>
      </c>
      <c r="BJ49" s="49">
        <v>6</v>
      </c>
      <c r="BK49" s="49"/>
      <c r="BL49" s="49"/>
      <c r="BM49" s="49"/>
      <c r="BN49" s="49"/>
      <c r="BO49" s="49"/>
      <c r="BP49" s="49"/>
      <c r="BQ49" s="116" t="s">
        <v>4241</v>
      </c>
      <c r="BR49" s="116" t="s">
        <v>4241</v>
      </c>
      <c r="BS49" s="116" t="s">
        <v>4322</v>
      </c>
      <c r="BT49" s="116" t="s">
        <v>4322</v>
      </c>
      <c r="BU49" s="2"/>
      <c r="BV49" s="3"/>
      <c r="BW49" s="3"/>
      <c r="BX49" s="3"/>
      <c r="BY49" s="3"/>
    </row>
    <row r="50" spans="1:77" ht="15">
      <c r="A50" s="65" t="s">
        <v>262</v>
      </c>
      <c r="B50" s="66"/>
      <c r="C50" s="66" t="s">
        <v>64</v>
      </c>
      <c r="D50" s="67">
        <v>10</v>
      </c>
      <c r="E50" s="69"/>
      <c r="F50" s="104" t="str">
        <f>HYPERLINK("https://pbs.twimg.com/profile_images/1488940144568774657/EEM86r0g_normal.jpg")</f>
        <v>https://pbs.twimg.com/profile_images/1488940144568774657/EEM86r0g_normal.jpg</v>
      </c>
      <c r="G50" s="66"/>
      <c r="H50" s="70" t="s">
        <v>262</v>
      </c>
      <c r="I50" s="71" t="s">
        <v>4398</v>
      </c>
      <c r="J50" s="71" t="s">
        <v>73</v>
      </c>
      <c r="K50" s="70" t="s">
        <v>2188</v>
      </c>
      <c r="L50" s="74">
        <v>99.01960784313725</v>
      </c>
      <c r="M50" s="75"/>
      <c r="N50" s="75"/>
      <c r="O50" s="76"/>
      <c r="P50" s="77"/>
      <c r="Q50" s="77"/>
      <c r="R50" s="90"/>
      <c r="S50" s="49">
        <v>1</v>
      </c>
      <c r="T50" s="49">
        <v>1</v>
      </c>
      <c r="U50" s="50">
        <v>0</v>
      </c>
      <c r="V50" s="50">
        <v>0</v>
      </c>
      <c r="W50" s="50">
        <v>0</v>
      </c>
      <c r="X50" s="50">
        <v>0.003623</v>
      </c>
      <c r="Y50" s="50">
        <v>0</v>
      </c>
      <c r="Z50" s="50">
        <v>0</v>
      </c>
      <c r="AA50" s="72">
        <v>50</v>
      </c>
      <c r="AB50" s="72"/>
      <c r="AC50" s="73"/>
      <c r="AD50" s="80" t="s">
        <v>1281</v>
      </c>
      <c r="AE50" s="89" t="s">
        <v>1549</v>
      </c>
      <c r="AF50" s="80">
        <v>1801</v>
      </c>
      <c r="AG50" s="80">
        <v>779</v>
      </c>
      <c r="AH50" s="80">
        <v>3089</v>
      </c>
      <c r="AI50" s="80">
        <v>4544</v>
      </c>
      <c r="AJ50" s="80"/>
      <c r="AK50" s="80" t="s">
        <v>1811</v>
      </c>
      <c r="AL50" s="80" t="s">
        <v>2038</v>
      </c>
      <c r="AM50" s="80"/>
      <c r="AN50" s="80"/>
      <c r="AO50" s="82">
        <v>39949.41417824074</v>
      </c>
      <c r="AP50" s="86" t="str">
        <f>HYPERLINK("https://pbs.twimg.com/profile_banners/40440654/1454779706")</f>
        <v>https://pbs.twimg.com/profile_banners/40440654/1454779706</v>
      </c>
      <c r="AQ50" s="80" t="b">
        <v>0</v>
      </c>
      <c r="AR50" s="80" t="b">
        <v>0</v>
      </c>
      <c r="AS50" s="80" t="b">
        <v>1</v>
      </c>
      <c r="AT50" s="80"/>
      <c r="AU50" s="80">
        <v>131</v>
      </c>
      <c r="AV50" s="86" t="str">
        <f>HYPERLINK("https://abs.twimg.com/images/themes/theme1/bg.png")</f>
        <v>https://abs.twimg.com/images/themes/theme1/bg.png</v>
      </c>
      <c r="AW50" s="80" t="b">
        <v>0</v>
      </c>
      <c r="AX50" s="80" t="s">
        <v>2141</v>
      </c>
      <c r="AY50" s="86" t="str">
        <f>HYPERLINK("https://twitter.com/malaprade")</f>
        <v>https://twitter.com/malaprade</v>
      </c>
      <c r="AZ50" s="80" t="s">
        <v>66</v>
      </c>
      <c r="BA50" s="80" t="str">
        <f>REPLACE(INDEX(GroupVertices[Group],MATCH(Vertices[[#This Row],[Vertex]],GroupVertices[Vertex],0)),1,1,"")</f>
        <v>3</v>
      </c>
      <c r="BB50" s="49">
        <v>0</v>
      </c>
      <c r="BC50" s="50">
        <v>0</v>
      </c>
      <c r="BD50" s="49">
        <v>0</v>
      </c>
      <c r="BE50" s="50">
        <v>0</v>
      </c>
      <c r="BF50" s="49">
        <v>0</v>
      </c>
      <c r="BG50" s="50">
        <v>0</v>
      </c>
      <c r="BH50" s="49">
        <v>12</v>
      </c>
      <c r="BI50" s="50">
        <v>100</v>
      </c>
      <c r="BJ50" s="49">
        <v>12</v>
      </c>
      <c r="BK50" s="49"/>
      <c r="BL50" s="49"/>
      <c r="BM50" s="49"/>
      <c r="BN50" s="49"/>
      <c r="BO50" s="49" t="s">
        <v>589</v>
      </c>
      <c r="BP50" s="49" t="s">
        <v>589</v>
      </c>
      <c r="BQ50" s="116" t="s">
        <v>4245</v>
      </c>
      <c r="BR50" s="116" t="s">
        <v>4245</v>
      </c>
      <c r="BS50" s="116" t="s">
        <v>4326</v>
      </c>
      <c r="BT50" s="116" t="s">
        <v>4326</v>
      </c>
      <c r="BU50" s="2"/>
      <c r="BV50" s="3"/>
      <c r="BW50" s="3"/>
      <c r="BX50" s="3"/>
      <c r="BY50" s="3"/>
    </row>
    <row r="51" spans="1:77" ht="15">
      <c r="A51" s="65" t="s">
        <v>263</v>
      </c>
      <c r="B51" s="66"/>
      <c r="C51" s="66" t="s">
        <v>64</v>
      </c>
      <c r="D51" s="67"/>
      <c r="E51" s="69"/>
      <c r="F51" s="104" t="str">
        <f>HYPERLINK("https://pbs.twimg.com/profile_images/1462174119655612420/-_yOBAve_normal.jpg")</f>
        <v>https://pbs.twimg.com/profile_images/1462174119655612420/-_yOBAve_normal.jpg</v>
      </c>
      <c r="G51" s="66"/>
      <c r="H51" s="70" t="s">
        <v>263</v>
      </c>
      <c r="I51" s="71" t="s">
        <v>4399</v>
      </c>
      <c r="J51" s="71" t="s">
        <v>73</v>
      </c>
      <c r="K51" s="70" t="s">
        <v>2189</v>
      </c>
      <c r="L51" s="74">
        <v>1</v>
      </c>
      <c r="M51" s="75">
        <v>3872.27734375</v>
      </c>
      <c r="N51" s="75">
        <v>2327.006591796875</v>
      </c>
      <c r="O51" s="76"/>
      <c r="P51" s="77"/>
      <c r="Q51" s="77"/>
      <c r="R51" s="90"/>
      <c r="S51" s="49">
        <v>0</v>
      </c>
      <c r="T51" s="49">
        <v>1</v>
      </c>
      <c r="U51" s="50">
        <v>0</v>
      </c>
      <c r="V51" s="50">
        <v>0.199193</v>
      </c>
      <c r="W51" s="50">
        <v>0.006144</v>
      </c>
      <c r="X51" s="50">
        <v>0.003155</v>
      </c>
      <c r="Y51" s="50">
        <v>0</v>
      </c>
      <c r="Z51" s="50">
        <v>0</v>
      </c>
      <c r="AA51" s="72">
        <v>51</v>
      </c>
      <c r="AB51" s="72"/>
      <c r="AC51" s="73"/>
      <c r="AD51" s="80" t="s">
        <v>1282</v>
      </c>
      <c r="AE51" s="89" t="s">
        <v>1550</v>
      </c>
      <c r="AF51" s="80">
        <v>39</v>
      </c>
      <c r="AG51" s="80">
        <v>2</v>
      </c>
      <c r="AH51" s="80">
        <v>139</v>
      </c>
      <c r="AI51" s="80">
        <v>937</v>
      </c>
      <c r="AJ51" s="80"/>
      <c r="AK51" s="80" t="s">
        <v>1812</v>
      </c>
      <c r="AL51" s="80"/>
      <c r="AM51" s="80"/>
      <c r="AN51" s="80"/>
      <c r="AO51" s="82">
        <v>44520.897731481484</v>
      </c>
      <c r="AP51" s="80"/>
      <c r="AQ51" s="80" t="b">
        <v>1</v>
      </c>
      <c r="AR51" s="80" t="b">
        <v>0</v>
      </c>
      <c r="AS51" s="80" t="b">
        <v>0</v>
      </c>
      <c r="AT51" s="80"/>
      <c r="AU51" s="80">
        <v>0</v>
      </c>
      <c r="AV51" s="80"/>
      <c r="AW51" s="80" t="b">
        <v>0</v>
      </c>
      <c r="AX51" s="80" t="s">
        <v>2141</v>
      </c>
      <c r="AY51" s="86" t="str">
        <f>HYPERLINK("https://twitter.com/dumbopumba")</f>
        <v>https://twitter.com/dumbopumba</v>
      </c>
      <c r="AZ51" s="80" t="s">
        <v>66</v>
      </c>
      <c r="BA51" s="80" t="str">
        <f>REPLACE(INDEX(GroupVertices[Group],MATCH(Vertices[[#This Row],[Vertex]],GroupVertices[Vertex],0)),1,1,"")</f>
        <v>2</v>
      </c>
      <c r="BB51" s="49">
        <v>0</v>
      </c>
      <c r="BC51" s="50">
        <v>0</v>
      </c>
      <c r="BD51" s="49">
        <v>0</v>
      </c>
      <c r="BE51" s="50">
        <v>0</v>
      </c>
      <c r="BF51" s="49">
        <v>0</v>
      </c>
      <c r="BG51" s="50">
        <v>0</v>
      </c>
      <c r="BH51" s="49">
        <v>6</v>
      </c>
      <c r="BI51" s="50">
        <v>100</v>
      </c>
      <c r="BJ51" s="49">
        <v>6</v>
      </c>
      <c r="BK51" s="49"/>
      <c r="BL51" s="49"/>
      <c r="BM51" s="49"/>
      <c r="BN51" s="49"/>
      <c r="BO51" s="49"/>
      <c r="BP51" s="49"/>
      <c r="BQ51" s="116" t="s">
        <v>4241</v>
      </c>
      <c r="BR51" s="116" t="s">
        <v>4241</v>
      </c>
      <c r="BS51" s="116" t="s">
        <v>4322</v>
      </c>
      <c r="BT51" s="116" t="s">
        <v>4322</v>
      </c>
      <c r="BU51" s="2"/>
      <c r="BV51" s="3"/>
      <c r="BW51" s="3"/>
      <c r="BX51" s="3"/>
      <c r="BY51" s="3"/>
    </row>
    <row r="52" spans="1:77" ht="15">
      <c r="A52" s="65" t="s">
        <v>264</v>
      </c>
      <c r="B52" s="66"/>
      <c r="C52" s="66" t="s">
        <v>64</v>
      </c>
      <c r="D52" s="67"/>
      <c r="E52" s="69"/>
      <c r="F52" s="104" t="str">
        <f>HYPERLINK("https://pbs.twimg.com/profile_images/1491927370848256025/X4lPe4ix_normal.jpg")</f>
        <v>https://pbs.twimg.com/profile_images/1491927370848256025/X4lPe4ix_normal.jpg</v>
      </c>
      <c r="G52" s="66"/>
      <c r="H52" s="70" t="s">
        <v>264</v>
      </c>
      <c r="I52" s="71" t="s">
        <v>4399</v>
      </c>
      <c r="J52" s="71" t="s">
        <v>73</v>
      </c>
      <c r="K52" s="70" t="s">
        <v>2190</v>
      </c>
      <c r="L52" s="74">
        <v>1</v>
      </c>
      <c r="M52" s="75">
        <v>1981.1844482421875</v>
      </c>
      <c r="N52" s="75">
        <v>1658.341552734375</v>
      </c>
      <c r="O52" s="76"/>
      <c r="P52" s="77"/>
      <c r="Q52" s="77"/>
      <c r="R52" s="90"/>
      <c r="S52" s="49">
        <v>0</v>
      </c>
      <c r="T52" s="49">
        <v>1</v>
      </c>
      <c r="U52" s="50">
        <v>0</v>
      </c>
      <c r="V52" s="50">
        <v>0.199193</v>
      </c>
      <c r="W52" s="50">
        <v>0.006144</v>
      </c>
      <c r="X52" s="50">
        <v>0.003155</v>
      </c>
      <c r="Y52" s="50">
        <v>0</v>
      </c>
      <c r="Z52" s="50">
        <v>0</v>
      </c>
      <c r="AA52" s="72">
        <v>52</v>
      </c>
      <c r="AB52" s="72"/>
      <c r="AC52" s="73"/>
      <c r="AD52" s="80" t="s">
        <v>1283</v>
      </c>
      <c r="AE52" s="89" t="s">
        <v>1551</v>
      </c>
      <c r="AF52" s="80">
        <v>270</v>
      </c>
      <c r="AG52" s="80">
        <v>110</v>
      </c>
      <c r="AH52" s="80">
        <v>16972</v>
      </c>
      <c r="AI52" s="80">
        <v>12716</v>
      </c>
      <c r="AJ52" s="80"/>
      <c r="AK52" s="80" t="s">
        <v>1813</v>
      </c>
      <c r="AL52" s="80" t="s">
        <v>2052</v>
      </c>
      <c r="AM52" s="80"/>
      <c r="AN52" s="80"/>
      <c r="AO52" s="82">
        <v>42138.56214120371</v>
      </c>
      <c r="AP52" s="86" t="str">
        <f>HYPERLINK("https://pbs.twimg.com/profile_banners/3253814751/1644538180")</f>
        <v>https://pbs.twimg.com/profile_banners/3253814751/1644538180</v>
      </c>
      <c r="AQ52" s="80" t="b">
        <v>0</v>
      </c>
      <c r="AR52" s="80" t="b">
        <v>0</v>
      </c>
      <c r="AS52" s="80" t="b">
        <v>0</v>
      </c>
      <c r="AT52" s="80"/>
      <c r="AU52" s="80">
        <v>16</v>
      </c>
      <c r="AV52" s="86" t="str">
        <f>HYPERLINK("https://abs.twimg.com/images/themes/theme18/bg.gif")</f>
        <v>https://abs.twimg.com/images/themes/theme18/bg.gif</v>
      </c>
      <c r="AW52" s="80" t="b">
        <v>0</v>
      </c>
      <c r="AX52" s="80" t="s">
        <v>2141</v>
      </c>
      <c r="AY52" s="86" t="str">
        <f>HYPERLINK("https://twitter.com/avaruushelmi")</f>
        <v>https://twitter.com/avaruushelmi</v>
      </c>
      <c r="AZ52" s="80" t="s">
        <v>66</v>
      </c>
      <c r="BA52" s="80" t="str">
        <f>REPLACE(INDEX(GroupVertices[Group],MATCH(Vertices[[#This Row],[Vertex]],GroupVertices[Vertex],0)),1,1,"")</f>
        <v>2</v>
      </c>
      <c r="BB52" s="49">
        <v>0</v>
      </c>
      <c r="BC52" s="50">
        <v>0</v>
      </c>
      <c r="BD52" s="49">
        <v>0</v>
      </c>
      <c r="BE52" s="50">
        <v>0</v>
      </c>
      <c r="BF52" s="49">
        <v>0</v>
      </c>
      <c r="BG52" s="50">
        <v>0</v>
      </c>
      <c r="BH52" s="49">
        <v>6</v>
      </c>
      <c r="BI52" s="50">
        <v>100</v>
      </c>
      <c r="BJ52" s="49">
        <v>6</v>
      </c>
      <c r="BK52" s="49"/>
      <c r="BL52" s="49"/>
      <c r="BM52" s="49"/>
      <c r="BN52" s="49"/>
      <c r="BO52" s="49"/>
      <c r="BP52" s="49"/>
      <c r="BQ52" s="116" t="s">
        <v>4241</v>
      </c>
      <c r="BR52" s="116" t="s">
        <v>4241</v>
      </c>
      <c r="BS52" s="116" t="s">
        <v>4322</v>
      </c>
      <c r="BT52" s="116" t="s">
        <v>4322</v>
      </c>
      <c r="BU52" s="2"/>
      <c r="BV52" s="3"/>
      <c r="BW52" s="3"/>
      <c r="BX52" s="3"/>
      <c r="BY52" s="3"/>
    </row>
    <row r="53" spans="1:77" ht="15">
      <c r="A53" s="65" t="s">
        <v>265</v>
      </c>
      <c r="B53" s="66"/>
      <c r="C53" s="66" t="s">
        <v>64</v>
      </c>
      <c r="D53" s="67"/>
      <c r="E53" s="69"/>
      <c r="F53" s="104" t="str">
        <f>HYPERLINK("https://pbs.twimg.com/profile_images/1375125528806625285/oNzdzlF3_normal.jpg")</f>
        <v>https://pbs.twimg.com/profile_images/1375125528806625285/oNzdzlF3_normal.jpg</v>
      </c>
      <c r="G53" s="66"/>
      <c r="H53" s="70" t="s">
        <v>265</v>
      </c>
      <c r="I53" s="71" t="s">
        <v>4399</v>
      </c>
      <c r="J53" s="71" t="s">
        <v>73</v>
      </c>
      <c r="K53" s="70" t="s">
        <v>2191</v>
      </c>
      <c r="L53" s="74">
        <v>1</v>
      </c>
      <c r="M53" s="75">
        <v>5493.3232421875</v>
      </c>
      <c r="N53" s="75">
        <v>3212.565673828125</v>
      </c>
      <c r="O53" s="76"/>
      <c r="P53" s="77"/>
      <c r="Q53" s="77"/>
      <c r="R53" s="90"/>
      <c r="S53" s="49">
        <v>0</v>
      </c>
      <c r="T53" s="49">
        <v>1</v>
      </c>
      <c r="U53" s="50">
        <v>0</v>
      </c>
      <c r="V53" s="50">
        <v>0.199193</v>
      </c>
      <c r="W53" s="50">
        <v>0.006144</v>
      </c>
      <c r="X53" s="50">
        <v>0.003155</v>
      </c>
      <c r="Y53" s="50">
        <v>0</v>
      </c>
      <c r="Z53" s="50">
        <v>0</v>
      </c>
      <c r="AA53" s="72">
        <v>53</v>
      </c>
      <c r="AB53" s="72"/>
      <c r="AC53" s="73"/>
      <c r="AD53" s="80" t="s">
        <v>1284</v>
      </c>
      <c r="AE53" s="89" t="s">
        <v>1552</v>
      </c>
      <c r="AF53" s="80">
        <v>355</v>
      </c>
      <c r="AG53" s="80">
        <v>157</v>
      </c>
      <c r="AH53" s="80">
        <v>11228</v>
      </c>
      <c r="AI53" s="80">
        <v>1579</v>
      </c>
      <c r="AJ53" s="80"/>
      <c r="AK53" s="80" t="s">
        <v>1814</v>
      </c>
      <c r="AL53" s="80" t="s">
        <v>2053</v>
      </c>
      <c r="AM53" s="86" t="str">
        <f>HYPERLINK("https://t.co/FanOt6hxEw")</f>
        <v>https://t.co/FanOt6hxEw</v>
      </c>
      <c r="AN53" s="80"/>
      <c r="AO53" s="82">
        <v>39493.48804398148</v>
      </c>
      <c r="AP53" s="86" t="str">
        <f>HYPERLINK("https://pbs.twimg.com/profile_banners/13512152/1358979792")</f>
        <v>https://pbs.twimg.com/profile_banners/13512152/1358979792</v>
      </c>
      <c r="AQ53" s="80" t="b">
        <v>0</v>
      </c>
      <c r="AR53" s="80" t="b">
        <v>0</v>
      </c>
      <c r="AS53" s="80" t="b">
        <v>0</v>
      </c>
      <c r="AT53" s="80"/>
      <c r="AU53" s="80">
        <v>21</v>
      </c>
      <c r="AV53" s="86" t="str">
        <f>HYPERLINK("https://abs.twimg.com/images/themes/theme14/bg.gif")</f>
        <v>https://abs.twimg.com/images/themes/theme14/bg.gif</v>
      </c>
      <c r="AW53" s="80" t="b">
        <v>0</v>
      </c>
      <c r="AX53" s="80" t="s">
        <v>2141</v>
      </c>
      <c r="AY53" s="86" t="str">
        <f>HYPERLINK("https://twitter.com/rahina")</f>
        <v>https://twitter.com/rahina</v>
      </c>
      <c r="AZ53" s="80" t="s">
        <v>66</v>
      </c>
      <c r="BA53" s="80" t="str">
        <f>REPLACE(INDEX(GroupVertices[Group],MATCH(Vertices[[#This Row],[Vertex]],GroupVertices[Vertex],0)),1,1,"")</f>
        <v>2</v>
      </c>
      <c r="BB53" s="49">
        <v>0</v>
      </c>
      <c r="BC53" s="50">
        <v>0</v>
      </c>
      <c r="BD53" s="49">
        <v>0</v>
      </c>
      <c r="BE53" s="50">
        <v>0</v>
      </c>
      <c r="BF53" s="49">
        <v>0</v>
      </c>
      <c r="BG53" s="50">
        <v>0</v>
      </c>
      <c r="BH53" s="49">
        <v>6</v>
      </c>
      <c r="BI53" s="50">
        <v>100</v>
      </c>
      <c r="BJ53" s="49">
        <v>6</v>
      </c>
      <c r="BK53" s="49"/>
      <c r="BL53" s="49"/>
      <c r="BM53" s="49"/>
      <c r="BN53" s="49"/>
      <c r="BO53" s="49"/>
      <c r="BP53" s="49"/>
      <c r="BQ53" s="116" t="s">
        <v>4241</v>
      </c>
      <c r="BR53" s="116" t="s">
        <v>4241</v>
      </c>
      <c r="BS53" s="116" t="s">
        <v>4322</v>
      </c>
      <c r="BT53" s="116" t="s">
        <v>4322</v>
      </c>
      <c r="BU53" s="2"/>
      <c r="BV53" s="3"/>
      <c r="BW53" s="3"/>
      <c r="BX53" s="3"/>
      <c r="BY53" s="3"/>
    </row>
    <row r="54" spans="1:77" ht="15">
      <c r="A54" s="65" t="s">
        <v>266</v>
      </c>
      <c r="B54" s="66"/>
      <c r="C54" s="66" t="s">
        <v>64</v>
      </c>
      <c r="D54" s="67"/>
      <c r="E54" s="69"/>
      <c r="F54" s="104" t="str">
        <f>HYPERLINK("https://pbs.twimg.com/profile_images/1479909477201686532/IUM3Cfiy_normal.jpg")</f>
        <v>https://pbs.twimg.com/profile_images/1479909477201686532/IUM3Cfiy_normal.jpg</v>
      </c>
      <c r="G54" s="66"/>
      <c r="H54" s="70" t="s">
        <v>266</v>
      </c>
      <c r="I54" s="71" t="s">
        <v>4399</v>
      </c>
      <c r="J54" s="71" t="s">
        <v>73</v>
      </c>
      <c r="K54" s="70" t="s">
        <v>2192</v>
      </c>
      <c r="L54" s="74">
        <v>1</v>
      </c>
      <c r="M54" s="75">
        <v>8359.0302734375</v>
      </c>
      <c r="N54" s="75">
        <v>1926.8773193359375</v>
      </c>
      <c r="O54" s="76"/>
      <c r="P54" s="77"/>
      <c r="Q54" s="77"/>
      <c r="R54" s="90"/>
      <c r="S54" s="49">
        <v>0</v>
      </c>
      <c r="T54" s="49">
        <v>1</v>
      </c>
      <c r="U54" s="50">
        <v>0</v>
      </c>
      <c r="V54" s="50">
        <v>0.199193</v>
      </c>
      <c r="W54" s="50">
        <v>0.006144</v>
      </c>
      <c r="X54" s="50">
        <v>0.003155</v>
      </c>
      <c r="Y54" s="50">
        <v>0</v>
      </c>
      <c r="Z54" s="50">
        <v>0</v>
      </c>
      <c r="AA54" s="72">
        <v>54</v>
      </c>
      <c r="AB54" s="72"/>
      <c r="AC54" s="73"/>
      <c r="AD54" s="80" t="s">
        <v>1285</v>
      </c>
      <c r="AE54" s="89" t="s">
        <v>1553</v>
      </c>
      <c r="AF54" s="80">
        <v>102</v>
      </c>
      <c r="AG54" s="80">
        <v>103</v>
      </c>
      <c r="AH54" s="80">
        <v>6436</v>
      </c>
      <c r="AI54" s="80">
        <v>12158</v>
      </c>
      <c r="AJ54" s="80"/>
      <c r="AK54" s="80" t="s">
        <v>1815</v>
      </c>
      <c r="AL54" s="80" t="s">
        <v>2051</v>
      </c>
      <c r="AM54" s="80"/>
      <c r="AN54" s="80"/>
      <c r="AO54" s="82">
        <v>44331.34890046297</v>
      </c>
      <c r="AP54" s="86" t="str">
        <f>HYPERLINK("https://pbs.twimg.com/profile_banners/1393481765357080578/1647638566")</f>
        <v>https://pbs.twimg.com/profile_banners/1393481765357080578/1647638566</v>
      </c>
      <c r="AQ54" s="80" t="b">
        <v>1</v>
      </c>
      <c r="AR54" s="80" t="b">
        <v>0</v>
      </c>
      <c r="AS54" s="80" t="b">
        <v>0</v>
      </c>
      <c r="AT54" s="80"/>
      <c r="AU54" s="80">
        <v>0</v>
      </c>
      <c r="AV54" s="80"/>
      <c r="AW54" s="80" t="b">
        <v>0</v>
      </c>
      <c r="AX54" s="80" t="s">
        <v>2141</v>
      </c>
      <c r="AY54" s="86" t="str">
        <f>HYPERLINK("https://twitter.com/oleniusmatti")</f>
        <v>https://twitter.com/oleniusmatti</v>
      </c>
      <c r="AZ54" s="80" t="s">
        <v>66</v>
      </c>
      <c r="BA54" s="80" t="str">
        <f>REPLACE(INDEX(GroupVertices[Group],MATCH(Vertices[[#This Row],[Vertex]],GroupVertices[Vertex],0)),1,1,"")</f>
        <v>2</v>
      </c>
      <c r="BB54" s="49">
        <v>0</v>
      </c>
      <c r="BC54" s="50">
        <v>0</v>
      </c>
      <c r="BD54" s="49">
        <v>0</v>
      </c>
      <c r="BE54" s="50">
        <v>0</v>
      </c>
      <c r="BF54" s="49">
        <v>0</v>
      </c>
      <c r="BG54" s="50">
        <v>0</v>
      </c>
      <c r="BH54" s="49">
        <v>3</v>
      </c>
      <c r="BI54" s="50">
        <v>100</v>
      </c>
      <c r="BJ54" s="49">
        <v>3</v>
      </c>
      <c r="BK54" s="49"/>
      <c r="BL54" s="49"/>
      <c r="BM54" s="49"/>
      <c r="BN54" s="49"/>
      <c r="BO54" s="49"/>
      <c r="BP54" s="49"/>
      <c r="BQ54" s="116" t="s">
        <v>4246</v>
      </c>
      <c r="BR54" s="116" t="s">
        <v>4246</v>
      </c>
      <c r="BS54" s="116" t="s">
        <v>4327</v>
      </c>
      <c r="BT54" s="116" t="s">
        <v>4327</v>
      </c>
      <c r="BU54" s="2"/>
      <c r="BV54" s="3"/>
      <c r="BW54" s="3"/>
      <c r="BX54" s="3"/>
      <c r="BY54" s="3"/>
    </row>
    <row r="55" spans="1:77" ht="15">
      <c r="A55" s="65" t="s">
        <v>267</v>
      </c>
      <c r="B55" s="66"/>
      <c r="C55" s="66" t="s">
        <v>64</v>
      </c>
      <c r="D55" s="67"/>
      <c r="E55" s="69"/>
      <c r="F55" s="104" t="str">
        <f>HYPERLINK("https://pbs.twimg.com/profile_images/523047054591815680/zFaVWK-Z_normal.jpeg")</f>
        <v>https://pbs.twimg.com/profile_images/523047054591815680/zFaVWK-Z_normal.jpeg</v>
      </c>
      <c r="G55" s="66"/>
      <c r="H55" s="70" t="s">
        <v>267</v>
      </c>
      <c r="I55" s="71" t="s">
        <v>4399</v>
      </c>
      <c r="J55" s="71" t="s">
        <v>73</v>
      </c>
      <c r="K55" s="70" t="s">
        <v>2193</v>
      </c>
      <c r="L55" s="74">
        <v>1</v>
      </c>
      <c r="M55" s="75">
        <v>4951.400390625</v>
      </c>
      <c r="N55" s="75">
        <v>898.5537719726562</v>
      </c>
      <c r="O55" s="76"/>
      <c r="P55" s="77"/>
      <c r="Q55" s="77"/>
      <c r="R55" s="90"/>
      <c r="S55" s="49">
        <v>0</v>
      </c>
      <c r="T55" s="49">
        <v>1</v>
      </c>
      <c r="U55" s="50">
        <v>0</v>
      </c>
      <c r="V55" s="50">
        <v>0.199193</v>
      </c>
      <c r="W55" s="50">
        <v>0.006144</v>
      </c>
      <c r="X55" s="50">
        <v>0.003155</v>
      </c>
      <c r="Y55" s="50">
        <v>0</v>
      </c>
      <c r="Z55" s="50">
        <v>0</v>
      </c>
      <c r="AA55" s="72">
        <v>55</v>
      </c>
      <c r="AB55" s="72"/>
      <c r="AC55" s="73"/>
      <c r="AD55" s="80" t="s">
        <v>1286</v>
      </c>
      <c r="AE55" s="89" t="s">
        <v>1554</v>
      </c>
      <c r="AF55" s="80">
        <v>332</v>
      </c>
      <c r="AG55" s="80">
        <v>417</v>
      </c>
      <c r="AH55" s="80">
        <v>41091</v>
      </c>
      <c r="AI55" s="80">
        <v>283371</v>
      </c>
      <c r="AJ55" s="80"/>
      <c r="AK55" s="80" t="s">
        <v>1816</v>
      </c>
      <c r="AL55" s="80" t="s">
        <v>2054</v>
      </c>
      <c r="AM55" s="80"/>
      <c r="AN55" s="80"/>
      <c r="AO55" s="82">
        <v>41679.81707175926</v>
      </c>
      <c r="AP55" s="86" t="str">
        <f>HYPERLINK("https://pbs.twimg.com/profile_banners/2335571870/1521066047")</f>
        <v>https://pbs.twimg.com/profile_banners/2335571870/1521066047</v>
      </c>
      <c r="AQ55" s="80" t="b">
        <v>0</v>
      </c>
      <c r="AR55" s="80" t="b">
        <v>0</v>
      </c>
      <c r="AS55" s="80" t="b">
        <v>1</v>
      </c>
      <c r="AT55" s="80"/>
      <c r="AU55" s="80">
        <v>6</v>
      </c>
      <c r="AV55" s="86" t="str">
        <f>HYPERLINK("https://abs.twimg.com/images/themes/theme10/bg.gif")</f>
        <v>https://abs.twimg.com/images/themes/theme10/bg.gif</v>
      </c>
      <c r="AW55" s="80" t="b">
        <v>0</v>
      </c>
      <c r="AX55" s="80" t="s">
        <v>2141</v>
      </c>
      <c r="AY55" s="86" t="str">
        <f>HYPERLINK("https://twitter.com/gaiafinn")</f>
        <v>https://twitter.com/gaiafinn</v>
      </c>
      <c r="AZ55" s="80" t="s">
        <v>66</v>
      </c>
      <c r="BA55" s="80" t="str">
        <f>REPLACE(INDEX(GroupVertices[Group],MATCH(Vertices[[#This Row],[Vertex]],GroupVertices[Vertex],0)),1,1,"")</f>
        <v>2</v>
      </c>
      <c r="BB55" s="49">
        <v>0</v>
      </c>
      <c r="BC55" s="50">
        <v>0</v>
      </c>
      <c r="BD55" s="49">
        <v>0</v>
      </c>
      <c r="BE55" s="50">
        <v>0</v>
      </c>
      <c r="BF55" s="49">
        <v>0</v>
      </c>
      <c r="BG55" s="50">
        <v>0</v>
      </c>
      <c r="BH55" s="49">
        <v>6</v>
      </c>
      <c r="BI55" s="50">
        <v>100</v>
      </c>
      <c r="BJ55" s="49">
        <v>6</v>
      </c>
      <c r="BK55" s="49"/>
      <c r="BL55" s="49"/>
      <c r="BM55" s="49"/>
      <c r="BN55" s="49"/>
      <c r="BO55" s="49"/>
      <c r="BP55" s="49"/>
      <c r="BQ55" s="116" t="s">
        <v>4241</v>
      </c>
      <c r="BR55" s="116" t="s">
        <v>4241</v>
      </c>
      <c r="BS55" s="116" t="s">
        <v>4322</v>
      </c>
      <c r="BT55" s="116" t="s">
        <v>4322</v>
      </c>
      <c r="BU55" s="2"/>
      <c r="BV55" s="3"/>
      <c r="BW55" s="3"/>
      <c r="BX55" s="3"/>
      <c r="BY55" s="3"/>
    </row>
    <row r="56" spans="1:77" ht="15">
      <c r="A56" s="65" t="s">
        <v>268</v>
      </c>
      <c r="B56" s="66"/>
      <c r="C56" s="66" t="s">
        <v>64</v>
      </c>
      <c r="D56" s="67"/>
      <c r="E56" s="69"/>
      <c r="F56" s="104" t="str">
        <f>HYPERLINK("https://pbs.twimg.com/profile_images/1452040889820385289/QBAy8egy_normal.jpg")</f>
        <v>https://pbs.twimg.com/profile_images/1452040889820385289/QBAy8egy_normal.jpg</v>
      </c>
      <c r="G56" s="66"/>
      <c r="H56" s="70" t="s">
        <v>268</v>
      </c>
      <c r="I56" s="71" t="s">
        <v>4399</v>
      </c>
      <c r="J56" s="71" t="s">
        <v>73</v>
      </c>
      <c r="K56" s="70" t="s">
        <v>2194</v>
      </c>
      <c r="L56" s="74">
        <v>1</v>
      </c>
      <c r="M56" s="75">
        <v>5723.26904296875</v>
      </c>
      <c r="N56" s="75">
        <v>236.94456481933594</v>
      </c>
      <c r="O56" s="76"/>
      <c r="P56" s="77"/>
      <c r="Q56" s="77"/>
      <c r="R56" s="90"/>
      <c r="S56" s="49">
        <v>0</v>
      </c>
      <c r="T56" s="49">
        <v>1</v>
      </c>
      <c r="U56" s="50">
        <v>0</v>
      </c>
      <c r="V56" s="50">
        <v>0.199193</v>
      </c>
      <c r="W56" s="50">
        <v>0.006144</v>
      </c>
      <c r="X56" s="50">
        <v>0.003155</v>
      </c>
      <c r="Y56" s="50">
        <v>0</v>
      </c>
      <c r="Z56" s="50">
        <v>0</v>
      </c>
      <c r="AA56" s="72">
        <v>56</v>
      </c>
      <c r="AB56" s="72"/>
      <c r="AC56" s="73"/>
      <c r="AD56" s="80" t="s">
        <v>1287</v>
      </c>
      <c r="AE56" s="89" t="s">
        <v>1555</v>
      </c>
      <c r="AF56" s="80">
        <v>4968</v>
      </c>
      <c r="AG56" s="80">
        <v>1928</v>
      </c>
      <c r="AH56" s="80">
        <v>143447</v>
      </c>
      <c r="AI56" s="80">
        <v>176532</v>
      </c>
      <c r="AJ56" s="80"/>
      <c r="AK56" s="80" t="s">
        <v>1817</v>
      </c>
      <c r="AL56" s="80" t="s">
        <v>2055</v>
      </c>
      <c r="AM56" s="80"/>
      <c r="AN56" s="80"/>
      <c r="AO56" s="82">
        <v>41233.89969907407</v>
      </c>
      <c r="AP56" s="86" t="str">
        <f>HYPERLINK("https://pbs.twimg.com/profile_banners/961260517/1635028972")</f>
        <v>https://pbs.twimg.com/profile_banners/961260517/1635028972</v>
      </c>
      <c r="AQ56" s="80" t="b">
        <v>0</v>
      </c>
      <c r="AR56" s="80" t="b">
        <v>0</v>
      </c>
      <c r="AS56" s="80" t="b">
        <v>0</v>
      </c>
      <c r="AT56" s="80"/>
      <c r="AU56" s="80">
        <v>5</v>
      </c>
      <c r="AV56" s="86" t="str">
        <f>HYPERLINK("https://abs.twimg.com/images/themes/theme1/bg.png")</f>
        <v>https://abs.twimg.com/images/themes/theme1/bg.png</v>
      </c>
      <c r="AW56" s="80" t="b">
        <v>0</v>
      </c>
      <c r="AX56" s="80" t="s">
        <v>2141</v>
      </c>
      <c r="AY56" s="86" t="str">
        <f>HYPERLINK("https://twitter.com/mipelt")</f>
        <v>https://twitter.com/mipelt</v>
      </c>
      <c r="AZ56" s="80" t="s">
        <v>66</v>
      </c>
      <c r="BA56" s="80" t="str">
        <f>REPLACE(INDEX(GroupVertices[Group],MATCH(Vertices[[#This Row],[Vertex]],GroupVertices[Vertex],0)),1,1,"")</f>
        <v>2</v>
      </c>
      <c r="BB56" s="49">
        <v>0</v>
      </c>
      <c r="BC56" s="50">
        <v>0</v>
      </c>
      <c r="BD56" s="49">
        <v>0</v>
      </c>
      <c r="BE56" s="50">
        <v>0</v>
      </c>
      <c r="BF56" s="49">
        <v>0</v>
      </c>
      <c r="BG56" s="50">
        <v>0</v>
      </c>
      <c r="BH56" s="49">
        <v>6</v>
      </c>
      <c r="BI56" s="50">
        <v>100</v>
      </c>
      <c r="BJ56" s="49">
        <v>6</v>
      </c>
      <c r="BK56" s="49"/>
      <c r="BL56" s="49"/>
      <c r="BM56" s="49"/>
      <c r="BN56" s="49"/>
      <c r="BO56" s="49"/>
      <c r="BP56" s="49"/>
      <c r="BQ56" s="116" t="s">
        <v>4241</v>
      </c>
      <c r="BR56" s="116" t="s">
        <v>4241</v>
      </c>
      <c r="BS56" s="116" t="s">
        <v>4322</v>
      </c>
      <c r="BT56" s="116" t="s">
        <v>4322</v>
      </c>
      <c r="BU56" s="2"/>
      <c r="BV56" s="3"/>
      <c r="BW56" s="3"/>
      <c r="BX56" s="3"/>
      <c r="BY56" s="3"/>
    </row>
    <row r="57" spans="1:77" ht="15">
      <c r="A57" s="65" t="s">
        <v>269</v>
      </c>
      <c r="B57" s="66"/>
      <c r="C57" s="66" t="s">
        <v>64</v>
      </c>
      <c r="D57" s="67">
        <v>10</v>
      </c>
      <c r="E57" s="69"/>
      <c r="F57" s="104" t="str">
        <f>HYPERLINK("https://pbs.twimg.com/profile_images/1164118853497978882/MFr6Fsa__normal.jpg")</f>
        <v>https://pbs.twimg.com/profile_images/1164118853497978882/MFr6Fsa__normal.jpg</v>
      </c>
      <c r="G57" s="66"/>
      <c r="H57" s="70" t="s">
        <v>269</v>
      </c>
      <c r="I57" s="71" t="s">
        <v>4398</v>
      </c>
      <c r="J57" s="71" t="s">
        <v>73</v>
      </c>
      <c r="K57" s="70" t="s">
        <v>2195</v>
      </c>
      <c r="L57" s="74">
        <v>99.01960784313725</v>
      </c>
      <c r="M57" s="75"/>
      <c r="N57" s="75"/>
      <c r="O57" s="76"/>
      <c r="P57" s="77"/>
      <c r="Q57" s="77"/>
      <c r="R57" s="90"/>
      <c r="S57" s="49">
        <v>1</v>
      </c>
      <c r="T57" s="49">
        <v>1</v>
      </c>
      <c r="U57" s="50">
        <v>0</v>
      </c>
      <c r="V57" s="50">
        <v>0</v>
      </c>
      <c r="W57" s="50">
        <v>0</v>
      </c>
      <c r="X57" s="50">
        <v>0.003623</v>
      </c>
      <c r="Y57" s="50">
        <v>0</v>
      </c>
      <c r="Z57" s="50">
        <v>0</v>
      </c>
      <c r="AA57" s="72">
        <v>57</v>
      </c>
      <c r="AB57" s="72"/>
      <c r="AC57" s="73"/>
      <c r="AD57" s="80" t="s">
        <v>1288</v>
      </c>
      <c r="AE57" s="89" t="s">
        <v>1556</v>
      </c>
      <c r="AF57" s="80">
        <v>123</v>
      </c>
      <c r="AG57" s="80">
        <v>70</v>
      </c>
      <c r="AH57" s="80">
        <v>6727</v>
      </c>
      <c r="AI57" s="80">
        <v>7030</v>
      </c>
      <c r="AJ57" s="80"/>
      <c r="AK57" s="80" t="s">
        <v>1818</v>
      </c>
      <c r="AL57" s="80" t="s">
        <v>2056</v>
      </c>
      <c r="AM57" s="80"/>
      <c r="AN57" s="80"/>
      <c r="AO57" s="82">
        <v>40270.2028587963</v>
      </c>
      <c r="AP57" s="86" t="str">
        <f>HYPERLINK("https://pbs.twimg.com/profile_banners/128778816/1457890066")</f>
        <v>https://pbs.twimg.com/profile_banners/128778816/1457890066</v>
      </c>
      <c r="AQ57" s="80" t="b">
        <v>0</v>
      </c>
      <c r="AR57" s="80" t="b">
        <v>0</v>
      </c>
      <c r="AS57" s="80" t="b">
        <v>0</v>
      </c>
      <c r="AT57" s="80"/>
      <c r="AU57" s="80">
        <v>1</v>
      </c>
      <c r="AV57" s="86" t="str">
        <f>HYPERLINK("https://abs.twimg.com/images/themes/theme2/bg.gif")</f>
        <v>https://abs.twimg.com/images/themes/theme2/bg.gif</v>
      </c>
      <c r="AW57" s="80" t="b">
        <v>0</v>
      </c>
      <c r="AX57" s="80" t="s">
        <v>2141</v>
      </c>
      <c r="AY57" s="86" t="str">
        <f>HYPERLINK("https://twitter.com/chouchocolat")</f>
        <v>https://twitter.com/chouchocolat</v>
      </c>
      <c r="AZ57" s="80" t="s">
        <v>66</v>
      </c>
      <c r="BA57" s="80" t="str">
        <f>REPLACE(INDEX(GroupVertices[Group],MATCH(Vertices[[#This Row],[Vertex]],GroupVertices[Vertex],0)),1,1,"")</f>
        <v>3</v>
      </c>
      <c r="BB57" s="49">
        <v>0</v>
      </c>
      <c r="BC57" s="50">
        <v>0</v>
      </c>
      <c r="BD57" s="49">
        <v>0</v>
      </c>
      <c r="BE57" s="50">
        <v>0</v>
      </c>
      <c r="BF57" s="49">
        <v>0</v>
      </c>
      <c r="BG57" s="50">
        <v>0</v>
      </c>
      <c r="BH57" s="49">
        <v>7</v>
      </c>
      <c r="BI57" s="50">
        <v>100</v>
      </c>
      <c r="BJ57" s="49">
        <v>7</v>
      </c>
      <c r="BK57" s="49"/>
      <c r="BL57" s="49"/>
      <c r="BM57" s="49"/>
      <c r="BN57" s="49"/>
      <c r="BO57" s="49"/>
      <c r="BP57" s="49"/>
      <c r="BQ57" s="116" t="s">
        <v>4247</v>
      </c>
      <c r="BR57" s="116" t="s">
        <v>4247</v>
      </c>
      <c r="BS57" s="116" t="s">
        <v>4328</v>
      </c>
      <c r="BT57" s="116" t="s">
        <v>4328</v>
      </c>
      <c r="BU57" s="2"/>
      <c r="BV57" s="3"/>
      <c r="BW57" s="3"/>
      <c r="BX57" s="3"/>
      <c r="BY57" s="3"/>
    </row>
    <row r="58" spans="1:77" ht="15">
      <c r="A58" s="65" t="s">
        <v>270</v>
      </c>
      <c r="B58" s="66"/>
      <c r="C58" s="66" t="s">
        <v>64</v>
      </c>
      <c r="D58" s="67"/>
      <c r="E58" s="69"/>
      <c r="F58" s="104" t="str">
        <f>HYPERLINK("https://pbs.twimg.com/profile_images/1004681869554847744/hUod-P_Q_normal.jpg")</f>
        <v>https://pbs.twimg.com/profile_images/1004681869554847744/hUod-P_Q_normal.jpg</v>
      </c>
      <c r="G58" s="66"/>
      <c r="H58" s="70" t="s">
        <v>270</v>
      </c>
      <c r="I58" s="71" t="s">
        <v>4399</v>
      </c>
      <c r="J58" s="71" t="s">
        <v>73</v>
      </c>
      <c r="K58" s="70" t="s">
        <v>2196</v>
      </c>
      <c r="L58" s="74">
        <v>1</v>
      </c>
      <c r="M58" s="75">
        <v>2777.9501953125</v>
      </c>
      <c r="N58" s="75">
        <v>2505.181884765625</v>
      </c>
      <c r="O58" s="76"/>
      <c r="P58" s="77"/>
      <c r="Q58" s="77"/>
      <c r="R58" s="90"/>
      <c r="S58" s="49">
        <v>0</v>
      </c>
      <c r="T58" s="49">
        <v>1</v>
      </c>
      <c r="U58" s="50">
        <v>0</v>
      </c>
      <c r="V58" s="50">
        <v>0.199193</v>
      </c>
      <c r="W58" s="50">
        <v>0.006144</v>
      </c>
      <c r="X58" s="50">
        <v>0.003155</v>
      </c>
      <c r="Y58" s="50">
        <v>0</v>
      </c>
      <c r="Z58" s="50">
        <v>0</v>
      </c>
      <c r="AA58" s="72">
        <v>58</v>
      </c>
      <c r="AB58" s="72"/>
      <c r="AC58" s="73"/>
      <c r="AD58" s="80" t="s">
        <v>1289</v>
      </c>
      <c r="AE58" s="89" t="s">
        <v>1557</v>
      </c>
      <c r="AF58" s="80">
        <v>1562</v>
      </c>
      <c r="AG58" s="80">
        <v>855</v>
      </c>
      <c r="AH58" s="80">
        <v>3144</v>
      </c>
      <c r="AI58" s="80">
        <v>20237</v>
      </c>
      <c r="AJ58" s="80"/>
      <c r="AK58" s="80" t="s">
        <v>1819</v>
      </c>
      <c r="AL58" s="80" t="s">
        <v>2039</v>
      </c>
      <c r="AM58" s="86" t="str">
        <f>HYPERLINK("https://t.co/y1hievWy9y")</f>
        <v>https://t.co/y1hievWy9y</v>
      </c>
      <c r="AN58" s="80"/>
      <c r="AO58" s="82">
        <v>41600.57577546296</v>
      </c>
      <c r="AP58" s="86" t="str">
        <f>HYPERLINK("https://pbs.twimg.com/profile_banners/2208996566/1572686154")</f>
        <v>https://pbs.twimg.com/profile_banners/2208996566/1572686154</v>
      </c>
      <c r="AQ58" s="80" t="b">
        <v>0</v>
      </c>
      <c r="AR58" s="80" t="b">
        <v>0</v>
      </c>
      <c r="AS58" s="80" t="b">
        <v>1</v>
      </c>
      <c r="AT58" s="80"/>
      <c r="AU58" s="80">
        <v>6</v>
      </c>
      <c r="AV58" s="86" t="str">
        <f>HYPERLINK("https://abs.twimg.com/images/themes/theme1/bg.png")</f>
        <v>https://abs.twimg.com/images/themes/theme1/bg.png</v>
      </c>
      <c r="AW58" s="80" t="b">
        <v>0</v>
      </c>
      <c r="AX58" s="80" t="s">
        <v>2141</v>
      </c>
      <c r="AY58" s="86" t="str">
        <f>HYPERLINK("https://twitter.com/samigabbouj")</f>
        <v>https://twitter.com/samigabbouj</v>
      </c>
      <c r="AZ58" s="80" t="s">
        <v>66</v>
      </c>
      <c r="BA58" s="80" t="str">
        <f>REPLACE(INDEX(GroupVertices[Group],MATCH(Vertices[[#This Row],[Vertex]],GroupVertices[Vertex],0)),1,1,"")</f>
        <v>2</v>
      </c>
      <c r="BB58" s="49">
        <v>0</v>
      </c>
      <c r="BC58" s="50">
        <v>0</v>
      </c>
      <c r="BD58" s="49">
        <v>0</v>
      </c>
      <c r="BE58" s="50">
        <v>0</v>
      </c>
      <c r="BF58" s="49">
        <v>0</v>
      </c>
      <c r="BG58" s="50">
        <v>0</v>
      </c>
      <c r="BH58" s="49">
        <v>6</v>
      </c>
      <c r="BI58" s="50">
        <v>100</v>
      </c>
      <c r="BJ58" s="49">
        <v>6</v>
      </c>
      <c r="BK58" s="49"/>
      <c r="BL58" s="49"/>
      <c r="BM58" s="49"/>
      <c r="BN58" s="49"/>
      <c r="BO58" s="49"/>
      <c r="BP58" s="49"/>
      <c r="BQ58" s="116" t="s">
        <v>4241</v>
      </c>
      <c r="BR58" s="116" t="s">
        <v>4241</v>
      </c>
      <c r="BS58" s="116" t="s">
        <v>4322</v>
      </c>
      <c r="BT58" s="116" t="s">
        <v>4322</v>
      </c>
      <c r="BU58" s="2"/>
      <c r="BV58" s="3"/>
      <c r="BW58" s="3"/>
      <c r="BX58" s="3"/>
      <c r="BY58" s="3"/>
    </row>
    <row r="59" spans="1:77" ht="15">
      <c r="A59" s="65" t="s">
        <v>271</v>
      </c>
      <c r="B59" s="66"/>
      <c r="C59" s="66" t="s">
        <v>64</v>
      </c>
      <c r="D59" s="67">
        <v>10</v>
      </c>
      <c r="E59" s="69"/>
      <c r="F59" s="104" t="str">
        <f>HYPERLINK("https://pbs.twimg.com/profile_images/1376776793273798660/-glEE62f_normal.jpg")</f>
        <v>https://pbs.twimg.com/profile_images/1376776793273798660/-glEE62f_normal.jpg</v>
      </c>
      <c r="G59" s="66"/>
      <c r="H59" s="70" t="s">
        <v>271</v>
      </c>
      <c r="I59" s="71" t="s">
        <v>4398</v>
      </c>
      <c r="J59" s="71" t="s">
        <v>73</v>
      </c>
      <c r="K59" s="70" t="s">
        <v>2197</v>
      </c>
      <c r="L59" s="74">
        <v>99.01960784313725</v>
      </c>
      <c r="M59" s="75"/>
      <c r="N59" s="75"/>
      <c r="O59" s="76"/>
      <c r="P59" s="77"/>
      <c r="Q59" s="77"/>
      <c r="R59" s="90"/>
      <c r="S59" s="49">
        <v>1</v>
      </c>
      <c r="T59" s="49">
        <v>1</v>
      </c>
      <c r="U59" s="50">
        <v>0</v>
      </c>
      <c r="V59" s="50">
        <v>0</v>
      </c>
      <c r="W59" s="50">
        <v>0</v>
      </c>
      <c r="X59" s="50">
        <v>0.003623</v>
      </c>
      <c r="Y59" s="50">
        <v>0</v>
      </c>
      <c r="Z59" s="50">
        <v>0</v>
      </c>
      <c r="AA59" s="72">
        <v>59</v>
      </c>
      <c r="AB59" s="72"/>
      <c r="AC59" s="73"/>
      <c r="AD59" s="80" t="s">
        <v>1290</v>
      </c>
      <c r="AE59" s="89" t="s">
        <v>1558</v>
      </c>
      <c r="AF59" s="80">
        <v>270</v>
      </c>
      <c r="AG59" s="80">
        <v>1864</v>
      </c>
      <c r="AH59" s="80">
        <v>4792</v>
      </c>
      <c r="AI59" s="80">
        <v>4735</v>
      </c>
      <c r="AJ59" s="80"/>
      <c r="AK59" s="80" t="s">
        <v>1820</v>
      </c>
      <c r="AL59" s="80" t="s">
        <v>2057</v>
      </c>
      <c r="AM59" s="86" t="str">
        <f>HYPERLINK("https://t.co/aZ3V8gCdFl")</f>
        <v>https://t.co/aZ3V8gCdFl</v>
      </c>
      <c r="AN59" s="80"/>
      <c r="AO59" s="82">
        <v>41589.8878587963</v>
      </c>
      <c r="AP59" s="86" t="str">
        <f>HYPERLINK("https://pbs.twimg.com/profile_banners/2177384734/1638704659")</f>
        <v>https://pbs.twimg.com/profile_banners/2177384734/1638704659</v>
      </c>
      <c r="AQ59" s="80" t="b">
        <v>1</v>
      </c>
      <c r="AR59" s="80" t="b">
        <v>0</v>
      </c>
      <c r="AS59" s="80" t="b">
        <v>0</v>
      </c>
      <c r="AT59" s="80"/>
      <c r="AU59" s="80">
        <v>7</v>
      </c>
      <c r="AV59" s="86" t="str">
        <f>HYPERLINK("https://abs.twimg.com/images/themes/theme1/bg.png")</f>
        <v>https://abs.twimg.com/images/themes/theme1/bg.png</v>
      </c>
      <c r="AW59" s="80" t="b">
        <v>0</v>
      </c>
      <c r="AX59" s="80" t="s">
        <v>2141</v>
      </c>
      <c r="AY59" s="86" t="str">
        <f>HYPERLINK("https://twitter.com/junttipekka")</f>
        <v>https://twitter.com/junttipekka</v>
      </c>
      <c r="AZ59" s="80" t="s">
        <v>66</v>
      </c>
      <c r="BA59" s="80" t="str">
        <f>REPLACE(INDEX(GroupVertices[Group],MATCH(Vertices[[#This Row],[Vertex]],GroupVertices[Vertex],0)),1,1,"")</f>
        <v>3</v>
      </c>
      <c r="BB59" s="49">
        <v>0</v>
      </c>
      <c r="BC59" s="50">
        <v>0</v>
      </c>
      <c r="BD59" s="49">
        <v>0</v>
      </c>
      <c r="BE59" s="50">
        <v>0</v>
      </c>
      <c r="BF59" s="49">
        <v>0</v>
      </c>
      <c r="BG59" s="50">
        <v>0</v>
      </c>
      <c r="BH59" s="49">
        <v>30</v>
      </c>
      <c r="BI59" s="50">
        <v>100</v>
      </c>
      <c r="BJ59" s="49">
        <v>30</v>
      </c>
      <c r="BK59" s="49" t="s">
        <v>4007</v>
      </c>
      <c r="BL59" s="49" t="s">
        <v>4007</v>
      </c>
      <c r="BM59" s="49" t="s">
        <v>580</v>
      </c>
      <c r="BN59" s="49" t="s">
        <v>580</v>
      </c>
      <c r="BO59" s="49" t="s">
        <v>590</v>
      </c>
      <c r="BP59" s="49" t="s">
        <v>590</v>
      </c>
      <c r="BQ59" s="116" t="s">
        <v>4248</v>
      </c>
      <c r="BR59" s="116" t="s">
        <v>4248</v>
      </c>
      <c r="BS59" s="116" t="s">
        <v>4329</v>
      </c>
      <c r="BT59" s="116" t="s">
        <v>4329</v>
      </c>
      <c r="BU59" s="2"/>
      <c r="BV59" s="3"/>
      <c r="BW59" s="3"/>
      <c r="BX59" s="3"/>
      <c r="BY59" s="3"/>
    </row>
    <row r="60" spans="1:77" ht="15">
      <c r="A60" s="65" t="s">
        <v>272</v>
      </c>
      <c r="B60" s="66"/>
      <c r="C60" s="66" t="s">
        <v>64</v>
      </c>
      <c r="D60" s="67"/>
      <c r="E60" s="69"/>
      <c r="F60" s="104" t="str">
        <f>HYPERLINK("https://pbs.twimg.com/profile_images/1427633951888248848/Y17kollp_normal.jpg")</f>
        <v>https://pbs.twimg.com/profile_images/1427633951888248848/Y17kollp_normal.jpg</v>
      </c>
      <c r="G60" s="66"/>
      <c r="H60" s="70" t="s">
        <v>272</v>
      </c>
      <c r="I60" s="71" t="s">
        <v>4399</v>
      </c>
      <c r="J60" s="71" t="s">
        <v>73</v>
      </c>
      <c r="K60" s="70" t="s">
        <v>2198</v>
      </c>
      <c r="L60" s="74">
        <v>1</v>
      </c>
      <c r="M60" s="75">
        <v>8371.59765625</v>
      </c>
      <c r="N60" s="75">
        <v>2673.252685546875</v>
      </c>
      <c r="O60" s="76"/>
      <c r="P60" s="77"/>
      <c r="Q60" s="77"/>
      <c r="R60" s="90"/>
      <c r="S60" s="49">
        <v>0</v>
      </c>
      <c r="T60" s="49">
        <v>1</v>
      </c>
      <c r="U60" s="50">
        <v>0</v>
      </c>
      <c r="V60" s="50">
        <v>0.199193</v>
      </c>
      <c r="W60" s="50">
        <v>0.006144</v>
      </c>
      <c r="X60" s="50">
        <v>0.003155</v>
      </c>
      <c r="Y60" s="50">
        <v>0</v>
      </c>
      <c r="Z60" s="50">
        <v>0</v>
      </c>
      <c r="AA60" s="72">
        <v>60</v>
      </c>
      <c r="AB60" s="72"/>
      <c r="AC60" s="73"/>
      <c r="AD60" s="80" t="s">
        <v>1291</v>
      </c>
      <c r="AE60" s="89" t="s">
        <v>1559</v>
      </c>
      <c r="AF60" s="80">
        <v>3333</v>
      </c>
      <c r="AG60" s="80">
        <v>65300</v>
      </c>
      <c r="AH60" s="80">
        <v>33338</v>
      </c>
      <c r="AI60" s="80">
        <v>47391</v>
      </c>
      <c r="AJ60" s="80"/>
      <c r="AK60" s="80" t="s">
        <v>1821</v>
      </c>
      <c r="AL60" s="80" t="s">
        <v>2039</v>
      </c>
      <c r="AM60" s="86" t="str">
        <f>HYPERLINK("https://t.co/lu9xNPdX1s")</f>
        <v>https://t.co/lu9xNPdX1s</v>
      </c>
      <c r="AN60" s="80"/>
      <c r="AO60" s="82">
        <v>39882.94064814815</v>
      </c>
      <c r="AP60" s="86" t="str">
        <f>HYPERLINK("https://pbs.twimg.com/profile_banners/23672373/1555318128")</f>
        <v>https://pbs.twimg.com/profile_banners/23672373/1555318128</v>
      </c>
      <c r="AQ60" s="80" t="b">
        <v>0</v>
      </c>
      <c r="AR60" s="80" t="b">
        <v>0</v>
      </c>
      <c r="AS60" s="80" t="b">
        <v>1</v>
      </c>
      <c r="AT60" s="80"/>
      <c r="AU60" s="80">
        <v>167</v>
      </c>
      <c r="AV60" s="86" t="str">
        <f>HYPERLINK("https://abs.twimg.com/images/themes/theme1/bg.png")</f>
        <v>https://abs.twimg.com/images/themes/theme1/bg.png</v>
      </c>
      <c r="AW60" s="80" t="b">
        <v>1</v>
      </c>
      <c r="AX60" s="80" t="s">
        <v>2141</v>
      </c>
      <c r="AY60" s="86" t="str">
        <f>HYPERLINK("https://twitter.com/lottabacklund")</f>
        <v>https://twitter.com/lottabacklund</v>
      </c>
      <c r="AZ60" s="80" t="s">
        <v>66</v>
      </c>
      <c r="BA60" s="80" t="str">
        <f>REPLACE(INDEX(GroupVertices[Group],MATCH(Vertices[[#This Row],[Vertex]],GroupVertices[Vertex],0)),1,1,"")</f>
        <v>2</v>
      </c>
      <c r="BB60" s="49">
        <v>0</v>
      </c>
      <c r="BC60" s="50">
        <v>0</v>
      </c>
      <c r="BD60" s="49">
        <v>0</v>
      </c>
      <c r="BE60" s="50">
        <v>0</v>
      </c>
      <c r="BF60" s="49">
        <v>0</v>
      </c>
      <c r="BG60" s="50">
        <v>0</v>
      </c>
      <c r="BH60" s="49">
        <v>6</v>
      </c>
      <c r="BI60" s="50">
        <v>100</v>
      </c>
      <c r="BJ60" s="49">
        <v>6</v>
      </c>
      <c r="BK60" s="49"/>
      <c r="BL60" s="49"/>
      <c r="BM60" s="49"/>
      <c r="BN60" s="49"/>
      <c r="BO60" s="49"/>
      <c r="BP60" s="49"/>
      <c r="BQ60" s="116" t="s">
        <v>4241</v>
      </c>
      <c r="BR60" s="116" t="s">
        <v>4241</v>
      </c>
      <c r="BS60" s="116" t="s">
        <v>4322</v>
      </c>
      <c r="BT60" s="116" t="s">
        <v>4322</v>
      </c>
      <c r="BU60" s="2"/>
      <c r="BV60" s="3"/>
      <c r="BW60" s="3"/>
      <c r="BX60" s="3"/>
      <c r="BY60" s="3"/>
    </row>
    <row r="61" spans="1:77" ht="15">
      <c r="A61" s="65" t="s">
        <v>273</v>
      </c>
      <c r="B61" s="66"/>
      <c r="C61" s="66" t="s">
        <v>64</v>
      </c>
      <c r="D61" s="67"/>
      <c r="E61" s="69"/>
      <c r="F61" s="104" t="str">
        <f>HYPERLINK("https://pbs.twimg.com/profile_images/1483414707180556288/_X7bqf2D_normal.jpg")</f>
        <v>https://pbs.twimg.com/profile_images/1483414707180556288/_X7bqf2D_normal.jpg</v>
      </c>
      <c r="G61" s="66"/>
      <c r="H61" s="70" t="s">
        <v>273</v>
      </c>
      <c r="I61" s="71" t="s">
        <v>4399</v>
      </c>
      <c r="J61" s="71" t="s">
        <v>73</v>
      </c>
      <c r="K61" s="70" t="s">
        <v>2199</v>
      </c>
      <c r="L61" s="74">
        <v>1</v>
      </c>
      <c r="M61" s="75">
        <v>8453.642578125</v>
      </c>
      <c r="N61" s="75">
        <v>767.5191650390625</v>
      </c>
      <c r="O61" s="76"/>
      <c r="P61" s="77"/>
      <c r="Q61" s="77"/>
      <c r="R61" s="90"/>
      <c r="S61" s="49">
        <v>0</v>
      </c>
      <c r="T61" s="49">
        <v>1</v>
      </c>
      <c r="U61" s="50">
        <v>0</v>
      </c>
      <c r="V61" s="50">
        <v>0.199193</v>
      </c>
      <c r="W61" s="50">
        <v>0.006144</v>
      </c>
      <c r="X61" s="50">
        <v>0.003155</v>
      </c>
      <c r="Y61" s="50">
        <v>0</v>
      </c>
      <c r="Z61" s="50">
        <v>0</v>
      </c>
      <c r="AA61" s="72">
        <v>61</v>
      </c>
      <c r="AB61" s="72"/>
      <c r="AC61" s="73"/>
      <c r="AD61" s="80" t="s">
        <v>1292</v>
      </c>
      <c r="AE61" s="89" t="s">
        <v>1560</v>
      </c>
      <c r="AF61" s="80">
        <v>1151</v>
      </c>
      <c r="AG61" s="80">
        <v>1202</v>
      </c>
      <c r="AH61" s="80">
        <v>4274</v>
      </c>
      <c r="AI61" s="80">
        <v>23439</v>
      </c>
      <c r="AJ61" s="80"/>
      <c r="AK61" s="80" t="s">
        <v>1822</v>
      </c>
      <c r="AL61" s="80" t="s">
        <v>2058</v>
      </c>
      <c r="AM61" s="80"/>
      <c r="AN61" s="80"/>
      <c r="AO61" s="82">
        <v>44439.2768287037</v>
      </c>
      <c r="AP61" s="86" t="str">
        <f>HYPERLINK("https://pbs.twimg.com/profile_banners/1432593540199108610/1632293573")</f>
        <v>https://pbs.twimg.com/profile_banners/1432593540199108610/1632293573</v>
      </c>
      <c r="AQ61" s="80" t="b">
        <v>1</v>
      </c>
      <c r="AR61" s="80" t="b">
        <v>0</v>
      </c>
      <c r="AS61" s="80" t="b">
        <v>1</v>
      </c>
      <c r="AT61" s="80"/>
      <c r="AU61" s="80">
        <v>4</v>
      </c>
      <c r="AV61" s="80"/>
      <c r="AW61" s="80" t="b">
        <v>0</v>
      </c>
      <c r="AX61" s="80" t="s">
        <v>2141</v>
      </c>
      <c r="AY61" s="86" t="str">
        <f>HYPERLINK("https://twitter.com/niinamuyau")</f>
        <v>https://twitter.com/niinamuyau</v>
      </c>
      <c r="AZ61" s="80" t="s">
        <v>66</v>
      </c>
      <c r="BA61" s="80" t="str">
        <f>REPLACE(INDEX(GroupVertices[Group],MATCH(Vertices[[#This Row],[Vertex]],GroupVertices[Vertex],0)),1,1,"")</f>
        <v>2</v>
      </c>
      <c r="BB61" s="49">
        <v>0</v>
      </c>
      <c r="BC61" s="50">
        <v>0</v>
      </c>
      <c r="BD61" s="49">
        <v>0</v>
      </c>
      <c r="BE61" s="50">
        <v>0</v>
      </c>
      <c r="BF61" s="49">
        <v>0</v>
      </c>
      <c r="BG61" s="50">
        <v>0</v>
      </c>
      <c r="BH61" s="49">
        <v>6</v>
      </c>
      <c r="BI61" s="50">
        <v>100</v>
      </c>
      <c r="BJ61" s="49">
        <v>6</v>
      </c>
      <c r="BK61" s="49"/>
      <c r="BL61" s="49"/>
      <c r="BM61" s="49"/>
      <c r="BN61" s="49"/>
      <c r="BO61" s="49"/>
      <c r="BP61" s="49"/>
      <c r="BQ61" s="116" t="s">
        <v>4241</v>
      </c>
      <c r="BR61" s="116" t="s">
        <v>4241</v>
      </c>
      <c r="BS61" s="116" t="s">
        <v>4322</v>
      </c>
      <c r="BT61" s="116" t="s">
        <v>4322</v>
      </c>
      <c r="BU61" s="2"/>
      <c r="BV61" s="3"/>
      <c r="BW61" s="3"/>
      <c r="BX61" s="3"/>
      <c r="BY61" s="3"/>
    </row>
    <row r="62" spans="1:77" ht="15">
      <c r="A62" s="65" t="s">
        <v>274</v>
      </c>
      <c r="B62" s="66"/>
      <c r="C62" s="66" t="s">
        <v>64</v>
      </c>
      <c r="D62" s="67"/>
      <c r="E62" s="69"/>
      <c r="F62" s="104" t="str">
        <f>HYPERLINK("https://pbs.twimg.com/profile_images/1247198751913115650/kttwuJUy_normal.jpg")</f>
        <v>https://pbs.twimg.com/profile_images/1247198751913115650/kttwuJUy_normal.jpg</v>
      </c>
      <c r="G62" s="66"/>
      <c r="H62" s="70" t="s">
        <v>274</v>
      </c>
      <c r="I62" s="71" t="s">
        <v>4399</v>
      </c>
      <c r="J62" s="71" t="s">
        <v>73</v>
      </c>
      <c r="K62" s="70" t="s">
        <v>2200</v>
      </c>
      <c r="L62" s="74">
        <v>1</v>
      </c>
      <c r="M62" s="75">
        <v>5137.46484375</v>
      </c>
      <c r="N62" s="75">
        <v>2593.4189453125</v>
      </c>
      <c r="O62" s="76"/>
      <c r="P62" s="77"/>
      <c r="Q62" s="77"/>
      <c r="R62" s="90"/>
      <c r="S62" s="49">
        <v>0</v>
      </c>
      <c r="T62" s="49">
        <v>1</v>
      </c>
      <c r="U62" s="50">
        <v>0</v>
      </c>
      <c r="V62" s="50">
        <v>0.199193</v>
      </c>
      <c r="W62" s="50">
        <v>0.006144</v>
      </c>
      <c r="X62" s="50">
        <v>0.003155</v>
      </c>
      <c r="Y62" s="50">
        <v>0</v>
      </c>
      <c r="Z62" s="50">
        <v>0</v>
      </c>
      <c r="AA62" s="72">
        <v>62</v>
      </c>
      <c r="AB62" s="72"/>
      <c r="AC62" s="73"/>
      <c r="AD62" s="80" t="s">
        <v>1293</v>
      </c>
      <c r="AE62" s="89" t="s">
        <v>1561</v>
      </c>
      <c r="AF62" s="80">
        <v>1741</v>
      </c>
      <c r="AG62" s="80">
        <v>3841</v>
      </c>
      <c r="AH62" s="80">
        <v>81636</v>
      </c>
      <c r="AI62" s="80">
        <v>80767</v>
      </c>
      <c r="AJ62" s="80"/>
      <c r="AK62" s="80" t="s">
        <v>1823</v>
      </c>
      <c r="AL62" s="80" t="s">
        <v>2059</v>
      </c>
      <c r="AM62" s="86" t="str">
        <f>HYPERLINK("https://t.co/u6tBqwsY3U")</f>
        <v>https://t.co/u6tBqwsY3U</v>
      </c>
      <c r="AN62" s="80"/>
      <c r="AO62" s="82">
        <v>40015.29116898148</v>
      </c>
      <c r="AP62" s="86" t="str">
        <f>HYPERLINK("https://pbs.twimg.com/profile_banners/58729619/1496465704")</f>
        <v>https://pbs.twimg.com/profile_banners/58729619/1496465704</v>
      </c>
      <c r="AQ62" s="80" t="b">
        <v>0</v>
      </c>
      <c r="AR62" s="80" t="b">
        <v>0</v>
      </c>
      <c r="AS62" s="80" t="b">
        <v>1</v>
      </c>
      <c r="AT62" s="80"/>
      <c r="AU62" s="80">
        <v>48</v>
      </c>
      <c r="AV62" s="86" t="str">
        <f>HYPERLINK("https://abs.twimg.com/images/themes/theme9/bg.gif")</f>
        <v>https://abs.twimg.com/images/themes/theme9/bg.gif</v>
      </c>
      <c r="AW62" s="80" t="b">
        <v>0</v>
      </c>
      <c r="AX62" s="80" t="s">
        <v>2141</v>
      </c>
      <c r="AY62" s="86" t="str">
        <f>HYPERLINK("https://twitter.com/janiturku")</f>
        <v>https://twitter.com/janiturku</v>
      </c>
      <c r="AZ62" s="80" t="s">
        <v>66</v>
      </c>
      <c r="BA62" s="80" t="str">
        <f>REPLACE(INDEX(GroupVertices[Group],MATCH(Vertices[[#This Row],[Vertex]],GroupVertices[Vertex],0)),1,1,"")</f>
        <v>2</v>
      </c>
      <c r="BB62" s="49">
        <v>0</v>
      </c>
      <c r="BC62" s="50">
        <v>0</v>
      </c>
      <c r="BD62" s="49">
        <v>0</v>
      </c>
      <c r="BE62" s="50">
        <v>0</v>
      </c>
      <c r="BF62" s="49">
        <v>0</v>
      </c>
      <c r="BG62" s="50">
        <v>0</v>
      </c>
      <c r="BH62" s="49">
        <v>6</v>
      </c>
      <c r="BI62" s="50">
        <v>100</v>
      </c>
      <c r="BJ62" s="49">
        <v>6</v>
      </c>
      <c r="BK62" s="49"/>
      <c r="BL62" s="49"/>
      <c r="BM62" s="49"/>
      <c r="BN62" s="49"/>
      <c r="BO62" s="49"/>
      <c r="BP62" s="49"/>
      <c r="BQ62" s="116" t="s">
        <v>4241</v>
      </c>
      <c r="BR62" s="116" t="s">
        <v>4241</v>
      </c>
      <c r="BS62" s="116" t="s">
        <v>4322</v>
      </c>
      <c r="BT62" s="116" t="s">
        <v>4322</v>
      </c>
      <c r="BU62" s="2"/>
      <c r="BV62" s="3"/>
      <c r="BW62" s="3"/>
      <c r="BX62" s="3"/>
      <c r="BY62" s="3"/>
    </row>
    <row r="63" spans="1:77" ht="15">
      <c r="A63" s="65" t="s">
        <v>275</v>
      </c>
      <c r="B63" s="66"/>
      <c r="C63" s="66" t="s">
        <v>64</v>
      </c>
      <c r="D63" s="67"/>
      <c r="E63" s="69"/>
      <c r="F63" s="104" t="str">
        <f>HYPERLINK("https://pbs.twimg.com/profile_images/1245280949660725249/v01BtG9F_normal.jpg")</f>
        <v>https://pbs.twimg.com/profile_images/1245280949660725249/v01BtG9F_normal.jpg</v>
      </c>
      <c r="G63" s="66"/>
      <c r="H63" s="70" t="s">
        <v>275</v>
      </c>
      <c r="I63" s="71" t="s">
        <v>4399</v>
      </c>
      <c r="J63" s="71" t="s">
        <v>73</v>
      </c>
      <c r="K63" s="70" t="s">
        <v>2201</v>
      </c>
      <c r="L63" s="74">
        <v>1</v>
      </c>
      <c r="M63" s="75">
        <v>2646.00341796875</v>
      </c>
      <c r="N63" s="75">
        <v>1890.201416015625</v>
      </c>
      <c r="O63" s="76"/>
      <c r="P63" s="77"/>
      <c r="Q63" s="77"/>
      <c r="R63" s="90"/>
      <c r="S63" s="49">
        <v>0</v>
      </c>
      <c r="T63" s="49">
        <v>1</v>
      </c>
      <c r="U63" s="50">
        <v>0</v>
      </c>
      <c r="V63" s="50">
        <v>0.199193</v>
      </c>
      <c r="W63" s="50">
        <v>0.006144</v>
      </c>
      <c r="X63" s="50">
        <v>0.003155</v>
      </c>
      <c r="Y63" s="50">
        <v>0</v>
      </c>
      <c r="Z63" s="50">
        <v>0</v>
      </c>
      <c r="AA63" s="72">
        <v>63</v>
      </c>
      <c r="AB63" s="72"/>
      <c r="AC63" s="73"/>
      <c r="AD63" s="80" t="s">
        <v>1294</v>
      </c>
      <c r="AE63" s="89" t="s">
        <v>1562</v>
      </c>
      <c r="AF63" s="80">
        <v>2553</v>
      </c>
      <c r="AG63" s="80">
        <v>10664</v>
      </c>
      <c r="AH63" s="80">
        <v>26095</v>
      </c>
      <c r="AI63" s="80">
        <v>78388</v>
      </c>
      <c r="AJ63" s="80"/>
      <c r="AK63" s="80" t="s">
        <v>1824</v>
      </c>
      <c r="AL63" s="80" t="s">
        <v>2039</v>
      </c>
      <c r="AM63" s="80"/>
      <c r="AN63" s="80"/>
      <c r="AO63" s="82">
        <v>41242.82928240741</v>
      </c>
      <c r="AP63" s="86" t="str">
        <f>HYPERLINK("https://pbs.twimg.com/profile_banners/979035942/1647284083")</f>
        <v>https://pbs.twimg.com/profile_banners/979035942/1647284083</v>
      </c>
      <c r="AQ63" s="80" t="b">
        <v>0</v>
      </c>
      <c r="AR63" s="80" t="b">
        <v>0</v>
      </c>
      <c r="AS63" s="80" t="b">
        <v>0</v>
      </c>
      <c r="AT63" s="80"/>
      <c r="AU63" s="80">
        <v>40</v>
      </c>
      <c r="AV63" s="86" t="str">
        <f>HYPERLINK("https://abs.twimg.com/images/themes/theme5/bg.gif")</f>
        <v>https://abs.twimg.com/images/themes/theme5/bg.gif</v>
      </c>
      <c r="AW63" s="80" t="b">
        <v>0</v>
      </c>
      <c r="AX63" s="80" t="s">
        <v>2141</v>
      </c>
      <c r="AY63" s="86" t="str">
        <f>HYPERLINK("https://twitter.com/arnkil")</f>
        <v>https://twitter.com/arnkil</v>
      </c>
      <c r="AZ63" s="80" t="s">
        <v>66</v>
      </c>
      <c r="BA63" s="80" t="str">
        <f>REPLACE(INDEX(GroupVertices[Group],MATCH(Vertices[[#This Row],[Vertex]],GroupVertices[Vertex],0)),1,1,"")</f>
        <v>2</v>
      </c>
      <c r="BB63" s="49">
        <v>0</v>
      </c>
      <c r="BC63" s="50">
        <v>0</v>
      </c>
      <c r="BD63" s="49">
        <v>0</v>
      </c>
      <c r="BE63" s="50">
        <v>0</v>
      </c>
      <c r="BF63" s="49">
        <v>0</v>
      </c>
      <c r="BG63" s="50">
        <v>0</v>
      </c>
      <c r="BH63" s="49">
        <v>6</v>
      </c>
      <c r="BI63" s="50">
        <v>100</v>
      </c>
      <c r="BJ63" s="49">
        <v>6</v>
      </c>
      <c r="BK63" s="49"/>
      <c r="BL63" s="49"/>
      <c r="BM63" s="49"/>
      <c r="BN63" s="49"/>
      <c r="BO63" s="49"/>
      <c r="BP63" s="49"/>
      <c r="BQ63" s="116" t="s">
        <v>4241</v>
      </c>
      <c r="BR63" s="116" t="s">
        <v>4241</v>
      </c>
      <c r="BS63" s="116" t="s">
        <v>4322</v>
      </c>
      <c r="BT63" s="116" t="s">
        <v>4322</v>
      </c>
      <c r="BU63" s="2"/>
      <c r="BV63" s="3"/>
      <c r="BW63" s="3"/>
      <c r="BX63" s="3"/>
      <c r="BY63" s="3"/>
    </row>
    <row r="64" spans="1:77" ht="15">
      <c r="A64" s="65" t="s">
        <v>276</v>
      </c>
      <c r="B64" s="66"/>
      <c r="C64" s="66" t="s">
        <v>64</v>
      </c>
      <c r="D64" s="67">
        <v>10</v>
      </c>
      <c r="E64" s="69"/>
      <c r="F64" s="104" t="str">
        <f>HYPERLINK("https://pbs.twimg.com/profile_images/1275145567178457090/fpyfPpLl_normal.jpg")</f>
        <v>https://pbs.twimg.com/profile_images/1275145567178457090/fpyfPpLl_normal.jpg</v>
      </c>
      <c r="G64" s="66"/>
      <c r="H64" s="70" t="s">
        <v>276</v>
      </c>
      <c r="I64" s="71" t="s">
        <v>4398</v>
      </c>
      <c r="J64" s="71" t="s">
        <v>73</v>
      </c>
      <c r="K64" s="70" t="s">
        <v>2202</v>
      </c>
      <c r="L64" s="74">
        <v>99.01960784313725</v>
      </c>
      <c r="M64" s="75"/>
      <c r="N64" s="75"/>
      <c r="O64" s="76"/>
      <c r="P64" s="77"/>
      <c r="Q64" s="77"/>
      <c r="R64" s="90"/>
      <c r="S64" s="49">
        <v>1</v>
      </c>
      <c r="T64" s="49">
        <v>1</v>
      </c>
      <c r="U64" s="50">
        <v>0</v>
      </c>
      <c r="V64" s="50">
        <v>0</v>
      </c>
      <c r="W64" s="50">
        <v>0</v>
      </c>
      <c r="X64" s="50">
        <v>0.003623</v>
      </c>
      <c r="Y64" s="50">
        <v>0</v>
      </c>
      <c r="Z64" s="50">
        <v>0</v>
      </c>
      <c r="AA64" s="72">
        <v>64</v>
      </c>
      <c r="AB64" s="72"/>
      <c r="AC64" s="73"/>
      <c r="AD64" s="80" t="s">
        <v>1295</v>
      </c>
      <c r="AE64" s="89" t="s">
        <v>1563</v>
      </c>
      <c r="AF64" s="80">
        <v>801</v>
      </c>
      <c r="AG64" s="80">
        <v>1087</v>
      </c>
      <c r="AH64" s="80">
        <v>71997</v>
      </c>
      <c r="AI64" s="80">
        <v>444</v>
      </c>
      <c r="AJ64" s="80"/>
      <c r="AK64" s="80" t="s">
        <v>1825</v>
      </c>
      <c r="AL64" s="80"/>
      <c r="AM64" s="80"/>
      <c r="AN64" s="80"/>
      <c r="AO64" s="82">
        <v>40183.80517361111</v>
      </c>
      <c r="AP64" s="86" t="str">
        <f>HYPERLINK("https://pbs.twimg.com/profile_banners/102140645/1398362583")</f>
        <v>https://pbs.twimg.com/profile_banners/102140645/1398362583</v>
      </c>
      <c r="AQ64" s="80" t="b">
        <v>0</v>
      </c>
      <c r="AR64" s="80" t="b">
        <v>0</v>
      </c>
      <c r="AS64" s="80" t="b">
        <v>1</v>
      </c>
      <c r="AT64" s="80"/>
      <c r="AU64" s="80">
        <v>33</v>
      </c>
      <c r="AV64" s="86" t="str">
        <f>HYPERLINK("https://abs.twimg.com/images/themes/theme5/bg.gif")</f>
        <v>https://abs.twimg.com/images/themes/theme5/bg.gif</v>
      </c>
      <c r="AW64" s="80" t="b">
        <v>0</v>
      </c>
      <c r="AX64" s="80" t="s">
        <v>2141</v>
      </c>
      <c r="AY64" s="86" t="str">
        <f>HYPERLINK("https://twitter.com/mikkohongisto")</f>
        <v>https://twitter.com/mikkohongisto</v>
      </c>
      <c r="AZ64" s="80" t="s">
        <v>66</v>
      </c>
      <c r="BA64" s="80" t="str">
        <f>REPLACE(INDEX(GroupVertices[Group],MATCH(Vertices[[#This Row],[Vertex]],GroupVertices[Vertex],0)),1,1,"")</f>
        <v>3</v>
      </c>
      <c r="BB64" s="49">
        <v>0</v>
      </c>
      <c r="BC64" s="50">
        <v>0</v>
      </c>
      <c r="BD64" s="49">
        <v>0</v>
      </c>
      <c r="BE64" s="50">
        <v>0</v>
      </c>
      <c r="BF64" s="49">
        <v>0</v>
      </c>
      <c r="BG64" s="50">
        <v>0</v>
      </c>
      <c r="BH64" s="49">
        <v>5</v>
      </c>
      <c r="BI64" s="50">
        <v>100</v>
      </c>
      <c r="BJ64" s="49">
        <v>5</v>
      </c>
      <c r="BK64" s="49"/>
      <c r="BL64" s="49"/>
      <c r="BM64" s="49"/>
      <c r="BN64" s="49"/>
      <c r="BO64" s="49"/>
      <c r="BP64" s="49"/>
      <c r="BQ64" s="116" t="s">
        <v>4249</v>
      </c>
      <c r="BR64" s="116" t="s">
        <v>4249</v>
      </c>
      <c r="BS64" s="116" t="s">
        <v>4330</v>
      </c>
      <c r="BT64" s="116" t="s">
        <v>4330</v>
      </c>
      <c r="BU64" s="2"/>
      <c r="BV64" s="3"/>
      <c r="BW64" s="3"/>
      <c r="BX64" s="3"/>
      <c r="BY64" s="3"/>
    </row>
    <row r="65" spans="1:77" ht="15">
      <c r="A65" s="65" t="s">
        <v>277</v>
      </c>
      <c r="B65" s="66"/>
      <c r="C65" s="66" t="s">
        <v>64</v>
      </c>
      <c r="D65" s="67"/>
      <c r="E65" s="69"/>
      <c r="F65" s="104" t="str">
        <f>HYPERLINK("https://pbs.twimg.com/profile_images/1485228879212122115/bc3OmtiD_normal.jpg")</f>
        <v>https://pbs.twimg.com/profile_images/1485228879212122115/bc3OmtiD_normal.jpg</v>
      </c>
      <c r="G65" s="66"/>
      <c r="H65" s="70" t="s">
        <v>277</v>
      </c>
      <c r="I65" s="71" t="s">
        <v>4399</v>
      </c>
      <c r="J65" s="71" t="s">
        <v>73</v>
      </c>
      <c r="K65" s="70" t="s">
        <v>2203</v>
      </c>
      <c r="L65" s="74">
        <v>1</v>
      </c>
      <c r="M65" s="75">
        <v>3186.9990234375</v>
      </c>
      <c r="N65" s="75">
        <v>2824.4775390625</v>
      </c>
      <c r="O65" s="76"/>
      <c r="P65" s="77"/>
      <c r="Q65" s="77"/>
      <c r="R65" s="90"/>
      <c r="S65" s="49">
        <v>0</v>
      </c>
      <c r="T65" s="49">
        <v>1</v>
      </c>
      <c r="U65" s="50">
        <v>0</v>
      </c>
      <c r="V65" s="50">
        <v>0.199193</v>
      </c>
      <c r="W65" s="50">
        <v>0.006144</v>
      </c>
      <c r="X65" s="50">
        <v>0.003155</v>
      </c>
      <c r="Y65" s="50">
        <v>0</v>
      </c>
      <c r="Z65" s="50">
        <v>0</v>
      </c>
      <c r="AA65" s="72">
        <v>65</v>
      </c>
      <c r="AB65" s="72"/>
      <c r="AC65" s="73"/>
      <c r="AD65" s="80" t="s">
        <v>1296</v>
      </c>
      <c r="AE65" s="89" t="s">
        <v>1564</v>
      </c>
      <c r="AF65" s="80">
        <v>1332</v>
      </c>
      <c r="AG65" s="80">
        <v>101</v>
      </c>
      <c r="AH65" s="80">
        <v>709</v>
      </c>
      <c r="AI65" s="80">
        <v>1722</v>
      </c>
      <c r="AJ65" s="80"/>
      <c r="AK65" s="80" t="s">
        <v>1826</v>
      </c>
      <c r="AL65" s="80"/>
      <c r="AM65" s="80"/>
      <c r="AN65" s="80"/>
      <c r="AO65" s="82">
        <v>41108.19532407408</v>
      </c>
      <c r="AP65" s="80"/>
      <c r="AQ65" s="80" t="b">
        <v>1</v>
      </c>
      <c r="AR65" s="80" t="b">
        <v>0</v>
      </c>
      <c r="AS65" s="80" t="b">
        <v>1</v>
      </c>
      <c r="AT65" s="80"/>
      <c r="AU65" s="80">
        <v>0</v>
      </c>
      <c r="AV65" s="86" t="str">
        <f>HYPERLINK("https://abs.twimg.com/images/themes/theme1/bg.png")</f>
        <v>https://abs.twimg.com/images/themes/theme1/bg.png</v>
      </c>
      <c r="AW65" s="80" t="b">
        <v>0</v>
      </c>
      <c r="AX65" s="80" t="s">
        <v>2141</v>
      </c>
      <c r="AY65" s="86" t="str">
        <f>HYPERLINK("https://twitter.com/castrenr")</f>
        <v>https://twitter.com/castrenr</v>
      </c>
      <c r="AZ65" s="80" t="s">
        <v>66</v>
      </c>
      <c r="BA65" s="80" t="str">
        <f>REPLACE(INDEX(GroupVertices[Group],MATCH(Vertices[[#This Row],[Vertex]],GroupVertices[Vertex],0)),1,1,"")</f>
        <v>2</v>
      </c>
      <c r="BB65" s="49">
        <v>0</v>
      </c>
      <c r="BC65" s="50">
        <v>0</v>
      </c>
      <c r="BD65" s="49">
        <v>0</v>
      </c>
      <c r="BE65" s="50">
        <v>0</v>
      </c>
      <c r="BF65" s="49">
        <v>0</v>
      </c>
      <c r="BG65" s="50">
        <v>0</v>
      </c>
      <c r="BH65" s="49">
        <v>6</v>
      </c>
      <c r="BI65" s="50">
        <v>100</v>
      </c>
      <c r="BJ65" s="49">
        <v>6</v>
      </c>
      <c r="BK65" s="49"/>
      <c r="BL65" s="49"/>
      <c r="BM65" s="49"/>
      <c r="BN65" s="49"/>
      <c r="BO65" s="49"/>
      <c r="BP65" s="49"/>
      <c r="BQ65" s="116" t="s">
        <v>4241</v>
      </c>
      <c r="BR65" s="116" t="s">
        <v>4241</v>
      </c>
      <c r="BS65" s="116" t="s">
        <v>4322</v>
      </c>
      <c r="BT65" s="116" t="s">
        <v>4322</v>
      </c>
      <c r="BU65" s="2"/>
      <c r="BV65" s="3"/>
      <c r="BW65" s="3"/>
      <c r="BX65" s="3"/>
      <c r="BY65" s="3"/>
    </row>
    <row r="66" spans="1:77" ht="15">
      <c r="A66" s="65" t="s">
        <v>278</v>
      </c>
      <c r="B66" s="66"/>
      <c r="C66" s="66" t="s">
        <v>64</v>
      </c>
      <c r="D66" s="67"/>
      <c r="E66" s="69"/>
      <c r="F66" s="104" t="str">
        <f>HYPERLINK("https://pbs.twimg.com/profile_images/470268019726245888/Uyd2dPfL_normal.jpeg")</f>
        <v>https://pbs.twimg.com/profile_images/470268019726245888/Uyd2dPfL_normal.jpeg</v>
      </c>
      <c r="G66" s="66"/>
      <c r="H66" s="70" t="s">
        <v>278</v>
      </c>
      <c r="I66" s="71" t="s">
        <v>4399</v>
      </c>
      <c r="J66" s="71" t="s">
        <v>73</v>
      </c>
      <c r="K66" s="70" t="s">
        <v>2204</v>
      </c>
      <c r="L66" s="74">
        <v>1</v>
      </c>
      <c r="M66" s="75">
        <v>6123.072265625</v>
      </c>
      <c r="N66" s="75">
        <v>3648.925537109375</v>
      </c>
      <c r="O66" s="76"/>
      <c r="P66" s="77"/>
      <c r="Q66" s="77"/>
      <c r="R66" s="90"/>
      <c r="S66" s="49">
        <v>0</v>
      </c>
      <c r="T66" s="49">
        <v>1</v>
      </c>
      <c r="U66" s="50">
        <v>0</v>
      </c>
      <c r="V66" s="50">
        <v>0.199193</v>
      </c>
      <c r="W66" s="50">
        <v>0.006144</v>
      </c>
      <c r="X66" s="50">
        <v>0.003155</v>
      </c>
      <c r="Y66" s="50">
        <v>0</v>
      </c>
      <c r="Z66" s="50">
        <v>0</v>
      </c>
      <c r="AA66" s="72">
        <v>66</v>
      </c>
      <c r="AB66" s="72"/>
      <c r="AC66" s="73"/>
      <c r="AD66" s="80" t="s">
        <v>1297</v>
      </c>
      <c r="AE66" s="89" t="s">
        <v>1565</v>
      </c>
      <c r="AF66" s="80">
        <v>850</v>
      </c>
      <c r="AG66" s="80">
        <v>2639</v>
      </c>
      <c r="AH66" s="80">
        <v>30404</v>
      </c>
      <c r="AI66" s="80">
        <v>2490</v>
      </c>
      <c r="AJ66" s="80"/>
      <c r="AK66" s="80" t="s">
        <v>1827</v>
      </c>
      <c r="AL66" s="80" t="s">
        <v>2049</v>
      </c>
      <c r="AM66" s="86" t="str">
        <f>HYPERLINK("https://t.co/DgL36WPjQQ")</f>
        <v>https://t.co/DgL36WPjQQ</v>
      </c>
      <c r="AN66" s="80"/>
      <c r="AO66" s="82">
        <v>41028.73478009259</v>
      </c>
      <c r="AP66" s="86" t="str">
        <f>HYPERLINK("https://pbs.twimg.com/profile_banners/566590680/1540645624")</f>
        <v>https://pbs.twimg.com/profile_banners/566590680/1540645624</v>
      </c>
      <c r="AQ66" s="80" t="b">
        <v>0</v>
      </c>
      <c r="AR66" s="80" t="b">
        <v>0</v>
      </c>
      <c r="AS66" s="80" t="b">
        <v>0</v>
      </c>
      <c r="AT66" s="80"/>
      <c r="AU66" s="80">
        <v>19</v>
      </c>
      <c r="AV66" s="86" t="str">
        <f>HYPERLINK("https://abs.twimg.com/images/themes/theme14/bg.gif")</f>
        <v>https://abs.twimg.com/images/themes/theme14/bg.gif</v>
      </c>
      <c r="AW66" s="80" t="b">
        <v>0</v>
      </c>
      <c r="AX66" s="80" t="s">
        <v>2141</v>
      </c>
      <c r="AY66" s="86" t="str">
        <f>HYPERLINK("https://twitter.com/jjjpellinen")</f>
        <v>https://twitter.com/jjjpellinen</v>
      </c>
      <c r="AZ66" s="80" t="s">
        <v>66</v>
      </c>
      <c r="BA66" s="80" t="str">
        <f>REPLACE(INDEX(GroupVertices[Group],MATCH(Vertices[[#This Row],[Vertex]],GroupVertices[Vertex],0)),1,1,"")</f>
        <v>2</v>
      </c>
      <c r="BB66" s="49">
        <v>0</v>
      </c>
      <c r="BC66" s="50">
        <v>0</v>
      </c>
      <c r="BD66" s="49">
        <v>0</v>
      </c>
      <c r="BE66" s="50">
        <v>0</v>
      </c>
      <c r="BF66" s="49">
        <v>0</v>
      </c>
      <c r="BG66" s="50">
        <v>0</v>
      </c>
      <c r="BH66" s="49">
        <v>6</v>
      </c>
      <c r="BI66" s="50">
        <v>100</v>
      </c>
      <c r="BJ66" s="49">
        <v>6</v>
      </c>
      <c r="BK66" s="49"/>
      <c r="BL66" s="49"/>
      <c r="BM66" s="49"/>
      <c r="BN66" s="49"/>
      <c r="BO66" s="49"/>
      <c r="BP66" s="49"/>
      <c r="BQ66" s="116" t="s">
        <v>4241</v>
      </c>
      <c r="BR66" s="116" t="s">
        <v>4241</v>
      </c>
      <c r="BS66" s="116" t="s">
        <v>4322</v>
      </c>
      <c r="BT66" s="116" t="s">
        <v>4322</v>
      </c>
      <c r="BU66" s="2"/>
      <c r="BV66" s="3"/>
      <c r="BW66" s="3"/>
      <c r="BX66" s="3"/>
      <c r="BY66" s="3"/>
    </row>
    <row r="67" spans="1:77" ht="15">
      <c r="A67" s="65" t="s">
        <v>279</v>
      </c>
      <c r="B67" s="66"/>
      <c r="C67" s="66" t="s">
        <v>64</v>
      </c>
      <c r="D67" s="67"/>
      <c r="E67" s="69"/>
      <c r="F67" s="104" t="str">
        <f>HYPERLINK("https://pbs.twimg.com/profile_images/1389993657256849413/ytxqn_sw_normal.jpg")</f>
        <v>https://pbs.twimg.com/profile_images/1389993657256849413/ytxqn_sw_normal.jpg</v>
      </c>
      <c r="G67" s="66"/>
      <c r="H67" s="70" t="s">
        <v>279</v>
      </c>
      <c r="I67" s="71" t="s">
        <v>4399</v>
      </c>
      <c r="J67" s="71" t="s">
        <v>73</v>
      </c>
      <c r="K67" s="70" t="s">
        <v>2205</v>
      </c>
      <c r="L67" s="74">
        <v>1</v>
      </c>
      <c r="M67" s="75">
        <v>9185.451171875</v>
      </c>
      <c r="N67" s="75">
        <v>1843.0882568359375</v>
      </c>
      <c r="O67" s="76"/>
      <c r="P67" s="77"/>
      <c r="Q67" s="77"/>
      <c r="R67" s="90"/>
      <c r="S67" s="49">
        <v>0</v>
      </c>
      <c r="T67" s="49">
        <v>1</v>
      </c>
      <c r="U67" s="50">
        <v>0</v>
      </c>
      <c r="V67" s="50">
        <v>0.199193</v>
      </c>
      <c r="W67" s="50">
        <v>0.006144</v>
      </c>
      <c r="X67" s="50">
        <v>0.003155</v>
      </c>
      <c r="Y67" s="50">
        <v>0</v>
      </c>
      <c r="Z67" s="50">
        <v>0</v>
      </c>
      <c r="AA67" s="72">
        <v>67</v>
      </c>
      <c r="AB67" s="72"/>
      <c r="AC67" s="73"/>
      <c r="AD67" s="80" t="s">
        <v>1298</v>
      </c>
      <c r="AE67" s="89" t="s">
        <v>1566</v>
      </c>
      <c r="AF67" s="80">
        <v>531</v>
      </c>
      <c r="AG67" s="80">
        <v>219</v>
      </c>
      <c r="AH67" s="80">
        <v>1986</v>
      </c>
      <c r="AI67" s="80">
        <v>5977</v>
      </c>
      <c r="AJ67" s="80"/>
      <c r="AK67" s="80" t="s">
        <v>1828</v>
      </c>
      <c r="AL67" s="80" t="s">
        <v>2060</v>
      </c>
      <c r="AM67" s="80"/>
      <c r="AN67" s="80"/>
      <c r="AO67" s="82">
        <v>41194.836863425924</v>
      </c>
      <c r="AP67" s="86" t="str">
        <f>HYPERLINK("https://pbs.twimg.com/profile_banners/876326318/1624229371")</f>
        <v>https://pbs.twimg.com/profile_banners/876326318/1624229371</v>
      </c>
      <c r="AQ67" s="80" t="b">
        <v>0</v>
      </c>
      <c r="AR67" s="80" t="b">
        <v>0</v>
      </c>
      <c r="AS67" s="80" t="b">
        <v>1</v>
      </c>
      <c r="AT67" s="80"/>
      <c r="AU67" s="80">
        <v>1</v>
      </c>
      <c r="AV67" s="86" t="str">
        <f>HYPERLINK("https://abs.twimg.com/images/themes/theme14/bg.gif")</f>
        <v>https://abs.twimg.com/images/themes/theme14/bg.gif</v>
      </c>
      <c r="AW67" s="80" t="b">
        <v>0</v>
      </c>
      <c r="AX67" s="80" t="s">
        <v>2141</v>
      </c>
      <c r="AY67" s="86" t="str">
        <f>HYPERLINK("https://twitter.com/jpkajan")</f>
        <v>https://twitter.com/jpkajan</v>
      </c>
      <c r="AZ67" s="80" t="s">
        <v>66</v>
      </c>
      <c r="BA67" s="80" t="str">
        <f>REPLACE(INDEX(GroupVertices[Group],MATCH(Vertices[[#This Row],[Vertex]],GroupVertices[Vertex],0)),1,1,"")</f>
        <v>2</v>
      </c>
      <c r="BB67" s="49">
        <v>0</v>
      </c>
      <c r="BC67" s="50">
        <v>0</v>
      </c>
      <c r="BD67" s="49">
        <v>0</v>
      </c>
      <c r="BE67" s="50">
        <v>0</v>
      </c>
      <c r="BF67" s="49">
        <v>0</v>
      </c>
      <c r="BG67" s="50">
        <v>0</v>
      </c>
      <c r="BH67" s="49">
        <v>6</v>
      </c>
      <c r="BI67" s="50">
        <v>100</v>
      </c>
      <c r="BJ67" s="49">
        <v>6</v>
      </c>
      <c r="BK67" s="49"/>
      <c r="BL67" s="49"/>
      <c r="BM67" s="49"/>
      <c r="BN67" s="49"/>
      <c r="BO67" s="49"/>
      <c r="BP67" s="49"/>
      <c r="BQ67" s="116" t="s">
        <v>4241</v>
      </c>
      <c r="BR67" s="116" t="s">
        <v>4241</v>
      </c>
      <c r="BS67" s="116" t="s">
        <v>4322</v>
      </c>
      <c r="BT67" s="116" t="s">
        <v>4322</v>
      </c>
      <c r="BU67" s="2"/>
      <c r="BV67" s="3"/>
      <c r="BW67" s="3"/>
      <c r="BX67" s="3"/>
      <c r="BY67" s="3"/>
    </row>
    <row r="68" spans="1:77" ht="15">
      <c r="A68" s="65" t="s">
        <v>280</v>
      </c>
      <c r="B68" s="66"/>
      <c r="C68" s="66" t="s">
        <v>64</v>
      </c>
      <c r="D68" s="67"/>
      <c r="E68" s="69"/>
      <c r="F68" s="104" t="str">
        <f>HYPERLINK("https://pbs.twimg.com/profile_images/1124698234432229377/GGydPKA-_normal.jpg")</f>
        <v>https://pbs.twimg.com/profile_images/1124698234432229377/GGydPKA-_normal.jpg</v>
      </c>
      <c r="G68" s="66"/>
      <c r="H68" s="70" t="s">
        <v>280</v>
      </c>
      <c r="I68" s="71" t="s">
        <v>4399</v>
      </c>
      <c r="J68" s="71" t="s">
        <v>73</v>
      </c>
      <c r="K68" s="70" t="s">
        <v>2206</v>
      </c>
      <c r="L68" s="74">
        <v>1</v>
      </c>
      <c r="M68" s="75">
        <v>8444.0732421875</v>
      </c>
      <c r="N68" s="75">
        <v>3091.6357421875</v>
      </c>
      <c r="O68" s="76"/>
      <c r="P68" s="77"/>
      <c r="Q68" s="77"/>
      <c r="R68" s="90"/>
      <c r="S68" s="49">
        <v>0</v>
      </c>
      <c r="T68" s="49">
        <v>1</v>
      </c>
      <c r="U68" s="50">
        <v>0</v>
      </c>
      <c r="V68" s="50">
        <v>0.199193</v>
      </c>
      <c r="W68" s="50">
        <v>0.006144</v>
      </c>
      <c r="X68" s="50">
        <v>0.003155</v>
      </c>
      <c r="Y68" s="50">
        <v>0</v>
      </c>
      <c r="Z68" s="50">
        <v>0</v>
      </c>
      <c r="AA68" s="72">
        <v>68</v>
      </c>
      <c r="AB68" s="72"/>
      <c r="AC68" s="73"/>
      <c r="AD68" s="80" t="s">
        <v>1299</v>
      </c>
      <c r="AE68" s="89" t="s">
        <v>1567</v>
      </c>
      <c r="AF68" s="80">
        <v>615</v>
      </c>
      <c r="AG68" s="80">
        <v>28478</v>
      </c>
      <c r="AH68" s="80">
        <v>13998</v>
      </c>
      <c r="AI68" s="80">
        <v>6638</v>
      </c>
      <c r="AJ68" s="80"/>
      <c r="AK68" s="80" t="s">
        <v>1829</v>
      </c>
      <c r="AL68" s="80" t="s">
        <v>1201</v>
      </c>
      <c r="AM68" s="86" t="str">
        <f>HYPERLINK("https://t.co/0HHAoMrDhD")</f>
        <v>https://t.co/0HHAoMrDhD</v>
      </c>
      <c r="AN68" s="80"/>
      <c r="AO68" s="82">
        <v>40621.54142361111</v>
      </c>
      <c r="AP68" s="86" t="str">
        <f>HYPERLINK("https://pbs.twimg.com/profile_banners/268777564/1411149799")</f>
        <v>https://pbs.twimg.com/profile_banners/268777564/1411149799</v>
      </c>
      <c r="AQ68" s="80" t="b">
        <v>1</v>
      </c>
      <c r="AR68" s="80" t="b">
        <v>0</v>
      </c>
      <c r="AS68" s="80" t="b">
        <v>1</v>
      </c>
      <c r="AT68" s="80"/>
      <c r="AU68" s="80">
        <v>314</v>
      </c>
      <c r="AV68" s="86" t="str">
        <f>HYPERLINK("https://abs.twimg.com/images/themes/theme1/bg.png")</f>
        <v>https://abs.twimg.com/images/themes/theme1/bg.png</v>
      </c>
      <c r="AW68" s="80" t="b">
        <v>0</v>
      </c>
      <c r="AX68" s="80" t="s">
        <v>2141</v>
      </c>
      <c r="AY68" s="86" t="str">
        <f>HYPERLINK("https://twitter.com/samilaiho")</f>
        <v>https://twitter.com/samilaiho</v>
      </c>
      <c r="AZ68" s="80" t="s">
        <v>66</v>
      </c>
      <c r="BA68" s="80" t="str">
        <f>REPLACE(INDEX(GroupVertices[Group],MATCH(Vertices[[#This Row],[Vertex]],GroupVertices[Vertex],0)),1,1,"")</f>
        <v>2</v>
      </c>
      <c r="BB68" s="49">
        <v>0</v>
      </c>
      <c r="BC68" s="50">
        <v>0</v>
      </c>
      <c r="BD68" s="49">
        <v>0</v>
      </c>
      <c r="BE68" s="50">
        <v>0</v>
      </c>
      <c r="BF68" s="49">
        <v>0</v>
      </c>
      <c r="BG68" s="50">
        <v>0</v>
      </c>
      <c r="BH68" s="49">
        <v>6</v>
      </c>
      <c r="BI68" s="50">
        <v>100</v>
      </c>
      <c r="BJ68" s="49">
        <v>6</v>
      </c>
      <c r="BK68" s="49"/>
      <c r="BL68" s="49"/>
      <c r="BM68" s="49"/>
      <c r="BN68" s="49"/>
      <c r="BO68" s="49"/>
      <c r="BP68" s="49"/>
      <c r="BQ68" s="116" t="s">
        <v>4241</v>
      </c>
      <c r="BR68" s="116" t="s">
        <v>4241</v>
      </c>
      <c r="BS68" s="116" t="s">
        <v>4322</v>
      </c>
      <c r="BT68" s="116" t="s">
        <v>4322</v>
      </c>
      <c r="BU68" s="2"/>
      <c r="BV68" s="3"/>
      <c r="BW68" s="3"/>
      <c r="BX68" s="3"/>
      <c r="BY68" s="3"/>
    </row>
    <row r="69" spans="1:77" ht="15">
      <c r="A69" s="65" t="s">
        <v>281</v>
      </c>
      <c r="B69" s="66"/>
      <c r="C69" s="66" t="s">
        <v>64</v>
      </c>
      <c r="D69" s="67"/>
      <c r="E69" s="69"/>
      <c r="F69" s="104" t="str">
        <f>HYPERLINK("https://pbs.twimg.com/profile_images/1312662052767436805/gQxfi7_e_normal.jpg")</f>
        <v>https://pbs.twimg.com/profile_images/1312662052767436805/gQxfi7_e_normal.jpg</v>
      </c>
      <c r="G69" s="66"/>
      <c r="H69" s="70" t="s">
        <v>281</v>
      </c>
      <c r="I69" s="71" t="s">
        <v>4399</v>
      </c>
      <c r="J69" s="71" t="s">
        <v>73</v>
      </c>
      <c r="K69" s="70" t="s">
        <v>2207</v>
      </c>
      <c r="L69" s="74">
        <v>1</v>
      </c>
      <c r="M69" s="75">
        <v>4569.9384765625</v>
      </c>
      <c r="N69" s="75">
        <v>3359.56494140625</v>
      </c>
      <c r="O69" s="76"/>
      <c r="P69" s="77"/>
      <c r="Q69" s="77"/>
      <c r="R69" s="90"/>
      <c r="S69" s="49">
        <v>0</v>
      </c>
      <c r="T69" s="49">
        <v>1</v>
      </c>
      <c r="U69" s="50">
        <v>0</v>
      </c>
      <c r="V69" s="50">
        <v>0.199193</v>
      </c>
      <c r="W69" s="50">
        <v>0.006144</v>
      </c>
      <c r="X69" s="50">
        <v>0.003155</v>
      </c>
      <c r="Y69" s="50">
        <v>0</v>
      </c>
      <c r="Z69" s="50">
        <v>0</v>
      </c>
      <c r="AA69" s="72">
        <v>69</v>
      </c>
      <c r="AB69" s="72"/>
      <c r="AC69" s="73"/>
      <c r="AD69" s="80" t="s">
        <v>1300</v>
      </c>
      <c r="AE69" s="89" t="s">
        <v>1568</v>
      </c>
      <c r="AF69" s="80">
        <v>647</v>
      </c>
      <c r="AG69" s="80">
        <v>259</v>
      </c>
      <c r="AH69" s="80">
        <v>28442</v>
      </c>
      <c r="AI69" s="80">
        <v>148890</v>
      </c>
      <c r="AJ69" s="80"/>
      <c r="AK69" s="80"/>
      <c r="AL69" s="80"/>
      <c r="AM69" s="80"/>
      <c r="AN69" s="80"/>
      <c r="AO69" s="82">
        <v>41824.1590162037</v>
      </c>
      <c r="AP69" s="80"/>
      <c r="AQ69" s="80" t="b">
        <v>1</v>
      </c>
      <c r="AR69" s="80" t="b">
        <v>0</v>
      </c>
      <c r="AS69" s="80" t="b">
        <v>0</v>
      </c>
      <c r="AT69" s="80"/>
      <c r="AU69" s="80">
        <v>7</v>
      </c>
      <c r="AV69" s="86" t="str">
        <f>HYPERLINK("https://abs.twimg.com/images/themes/theme1/bg.png")</f>
        <v>https://abs.twimg.com/images/themes/theme1/bg.png</v>
      </c>
      <c r="AW69" s="80" t="b">
        <v>0</v>
      </c>
      <c r="AX69" s="80" t="s">
        <v>2141</v>
      </c>
      <c r="AY69" s="86" t="str">
        <f>HYPERLINK("https://twitter.com/millscgh")</f>
        <v>https://twitter.com/millscgh</v>
      </c>
      <c r="AZ69" s="80" t="s">
        <v>66</v>
      </c>
      <c r="BA69" s="80" t="str">
        <f>REPLACE(INDEX(GroupVertices[Group],MATCH(Vertices[[#This Row],[Vertex]],GroupVertices[Vertex],0)),1,1,"")</f>
        <v>2</v>
      </c>
      <c r="BB69" s="49">
        <v>0</v>
      </c>
      <c r="BC69" s="50">
        <v>0</v>
      </c>
      <c r="BD69" s="49">
        <v>0</v>
      </c>
      <c r="BE69" s="50">
        <v>0</v>
      </c>
      <c r="BF69" s="49">
        <v>0</v>
      </c>
      <c r="BG69" s="50">
        <v>0</v>
      </c>
      <c r="BH69" s="49">
        <v>6</v>
      </c>
      <c r="BI69" s="50">
        <v>100</v>
      </c>
      <c r="BJ69" s="49">
        <v>6</v>
      </c>
      <c r="BK69" s="49"/>
      <c r="BL69" s="49"/>
      <c r="BM69" s="49"/>
      <c r="BN69" s="49"/>
      <c r="BO69" s="49"/>
      <c r="BP69" s="49"/>
      <c r="BQ69" s="116" t="s">
        <v>4241</v>
      </c>
      <c r="BR69" s="116" t="s">
        <v>4241</v>
      </c>
      <c r="BS69" s="116" t="s">
        <v>4322</v>
      </c>
      <c r="BT69" s="116" t="s">
        <v>4322</v>
      </c>
      <c r="BU69" s="2"/>
      <c r="BV69" s="3"/>
      <c r="BW69" s="3"/>
      <c r="BX69" s="3"/>
      <c r="BY69" s="3"/>
    </row>
    <row r="70" spans="1:77" ht="15">
      <c r="A70" s="65" t="s">
        <v>282</v>
      </c>
      <c r="B70" s="66"/>
      <c r="C70" s="66" t="s">
        <v>64</v>
      </c>
      <c r="D70" s="67"/>
      <c r="E70" s="69"/>
      <c r="F70" s="104" t="str">
        <f>HYPERLINK("https://pbs.twimg.com/profile_images/1267933875352846338/2c88XiDA_normal.jpg")</f>
        <v>https://pbs.twimg.com/profile_images/1267933875352846338/2c88XiDA_normal.jpg</v>
      </c>
      <c r="G70" s="66"/>
      <c r="H70" s="70" t="s">
        <v>282</v>
      </c>
      <c r="I70" s="71" t="s">
        <v>4399</v>
      </c>
      <c r="J70" s="71" t="s">
        <v>73</v>
      </c>
      <c r="K70" s="70" t="s">
        <v>2208</v>
      </c>
      <c r="L70" s="74">
        <v>1</v>
      </c>
      <c r="M70" s="75">
        <v>4262.2958984375</v>
      </c>
      <c r="N70" s="75">
        <v>763.7445678710938</v>
      </c>
      <c r="O70" s="76"/>
      <c r="P70" s="77"/>
      <c r="Q70" s="77"/>
      <c r="R70" s="90"/>
      <c r="S70" s="49">
        <v>0</v>
      </c>
      <c r="T70" s="49">
        <v>1</v>
      </c>
      <c r="U70" s="50">
        <v>0</v>
      </c>
      <c r="V70" s="50">
        <v>0.199193</v>
      </c>
      <c r="W70" s="50">
        <v>0.006144</v>
      </c>
      <c r="X70" s="50">
        <v>0.003155</v>
      </c>
      <c r="Y70" s="50">
        <v>0</v>
      </c>
      <c r="Z70" s="50">
        <v>0</v>
      </c>
      <c r="AA70" s="72">
        <v>70</v>
      </c>
      <c r="AB70" s="72"/>
      <c r="AC70" s="73"/>
      <c r="AD70" s="80" t="s">
        <v>1301</v>
      </c>
      <c r="AE70" s="89" t="s">
        <v>1569</v>
      </c>
      <c r="AF70" s="80">
        <v>1270</v>
      </c>
      <c r="AG70" s="80">
        <v>708</v>
      </c>
      <c r="AH70" s="80">
        <v>56143</v>
      </c>
      <c r="AI70" s="80">
        <v>58497</v>
      </c>
      <c r="AJ70" s="80"/>
      <c r="AK70" s="80"/>
      <c r="AL70" s="80" t="s">
        <v>2061</v>
      </c>
      <c r="AM70" s="80"/>
      <c r="AN70" s="80"/>
      <c r="AO70" s="82">
        <v>41501.457708333335</v>
      </c>
      <c r="AP70" s="86" t="str">
        <f>HYPERLINK("https://pbs.twimg.com/profile_banners/1672927381/1630071567")</f>
        <v>https://pbs.twimg.com/profile_banners/1672927381/1630071567</v>
      </c>
      <c r="AQ70" s="80" t="b">
        <v>0</v>
      </c>
      <c r="AR70" s="80" t="b">
        <v>0</v>
      </c>
      <c r="AS70" s="80" t="b">
        <v>0</v>
      </c>
      <c r="AT70" s="80"/>
      <c r="AU70" s="80">
        <v>47</v>
      </c>
      <c r="AV70" s="86" t="str">
        <f>HYPERLINK("https://abs.twimg.com/images/themes/theme9/bg.gif")</f>
        <v>https://abs.twimg.com/images/themes/theme9/bg.gif</v>
      </c>
      <c r="AW70" s="80" t="b">
        <v>0</v>
      </c>
      <c r="AX70" s="80" t="s">
        <v>2141</v>
      </c>
      <c r="AY70" s="86" t="str">
        <f>HYPERLINK("https://twitter.com/haraldhannelius")</f>
        <v>https://twitter.com/haraldhannelius</v>
      </c>
      <c r="AZ70" s="80" t="s">
        <v>66</v>
      </c>
      <c r="BA70" s="80" t="str">
        <f>REPLACE(INDEX(GroupVertices[Group],MATCH(Vertices[[#This Row],[Vertex]],GroupVertices[Vertex],0)),1,1,"")</f>
        <v>2</v>
      </c>
      <c r="BB70" s="49">
        <v>0</v>
      </c>
      <c r="BC70" s="50">
        <v>0</v>
      </c>
      <c r="BD70" s="49">
        <v>0</v>
      </c>
      <c r="BE70" s="50">
        <v>0</v>
      </c>
      <c r="BF70" s="49">
        <v>0</v>
      </c>
      <c r="BG70" s="50">
        <v>0</v>
      </c>
      <c r="BH70" s="49">
        <v>6</v>
      </c>
      <c r="BI70" s="50">
        <v>100</v>
      </c>
      <c r="BJ70" s="49">
        <v>6</v>
      </c>
      <c r="BK70" s="49"/>
      <c r="BL70" s="49"/>
      <c r="BM70" s="49"/>
      <c r="BN70" s="49"/>
      <c r="BO70" s="49"/>
      <c r="BP70" s="49"/>
      <c r="BQ70" s="116" t="s">
        <v>4241</v>
      </c>
      <c r="BR70" s="116" t="s">
        <v>4241</v>
      </c>
      <c r="BS70" s="116" t="s">
        <v>4322</v>
      </c>
      <c r="BT70" s="116" t="s">
        <v>4322</v>
      </c>
      <c r="BU70" s="2"/>
      <c r="BV70" s="3"/>
      <c r="BW70" s="3"/>
      <c r="BX70" s="3"/>
      <c r="BY70" s="3"/>
    </row>
    <row r="71" spans="1:77" ht="15">
      <c r="A71" s="65" t="s">
        <v>283</v>
      </c>
      <c r="B71" s="66"/>
      <c r="C71" s="66" t="s">
        <v>64</v>
      </c>
      <c r="D71" s="67"/>
      <c r="E71" s="69"/>
      <c r="F71" s="104" t="str">
        <f>HYPERLINK("https://pbs.twimg.com/profile_images/1443110953013415937/xC9zR66b_normal.jpg")</f>
        <v>https://pbs.twimg.com/profile_images/1443110953013415937/xC9zR66b_normal.jpg</v>
      </c>
      <c r="G71" s="66"/>
      <c r="H71" s="70" t="s">
        <v>283</v>
      </c>
      <c r="I71" s="71" t="s">
        <v>4399</v>
      </c>
      <c r="J71" s="71" t="s">
        <v>73</v>
      </c>
      <c r="K71" s="70" t="s">
        <v>2209</v>
      </c>
      <c r="L71" s="74">
        <v>1</v>
      </c>
      <c r="M71" s="75">
        <v>5469.505859375</v>
      </c>
      <c r="N71" s="75">
        <v>3604.801025390625</v>
      </c>
      <c r="O71" s="76"/>
      <c r="P71" s="77"/>
      <c r="Q71" s="77"/>
      <c r="R71" s="90"/>
      <c r="S71" s="49">
        <v>0</v>
      </c>
      <c r="T71" s="49">
        <v>1</v>
      </c>
      <c r="U71" s="50">
        <v>0</v>
      </c>
      <c r="V71" s="50">
        <v>0.199193</v>
      </c>
      <c r="W71" s="50">
        <v>0.006144</v>
      </c>
      <c r="X71" s="50">
        <v>0.003155</v>
      </c>
      <c r="Y71" s="50">
        <v>0</v>
      </c>
      <c r="Z71" s="50">
        <v>0</v>
      </c>
      <c r="AA71" s="72">
        <v>71</v>
      </c>
      <c r="AB71" s="72"/>
      <c r="AC71" s="73"/>
      <c r="AD71" s="80" t="s">
        <v>1302</v>
      </c>
      <c r="AE71" s="89" t="s">
        <v>1570</v>
      </c>
      <c r="AF71" s="80">
        <v>1481</v>
      </c>
      <c r="AG71" s="80">
        <v>3048</v>
      </c>
      <c r="AH71" s="80">
        <v>23864</v>
      </c>
      <c r="AI71" s="80">
        <v>57279</v>
      </c>
      <c r="AJ71" s="80"/>
      <c r="AK71" s="80" t="s">
        <v>1830</v>
      </c>
      <c r="AL71" s="80" t="s">
        <v>2062</v>
      </c>
      <c r="AM71" s="80"/>
      <c r="AN71" s="80"/>
      <c r="AO71" s="82">
        <v>42325.64923611111</v>
      </c>
      <c r="AP71" s="86" t="str">
        <f>HYPERLINK("https://pbs.twimg.com/profile_banners/4210718259/1627973410")</f>
        <v>https://pbs.twimg.com/profile_banners/4210718259/1627973410</v>
      </c>
      <c r="AQ71" s="80" t="b">
        <v>1</v>
      </c>
      <c r="AR71" s="80" t="b">
        <v>0</v>
      </c>
      <c r="AS71" s="80" t="b">
        <v>1</v>
      </c>
      <c r="AT71" s="80"/>
      <c r="AU71" s="80">
        <v>16</v>
      </c>
      <c r="AV71" s="86" t="str">
        <f>HYPERLINK("https://abs.twimg.com/images/themes/theme1/bg.png")</f>
        <v>https://abs.twimg.com/images/themes/theme1/bg.png</v>
      </c>
      <c r="AW71" s="80" t="b">
        <v>0</v>
      </c>
      <c r="AX71" s="80" t="s">
        <v>2141</v>
      </c>
      <c r="AY71" s="86" t="str">
        <f>HYPERLINK("https://twitter.com/tiinaripatti")</f>
        <v>https://twitter.com/tiinaripatti</v>
      </c>
      <c r="AZ71" s="80" t="s">
        <v>66</v>
      </c>
      <c r="BA71" s="80" t="str">
        <f>REPLACE(INDEX(GroupVertices[Group],MATCH(Vertices[[#This Row],[Vertex]],GroupVertices[Vertex],0)),1,1,"")</f>
        <v>2</v>
      </c>
      <c r="BB71" s="49">
        <v>0</v>
      </c>
      <c r="BC71" s="50">
        <v>0</v>
      </c>
      <c r="BD71" s="49">
        <v>0</v>
      </c>
      <c r="BE71" s="50">
        <v>0</v>
      </c>
      <c r="BF71" s="49">
        <v>0</v>
      </c>
      <c r="BG71" s="50">
        <v>0</v>
      </c>
      <c r="BH71" s="49">
        <v>6</v>
      </c>
      <c r="BI71" s="50">
        <v>100</v>
      </c>
      <c r="BJ71" s="49">
        <v>6</v>
      </c>
      <c r="BK71" s="49"/>
      <c r="BL71" s="49"/>
      <c r="BM71" s="49"/>
      <c r="BN71" s="49"/>
      <c r="BO71" s="49"/>
      <c r="BP71" s="49"/>
      <c r="BQ71" s="116" t="s">
        <v>4241</v>
      </c>
      <c r="BR71" s="116" t="s">
        <v>4241</v>
      </c>
      <c r="BS71" s="116" t="s">
        <v>4322</v>
      </c>
      <c r="BT71" s="116" t="s">
        <v>4322</v>
      </c>
      <c r="BU71" s="2"/>
      <c r="BV71" s="3"/>
      <c r="BW71" s="3"/>
      <c r="BX71" s="3"/>
      <c r="BY71" s="3"/>
    </row>
    <row r="72" spans="1:77" ht="15">
      <c r="A72" s="65" t="s">
        <v>284</v>
      </c>
      <c r="B72" s="66"/>
      <c r="C72" s="66" t="s">
        <v>64</v>
      </c>
      <c r="D72" s="67"/>
      <c r="E72" s="69"/>
      <c r="F72" s="104" t="str">
        <f>HYPERLINK("https://pbs.twimg.com/profile_images/660922159242547200/watDMhyO_normal.jpg")</f>
        <v>https://pbs.twimg.com/profile_images/660922159242547200/watDMhyO_normal.jpg</v>
      </c>
      <c r="G72" s="66"/>
      <c r="H72" s="70" t="s">
        <v>284</v>
      </c>
      <c r="I72" s="71" t="s">
        <v>4399</v>
      </c>
      <c r="J72" s="71" t="s">
        <v>73</v>
      </c>
      <c r="K72" s="70" t="s">
        <v>2210</v>
      </c>
      <c r="L72" s="74">
        <v>1</v>
      </c>
      <c r="M72" s="75">
        <v>3068.09765625</v>
      </c>
      <c r="N72" s="75">
        <v>2168.141845703125</v>
      </c>
      <c r="O72" s="76"/>
      <c r="P72" s="77"/>
      <c r="Q72" s="77"/>
      <c r="R72" s="90"/>
      <c r="S72" s="49">
        <v>0</v>
      </c>
      <c r="T72" s="49">
        <v>1</v>
      </c>
      <c r="U72" s="50">
        <v>0</v>
      </c>
      <c r="V72" s="50">
        <v>0.199193</v>
      </c>
      <c r="W72" s="50">
        <v>0.006144</v>
      </c>
      <c r="X72" s="50">
        <v>0.003155</v>
      </c>
      <c r="Y72" s="50">
        <v>0</v>
      </c>
      <c r="Z72" s="50">
        <v>0</v>
      </c>
      <c r="AA72" s="72">
        <v>72</v>
      </c>
      <c r="AB72" s="72"/>
      <c r="AC72" s="73"/>
      <c r="AD72" s="80" t="s">
        <v>1303</v>
      </c>
      <c r="AE72" s="89" t="s">
        <v>1571</v>
      </c>
      <c r="AF72" s="80">
        <v>64</v>
      </c>
      <c r="AG72" s="80">
        <v>10</v>
      </c>
      <c r="AH72" s="80">
        <v>88</v>
      </c>
      <c r="AI72" s="80">
        <v>988</v>
      </c>
      <c r="AJ72" s="80"/>
      <c r="AK72" s="80"/>
      <c r="AL72" s="80"/>
      <c r="AM72" s="80"/>
      <c r="AN72" s="80"/>
      <c r="AO72" s="82">
        <v>41762.74618055556</v>
      </c>
      <c r="AP72" s="86" t="str">
        <f>HYPERLINK("https://pbs.twimg.com/profile_banners/2525961593/1446360598")</f>
        <v>https://pbs.twimg.com/profile_banners/2525961593/1446360598</v>
      </c>
      <c r="AQ72" s="80" t="b">
        <v>1</v>
      </c>
      <c r="AR72" s="80" t="b">
        <v>0</v>
      </c>
      <c r="AS72" s="80" t="b">
        <v>0</v>
      </c>
      <c r="AT72" s="80"/>
      <c r="AU72" s="80">
        <v>0</v>
      </c>
      <c r="AV72" s="86" t="str">
        <f>HYPERLINK("https://abs.twimg.com/images/themes/theme1/bg.png")</f>
        <v>https://abs.twimg.com/images/themes/theme1/bg.png</v>
      </c>
      <c r="AW72" s="80" t="b">
        <v>0</v>
      </c>
      <c r="AX72" s="80" t="s">
        <v>2141</v>
      </c>
      <c r="AY72" s="86" t="str">
        <f>HYPERLINK("https://twitter.com/sinimarjah")</f>
        <v>https://twitter.com/sinimarjah</v>
      </c>
      <c r="AZ72" s="80" t="s">
        <v>66</v>
      </c>
      <c r="BA72" s="80" t="str">
        <f>REPLACE(INDEX(GroupVertices[Group],MATCH(Vertices[[#This Row],[Vertex]],GroupVertices[Vertex],0)),1,1,"")</f>
        <v>2</v>
      </c>
      <c r="BB72" s="49">
        <v>0</v>
      </c>
      <c r="BC72" s="50">
        <v>0</v>
      </c>
      <c r="BD72" s="49">
        <v>0</v>
      </c>
      <c r="BE72" s="50">
        <v>0</v>
      </c>
      <c r="BF72" s="49">
        <v>0</v>
      </c>
      <c r="BG72" s="50">
        <v>0</v>
      </c>
      <c r="BH72" s="49">
        <v>5</v>
      </c>
      <c r="BI72" s="50">
        <v>100</v>
      </c>
      <c r="BJ72" s="49">
        <v>5</v>
      </c>
      <c r="BK72" s="49"/>
      <c r="BL72" s="49"/>
      <c r="BM72" s="49"/>
      <c r="BN72" s="49"/>
      <c r="BO72" s="49"/>
      <c r="BP72" s="49"/>
      <c r="BQ72" s="116" t="s">
        <v>4250</v>
      </c>
      <c r="BR72" s="116" t="s">
        <v>4250</v>
      </c>
      <c r="BS72" s="116" t="s">
        <v>4331</v>
      </c>
      <c r="BT72" s="116" t="s">
        <v>4331</v>
      </c>
      <c r="BU72" s="2"/>
      <c r="BV72" s="3"/>
      <c r="BW72" s="3"/>
      <c r="BX72" s="3"/>
      <c r="BY72" s="3"/>
    </row>
    <row r="73" spans="1:77" ht="15">
      <c r="A73" s="65" t="s">
        <v>285</v>
      </c>
      <c r="B73" s="66"/>
      <c r="C73" s="66" t="s">
        <v>64</v>
      </c>
      <c r="D73" s="67"/>
      <c r="E73" s="69"/>
      <c r="F73" s="104" t="str">
        <f>HYPERLINK("https://pbs.twimg.com/profile_images/1495379395749498881/Xz4vJbQH_normal.jpg")</f>
        <v>https://pbs.twimg.com/profile_images/1495379395749498881/Xz4vJbQH_normal.jpg</v>
      </c>
      <c r="G73" s="66"/>
      <c r="H73" s="70" t="s">
        <v>285</v>
      </c>
      <c r="I73" s="71" t="s">
        <v>4399</v>
      </c>
      <c r="J73" s="71" t="s">
        <v>73</v>
      </c>
      <c r="K73" s="70" t="s">
        <v>2211</v>
      </c>
      <c r="L73" s="74">
        <v>1</v>
      </c>
      <c r="M73" s="75">
        <v>6477.228515625</v>
      </c>
      <c r="N73" s="75">
        <v>1305.567626953125</v>
      </c>
      <c r="O73" s="76"/>
      <c r="P73" s="77"/>
      <c r="Q73" s="77"/>
      <c r="R73" s="90"/>
      <c r="S73" s="49">
        <v>0</v>
      </c>
      <c r="T73" s="49">
        <v>1</v>
      </c>
      <c r="U73" s="50">
        <v>0</v>
      </c>
      <c r="V73" s="50">
        <v>0.199193</v>
      </c>
      <c r="W73" s="50">
        <v>0.006144</v>
      </c>
      <c r="X73" s="50">
        <v>0.003155</v>
      </c>
      <c r="Y73" s="50">
        <v>0</v>
      </c>
      <c r="Z73" s="50">
        <v>0</v>
      </c>
      <c r="AA73" s="72">
        <v>73</v>
      </c>
      <c r="AB73" s="72"/>
      <c r="AC73" s="73"/>
      <c r="AD73" s="80" t="s">
        <v>1304</v>
      </c>
      <c r="AE73" s="89" t="s">
        <v>1572</v>
      </c>
      <c r="AF73" s="80">
        <v>1374</v>
      </c>
      <c r="AG73" s="80">
        <v>252</v>
      </c>
      <c r="AH73" s="80">
        <v>2683</v>
      </c>
      <c r="AI73" s="80">
        <v>37652</v>
      </c>
      <c r="AJ73" s="80"/>
      <c r="AK73" s="80" t="s">
        <v>1831</v>
      </c>
      <c r="AL73" s="80" t="s">
        <v>2051</v>
      </c>
      <c r="AM73" s="80"/>
      <c r="AN73" s="80"/>
      <c r="AO73" s="82">
        <v>43530.39046296296</v>
      </c>
      <c r="AP73" s="86" t="str">
        <f>HYPERLINK("https://pbs.twimg.com/profile_banners/1103224267012014080/1628689993")</f>
        <v>https://pbs.twimg.com/profile_banners/1103224267012014080/1628689993</v>
      </c>
      <c r="AQ73" s="80" t="b">
        <v>1</v>
      </c>
      <c r="AR73" s="80" t="b">
        <v>0</v>
      </c>
      <c r="AS73" s="80" t="b">
        <v>1</v>
      </c>
      <c r="AT73" s="80"/>
      <c r="AU73" s="80">
        <v>2</v>
      </c>
      <c r="AV73" s="80"/>
      <c r="AW73" s="80" t="b">
        <v>0</v>
      </c>
      <c r="AX73" s="80" t="s">
        <v>2141</v>
      </c>
      <c r="AY73" s="86" t="str">
        <f>HYPERLINK("https://twitter.com/aaponyholm")</f>
        <v>https://twitter.com/aaponyholm</v>
      </c>
      <c r="AZ73" s="80" t="s">
        <v>66</v>
      </c>
      <c r="BA73" s="80" t="str">
        <f>REPLACE(INDEX(GroupVertices[Group],MATCH(Vertices[[#This Row],[Vertex]],GroupVertices[Vertex],0)),1,1,"")</f>
        <v>2</v>
      </c>
      <c r="BB73" s="49">
        <v>0</v>
      </c>
      <c r="BC73" s="50">
        <v>0</v>
      </c>
      <c r="BD73" s="49">
        <v>0</v>
      </c>
      <c r="BE73" s="50">
        <v>0</v>
      </c>
      <c r="BF73" s="49">
        <v>0</v>
      </c>
      <c r="BG73" s="50">
        <v>0</v>
      </c>
      <c r="BH73" s="49">
        <v>6</v>
      </c>
      <c r="BI73" s="50">
        <v>100</v>
      </c>
      <c r="BJ73" s="49">
        <v>6</v>
      </c>
      <c r="BK73" s="49"/>
      <c r="BL73" s="49"/>
      <c r="BM73" s="49"/>
      <c r="BN73" s="49"/>
      <c r="BO73" s="49"/>
      <c r="BP73" s="49"/>
      <c r="BQ73" s="116" t="s">
        <v>4241</v>
      </c>
      <c r="BR73" s="116" t="s">
        <v>4241</v>
      </c>
      <c r="BS73" s="116" t="s">
        <v>4322</v>
      </c>
      <c r="BT73" s="116" t="s">
        <v>4322</v>
      </c>
      <c r="BU73" s="2"/>
      <c r="BV73" s="3"/>
      <c r="BW73" s="3"/>
      <c r="BX73" s="3"/>
      <c r="BY73" s="3"/>
    </row>
    <row r="74" spans="1:77" ht="15">
      <c r="A74" s="65" t="s">
        <v>286</v>
      </c>
      <c r="B74" s="66"/>
      <c r="C74" s="66" t="s">
        <v>64</v>
      </c>
      <c r="D74" s="67"/>
      <c r="E74" s="69"/>
      <c r="F74" s="104" t="str">
        <f>HYPERLINK("https://pbs.twimg.com/profile_images/1297295928437743619/6JZU2Fnz_normal.jpg")</f>
        <v>https://pbs.twimg.com/profile_images/1297295928437743619/6JZU2Fnz_normal.jpg</v>
      </c>
      <c r="G74" s="66"/>
      <c r="H74" s="70" t="s">
        <v>286</v>
      </c>
      <c r="I74" s="71" t="s">
        <v>4399</v>
      </c>
      <c r="J74" s="71" t="s">
        <v>73</v>
      </c>
      <c r="K74" s="70" t="s">
        <v>2212</v>
      </c>
      <c r="L74" s="74">
        <v>1</v>
      </c>
      <c r="M74" s="75">
        <v>4536.4716796875</v>
      </c>
      <c r="N74" s="75">
        <v>1356.132080078125</v>
      </c>
      <c r="O74" s="76"/>
      <c r="P74" s="77"/>
      <c r="Q74" s="77"/>
      <c r="R74" s="90"/>
      <c r="S74" s="49">
        <v>0</v>
      </c>
      <c r="T74" s="49">
        <v>1</v>
      </c>
      <c r="U74" s="50">
        <v>0</v>
      </c>
      <c r="V74" s="50">
        <v>0.199193</v>
      </c>
      <c r="W74" s="50">
        <v>0.006144</v>
      </c>
      <c r="X74" s="50">
        <v>0.003155</v>
      </c>
      <c r="Y74" s="50">
        <v>0</v>
      </c>
      <c r="Z74" s="50">
        <v>0</v>
      </c>
      <c r="AA74" s="72">
        <v>74</v>
      </c>
      <c r="AB74" s="72"/>
      <c r="AC74" s="73"/>
      <c r="AD74" s="80" t="s">
        <v>1305</v>
      </c>
      <c r="AE74" s="89" t="s">
        <v>1573</v>
      </c>
      <c r="AF74" s="80">
        <v>177</v>
      </c>
      <c r="AG74" s="80">
        <v>381</v>
      </c>
      <c r="AH74" s="80">
        <v>6943</v>
      </c>
      <c r="AI74" s="80">
        <v>30617</v>
      </c>
      <c r="AJ74" s="80"/>
      <c r="AK74" s="80" t="s">
        <v>1832</v>
      </c>
      <c r="AL74" s="80" t="s">
        <v>2063</v>
      </c>
      <c r="AM74" s="86" t="str">
        <f>HYPERLINK("https://t.co/UyDz1r0gDH")</f>
        <v>https://t.co/UyDz1r0gDH</v>
      </c>
      <c r="AN74" s="80"/>
      <c r="AO74" s="82">
        <v>43229.81414351852</v>
      </c>
      <c r="AP74" s="86" t="str">
        <f>HYPERLINK("https://pbs.twimg.com/profile_banners/994299053990129664/1605394047")</f>
        <v>https://pbs.twimg.com/profile_banners/994299053990129664/1605394047</v>
      </c>
      <c r="AQ74" s="80" t="b">
        <v>0</v>
      </c>
      <c r="AR74" s="80" t="b">
        <v>0</v>
      </c>
      <c r="AS74" s="80" t="b">
        <v>1</v>
      </c>
      <c r="AT74" s="80"/>
      <c r="AU74" s="80">
        <v>0</v>
      </c>
      <c r="AV74" s="86" t="str">
        <f>HYPERLINK("https://abs.twimg.com/images/themes/theme1/bg.png")</f>
        <v>https://abs.twimg.com/images/themes/theme1/bg.png</v>
      </c>
      <c r="AW74" s="80" t="b">
        <v>0</v>
      </c>
      <c r="AX74" s="80" t="s">
        <v>2141</v>
      </c>
      <c r="AY74" s="86" t="str">
        <f>HYPERLINK("https://twitter.com/tallella2")</f>
        <v>https://twitter.com/tallella2</v>
      </c>
      <c r="AZ74" s="80" t="s">
        <v>66</v>
      </c>
      <c r="BA74" s="80" t="str">
        <f>REPLACE(INDEX(GroupVertices[Group],MATCH(Vertices[[#This Row],[Vertex]],GroupVertices[Vertex],0)),1,1,"")</f>
        <v>2</v>
      </c>
      <c r="BB74" s="49">
        <v>0</v>
      </c>
      <c r="BC74" s="50">
        <v>0</v>
      </c>
      <c r="BD74" s="49">
        <v>0</v>
      </c>
      <c r="BE74" s="50">
        <v>0</v>
      </c>
      <c r="BF74" s="49">
        <v>0</v>
      </c>
      <c r="BG74" s="50">
        <v>0</v>
      </c>
      <c r="BH74" s="49">
        <v>6</v>
      </c>
      <c r="BI74" s="50">
        <v>100</v>
      </c>
      <c r="BJ74" s="49">
        <v>6</v>
      </c>
      <c r="BK74" s="49"/>
      <c r="BL74" s="49"/>
      <c r="BM74" s="49"/>
      <c r="BN74" s="49"/>
      <c r="BO74" s="49"/>
      <c r="BP74" s="49"/>
      <c r="BQ74" s="116" t="s">
        <v>4241</v>
      </c>
      <c r="BR74" s="116" t="s">
        <v>4241</v>
      </c>
      <c r="BS74" s="116" t="s">
        <v>4322</v>
      </c>
      <c r="BT74" s="116" t="s">
        <v>4322</v>
      </c>
      <c r="BU74" s="2"/>
      <c r="BV74" s="3"/>
      <c r="BW74" s="3"/>
      <c r="BX74" s="3"/>
      <c r="BY74" s="3"/>
    </row>
    <row r="75" spans="1:77" ht="15">
      <c r="A75" s="65" t="s">
        <v>287</v>
      </c>
      <c r="B75" s="66"/>
      <c r="C75" s="66" t="s">
        <v>64</v>
      </c>
      <c r="D75" s="67"/>
      <c r="E75" s="69"/>
      <c r="F75" s="104" t="str">
        <f>HYPERLINK("https://pbs.twimg.com/profile_images/1292530099347128320/82Z1J077_normal.jpg")</f>
        <v>https://pbs.twimg.com/profile_images/1292530099347128320/82Z1J077_normal.jpg</v>
      </c>
      <c r="G75" s="66"/>
      <c r="H75" s="70" t="s">
        <v>287</v>
      </c>
      <c r="I75" s="71" t="s">
        <v>4399</v>
      </c>
      <c r="J75" s="71" t="s">
        <v>73</v>
      </c>
      <c r="K75" s="70" t="s">
        <v>2213</v>
      </c>
      <c r="L75" s="74">
        <v>1</v>
      </c>
      <c r="M75" s="75">
        <v>7862.65625</v>
      </c>
      <c r="N75" s="75">
        <v>2373.103759765625</v>
      </c>
      <c r="O75" s="76"/>
      <c r="P75" s="77"/>
      <c r="Q75" s="77"/>
      <c r="R75" s="90"/>
      <c r="S75" s="49">
        <v>0</v>
      </c>
      <c r="T75" s="49">
        <v>1</v>
      </c>
      <c r="U75" s="50">
        <v>0</v>
      </c>
      <c r="V75" s="50">
        <v>0.199193</v>
      </c>
      <c r="W75" s="50">
        <v>0.006144</v>
      </c>
      <c r="X75" s="50">
        <v>0.003155</v>
      </c>
      <c r="Y75" s="50">
        <v>0</v>
      </c>
      <c r="Z75" s="50">
        <v>0</v>
      </c>
      <c r="AA75" s="72">
        <v>75</v>
      </c>
      <c r="AB75" s="72"/>
      <c r="AC75" s="73"/>
      <c r="AD75" s="80" t="s">
        <v>1306</v>
      </c>
      <c r="AE75" s="89" t="s">
        <v>1574</v>
      </c>
      <c r="AF75" s="80">
        <v>72</v>
      </c>
      <c r="AG75" s="80">
        <v>5</v>
      </c>
      <c r="AH75" s="80">
        <v>206</v>
      </c>
      <c r="AI75" s="80">
        <v>361</v>
      </c>
      <c r="AJ75" s="80"/>
      <c r="AK75" s="80" t="s">
        <v>1833</v>
      </c>
      <c r="AL75" s="80"/>
      <c r="AM75" s="80"/>
      <c r="AN75" s="80"/>
      <c r="AO75" s="82">
        <v>43760.832083333335</v>
      </c>
      <c r="AP75" s="86" t="str">
        <f>HYPERLINK("https://pbs.twimg.com/profile_banners/1186733459349348355/1639549839")</f>
        <v>https://pbs.twimg.com/profile_banners/1186733459349348355/1639549839</v>
      </c>
      <c r="AQ75" s="80" t="b">
        <v>1</v>
      </c>
      <c r="AR75" s="80" t="b">
        <v>0</v>
      </c>
      <c r="AS75" s="80" t="b">
        <v>0</v>
      </c>
      <c r="AT75" s="80"/>
      <c r="AU75" s="80">
        <v>0</v>
      </c>
      <c r="AV75" s="80"/>
      <c r="AW75" s="80" t="b">
        <v>0</v>
      </c>
      <c r="AX75" s="80" t="s">
        <v>2141</v>
      </c>
      <c r="AY75" s="86" t="str">
        <f>HYPERLINK("https://twitter.com/docjares")</f>
        <v>https://twitter.com/docjares</v>
      </c>
      <c r="AZ75" s="80" t="s">
        <v>66</v>
      </c>
      <c r="BA75" s="80" t="str">
        <f>REPLACE(INDEX(GroupVertices[Group],MATCH(Vertices[[#This Row],[Vertex]],GroupVertices[Vertex],0)),1,1,"")</f>
        <v>2</v>
      </c>
      <c r="BB75" s="49">
        <v>0</v>
      </c>
      <c r="BC75" s="50">
        <v>0</v>
      </c>
      <c r="BD75" s="49">
        <v>0</v>
      </c>
      <c r="BE75" s="50">
        <v>0</v>
      </c>
      <c r="BF75" s="49">
        <v>0</v>
      </c>
      <c r="BG75" s="50">
        <v>0</v>
      </c>
      <c r="BH75" s="49">
        <v>6</v>
      </c>
      <c r="BI75" s="50">
        <v>100</v>
      </c>
      <c r="BJ75" s="49">
        <v>6</v>
      </c>
      <c r="BK75" s="49"/>
      <c r="BL75" s="49"/>
      <c r="BM75" s="49"/>
      <c r="BN75" s="49"/>
      <c r="BO75" s="49"/>
      <c r="BP75" s="49"/>
      <c r="BQ75" s="116" t="s">
        <v>4241</v>
      </c>
      <c r="BR75" s="116" t="s">
        <v>4241</v>
      </c>
      <c r="BS75" s="116" t="s">
        <v>4322</v>
      </c>
      <c r="BT75" s="116" t="s">
        <v>4322</v>
      </c>
      <c r="BU75" s="2"/>
      <c r="BV75" s="3"/>
      <c r="BW75" s="3"/>
      <c r="BX75" s="3"/>
      <c r="BY75" s="3"/>
    </row>
    <row r="76" spans="1:77" ht="15">
      <c r="A76" s="65" t="s">
        <v>288</v>
      </c>
      <c r="B76" s="66"/>
      <c r="C76" s="66" t="s">
        <v>64</v>
      </c>
      <c r="D76" s="67">
        <v>10</v>
      </c>
      <c r="E76" s="69"/>
      <c r="F76" s="104" t="str">
        <f>HYPERLINK("https://pbs.twimg.com/profile_images/1457628999551700996/bXeOcT0h_normal.jpg")</f>
        <v>https://pbs.twimg.com/profile_images/1457628999551700996/bXeOcT0h_normal.jpg</v>
      </c>
      <c r="G76" s="66"/>
      <c r="H76" s="70" t="s">
        <v>288</v>
      </c>
      <c r="I76" s="71" t="s">
        <v>4398</v>
      </c>
      <c r="J76" s="71" t="s">
        <v>73</v>
      </c>
      <c r="K76" s="70" t="s">
        <v>2214</v>
      </c>
      <c r="L76" s="74">
        <v>99.01960784313725</v>
      </c>
      <c r="M76" s="75"/>
      <c r="N76" s="75"/>
      <c r="O76" s="76"/>
      <c r="P76" s="77"/>
      <c r="Q76" s="77"/>
      <c r="R76" s="90"/>
      <c r="S76" s="49">
        <v>1</v>
      </c>
      <c r="T76" s="49">
        <v>1</v>
      </c>
      <c r="U76" s="50">
        <v>0</v>
      </c>
      <c r="V76" s="50">
        <v>0</v>
      </c>
      <c r="W76" s="50">
        <v>0</v>
      </c>
      <c r="X76" s="50">
        <v>0.003623</v>
      </c>
      <c r="Y76" s="50">
        <v>0</v>
      </c>
      <c r="Z76" s="50">
        <v>0</v>
      </c>
      <c r="AA76" s="72">
        <v>76</v>
      </c>
      <c r="AB76" s="72"/>
      <c r="AC76" s="73"/>
      <c r="AD76" s="80" t="s">
        <v>1307</v>
      </c>
      <c r="AE76" s="89" t="s">
        <v>1575</v>
      </c>
      <c r="AF76" s="80">
        <v>1948</v>
      </c>
      <c r="AG76" s="80">
        <v>693</v>
      </c>
      <c r="AH76" s="80">
        <v>1649</v>
      </c>
      <c r="AI76" s="80">
        <v>1383</v>
      </c>
      <c r="AJ76" s="80"/>
      <c r="AK76" s="80" t="s">
        <v>1834</v>
      </c>
      <c r="AL76" s="80"/>
      <c r="AM76" s="80"/>
      <c r="AN76" s="80"/>
      <c r="AO76" s="82">
        <v>44151.34542824074</v>
      </c>
      <c r="AP76" s="86" t="str">
        <f>HYPERLINK("https://pbs.twimg.com/profile_banners/1328250727660216321/1636360312")</f>
        <v>https://pbs.twimg.com/profile_banners/1328250727660216321/1636360312</v>
      </c>
      <c r="AQ76" s="80" t="b">
        <v>1</v>
      </c>
      <c r="AR76" s="80" t="b">
        <v>0</v>
      </c>
      <c r="AS76" s="80" t="b">
        <v>0</v>
      </c>
      <c r="AT76" s="80"/>
      <c r="AU76" s="80">
        <v>2</v>
      </c>
      <c r="AV76" s="80"/>
      <c r="AW76" s="80" t="b">
        <v>0</v>
      </c>
      <c r="AX76" s="80" t="s">
        <v>2141</v>
      </c>
      <c r="AY76" s="86" t="str">
        <f>HYPERLINK("https://twitter.com/koala79124457")</f>
        <v>https://twitter.com/koala79124457</v>
      </c>
      <c r="AZ76" s="80" t="s">
        <v>66</v>
      </c>
      <c r="BA76" s="80" t="str">
        <f>REPLACE(INDEX(GroupVertices[Group],MATCH(Vertices[[#This Row],[Vertex]],GroupVertices[Vertex],0)),1,1,"")</f>
        <v>3</v>
      </c>
      <c r="BB76" s="49">
        <v>0</v>
      </c>
      <c r="BC76" s="50">
        <v>0</v>
      </c>
      <c r="BD76" s="49">
        <v>0</v>
      </c>
      <c r="BE76" s="50">
        <v>0</v>
      </c>
      <c r="BF76" s="49">
        <v>0</v>
      </c>
      <c r="BG76" s="50">
        <v>0</v>
      </c>
      <c r="BH76" s="49">
        <v>36</v>
      </c>
      <c r="BI76" s="50">
        <v>100</v>
      </c>
      <c r="BJ76" s="49">
        <v>36</v>
      </c>
      <c r="BK76" s="49"/>
      <c r="BL76" s="49"/>
      <c r="BM76" s="49"/>
      <c r="BN76" s="49"/>
      <c r="BO76" s="49"/>
      <c r="BP76" s="49"/>
      <c r="BQ76" s="116" t="s">
        <v>4251</v>
      </c>
      <c r="BR76" s="116" t="s">
        <v>4251</v>
      </c>
      <c r="BS76" s="116" t="s">
        <v>4332</v>
      </c>
      <c r="BT76" s="116" t="s">
        <v>4332</v>
      </c>
      <c r="BU76" s="2"/>
      <c r="BV76" s="3"/>
      <c r="BW76" s="3"/>
      <c r="BX76" s="3"/>
      <c r="BY76" s="3"/>
    </row>
    <row r="77" spans="1:77" ht="15">
      <c r="A77" s="65" t="s">
        <v>289</v>
      </c>
      <c r="B77" s="66"/>
      <c r="C77" s="66" t="s">
        <v>64</v>
      </c>
      <c r="D77" s="67"/>
      <c r="E77" s="69"/>
      <c r="F77" s="104" t="str">
        <f>HYPERLINK("https://pbs.twimg.com/profile_images/1372863925704925184/VNB9h30Q_normal.jpg")</f>
        <v>https://pbs.twimg.com/profile_images/1372863925704925184/VNB9h30Q_normal.jpg</v>
      </c>
      <c r="G77" s="66"/>
      <c r="H77" s="70" t="s">
        <v>289</v>
      </c>
      <c r="I77" s="71" t="s">
        <v>4399</v>
      </c>
      <c r="J77" s="71" t="s">
        <v>73</v>
      </c>
      <c r="K77" s="70" t="s">
        <v>2215</v>
      </c>
      <c r="L77" s="74">
        <v>1</v>
      </c>
      <c r="M77" s="75">
        <v>3824.993896484375</v>
      </c>
      <c r="N77" s="75">
        <v>467.47314453125</v>
      </c>
      <c r="O77" s="76"/>
      <c r="P77" s="77"/>
      <c r="Q77" s="77"/>
      <c r="R77" s="90"/>
      <c r="S77" s="49">
        <v>0</v>
      </c>
      <c r="T77" s="49">
        <v>1</v>
      </c>
      <c r="U77" s="50">
        <v>0</v>
      </c>
      <c r="V77" s="50">
        <v>0.199193</v>
      </c>
      <c r="W77" s="50">
        <v>0.006144</v>
      </c>
      <c r="X77" s="50">
        <v>0.003155</v>
      </c>
      <c r="Y77" s="50">
        <v>0</v>
      </c>
      <c r="Z77" s="50">
        <v>0</v>
      </c>
      <c r="AA77" s="72">
        <v>77</v>
      </c>
      <c r="AB77" s="72"/>
      <c r="AC77" s="73"/>
      <c r="AD77" s="80" t="s">
        <v>1308</v>
      </c>
      <c r="AE77" s="89" t="s">
        <v>1576</v>
      </c>
      <c r="AF77" s="80">
        <v>259</v>
      </c>
      <c r="AG77" s="80">
        <v>34</v>
      </c>
      <c r="AH77" s="80">
        <v>2932</v>
      </c>
      <c r="AI77" s="80">
        <v>15615</v>
      </c>
      <c r="AJ77" s="80"/>
      <c r="AK77" s="80" t="s">
        <v>1835</v>
      </c>
      <c r="AL77" s="80"/>
      <c r="AM77" s="80"/>
      <c r="AN77" s="80"/>
      <c r="AO77" s="82">
        <v>43903.363703703704</v>
      </c>
      <c r="AP77" s="80"/>
      <c r="AQ77" s="80" t="b">
        <v>1</v>
      </c>
      <c r="AR77" s="80" t="b">
        <v>0</v>
      </c>
      <c r="AS77" s="80" t="b">
        <v>0</v>
      </c>
      <c r="AT77" s="80"/>
      <c r="AU77" s="80">
        <v>0</v>
      </c>
      <c r="AV77" s="80"/>
      <c r="AW77" s="80" t="b">
        <v>0</v>
      </c>
      <c r="AX77" s="80" t="s">
        <v>2141</v>
      </c>
      <c r="AY77" s="86" t="str">
        <f>HYPERLINK("https://twitter.com/hamalainenster")</f>
        <v>https://twitter.com/hamalainenster</v>
      </c>
      <c r="AZ77" s="80" t="s">
        <v>66</v>
      </c>
      <c r="BA77" s="80" t="str">
        <f>REPLACE(INDEX(GroupVertices[Group],MATCH(Vertices[[#This Row],[Vertex]],GroupVertices[Vertex],0)),1,1,"")</f>
        <v>2</v>
      </c>
      <c r="BB77" s="49">
        <v>0</v>
      </c>
      <c r="BC77" s="50">
        <v>0</v>
      </c>
      <c r="BD77" s="49">
        <v>0</v>
      </c>
      <c r="BE77" s="50">
        <v>0</v>
      </c>
      <c r="BF77" s="49">
        <v>0</v>
      </c>
      <c r="BG77" s="50">
        <v>0</v>
      </c>
      <c r="BH77" s="49">
        <v>6</v>
      </c>
      <c r="BI77" s="50">
        <v>100</v>
      </c>
      <c r="BJ77" s="49">
        <v>6</v>
      </c>
      <c r="BK77" s="49"/>
      <c r="BL77" s="49"/>
      <c r="BM77" s="49"/>
      <c r="BN77" s="49"/>
      <c r="BO77" s="49"/>
      <c r="BP77" s="49"/>
      <c r="BQ77" s="116" t="s">
        <v>4241</v>
      </c>
      <c r="BR77" s="116" t="s">
        <v>4241</v>
      </c>
      <c r="BS77" s="116" t="s">
        <v>4322</v>
      </c>
      <c r="BT77" s="116" t="s">
        <v>4322</v>
      </c>
      <c r="BU77" s="2"/>
      <c r="BV77" s="3"/>
      <c r="BW77" s="3"/>
      <c r="BX77" s="3"/>
      <c r="BY77" s="3"/>
    </row>
    <row r="78" spans="1:77" ht="15">
      <c r="A78" s="65" t="s">
        <v>290</v>
      </c>
      <c r="B78" s="66"/>
      <c r="C78" s="66" t="s">
        <v>64</v>
      </c>
      <c r="D78" s="67"/>
      <c r="E78" s="69"/>
      <c r="F78" s="104" t="str">
        <f>HYPERLINK("https://pbs.twimg.com/profile_images/1328697490904915969/9MFcpS4t_normal.jpg")</f>
        <v>https://pbs.twimg.com/profile_images/1328697490904915969/9MFcpS4t_normal.jpg</v>
      </c>
      <c r="G78" s="66"/>
      <c r="H78" s="70" t="s">
        <v>290</v>
      </c>
      <c r="I78" s="71" t="s">
        <v>4399</v>
      </c>
      <c r="J78" s="71" t="s">
        <v>73</v>
      </c>
      <c r="K78" s="70" t="s">
        <v>2216</v>
      </c>
      <c r="L78" s="74">
        <v>1</v>
      </c>
      <c r="M78" s="75">
        <v>5730.1689453125</v>
      </c>
      <c r="N78" s="75">
        <v>1037.496826171875</v>
      </c>
      <c r="O78" s="76"/>
      <c r="P78" s="77"/>
      <c r="Q78" s="77"/>
      <c r="R78" s="90"/>
      <c r="S78" s="49">
        <v>0</v>
      </c>
      <c r="T78" s="49">
        <v>1</v>
      </c>
      <c r="U78" s="50">
        <v>0</v>
      </c>
      <c r="V78" s="50">
        <v>0.199193</v>
      </c>
      <c r="W78" s="50">
        <v>0.006144</v>
      </c>
      <c r="X78" s="50">
        <v>0.003155</v>
      </c>
      <c r="Y78" s="50">
        <v>0</v>
      </c>
      <c r="Z78" s="50">
        <v>0</v>
      </c>
      <c r="AA78" s="72">
        <v>78</v>
      </c>
      <c r="AB78" s="72"/>
      <c r="AC78" s="73"/>
      <c r="AD78" s="80" t="s">
        <v>1309</v>
      </c>
      <c r="AE78" s="89" t="s">
        <v>1577</v>
      </c>
      <c r="AF78" s="80">
        <v>324</v>
      </c>
      <c r="AG78" s="80">
        <v>54</v>
      </c>
      <c r="AH78" s="80">
        <v>119</v>
      </c>
      <c r="AI78" s="80">
        <v>1388</v>
      </c>
      <c r="AJ78" s="80"/>
      <c r="AK78" s="80" t="s">
        <v>1836</v>
      </c>
      <c r="AL78" s="80" t="s">
        <v>2064</v>
      </c>
      <c r="AM78" s="86" t="str">
        <f>HYPERLINK("https://t.co/hum4j0vca1")</f>
        <v>https://t.co/hum4j0vca1</v>
      </c>
      <c r="AN78" s="80"/>
      <c r="AO78" s="82">
        <v>40522.82545138889</v>
      </c>
      <c r="AP78" s="86" t="str">
        <f>HYPERLINK("https://pbs.twimg.com/profile_banners/225134792/1539794069")</f>
        <v>https://pbs.twimg.com/profile_banners/225134792/1539794069</v>
      </c>
      <c r="AQ78" s="80" t="b">
        <v>1</v>
      </c>
      <c r="AR78" s="80" t="b">
        <v>0</v>
      </c>
      <c r="AS78" s="80" t="b">
        <v>0</v>
      </c>
      <c r="AT78" s="80"/>
      <c r="AU78" s="80">
        <v>0</v>
      </c>
      <c r="AV78" s="86" t="str">
        <f>HYPERLINK("https://abs.twimg.com/images/themes/theme1/bg.png")</f>
        <v>https://abs.twimg.com/images/themes/theme1/bg.png</v>
      </c>
      <c r="AW78" s="80" t="b">
        <v>0</v>
      </c>
      <c r="AX78" s="80" t="s">
        <v>2141</v>
      </c>
      <c r="AY78" s="86" t="str">
        <f>HYPERLINK("https://twitter.com/teemukorpiaho")</f>
        <v>https://twitter.com/teemukorpiaho</v>
      </c>
      <c r="AZ78" s="80" t="s">
        <v>66</v>
      </c>
      <c r="BA78" s="80" t="str">
        <f>REPLACE(INDEX(GroupVertices[Group],MATCH(Vertices[[#This Row],[Vertex]],GroupVertices[Vertex],0)),1,1,"")</f>
        <v>2</v>
      </c>
      <c r="BB78" s="49">
        <v>0</v>
      </c>
      <c r="BC78" s="50">
        <v>0</v>
      </c>
      <c r="BD78" s="49">
        <v>0</v>
      </c>
      <c r="BE78" s="50">
        <v>0</v>
      </c>
      <c r="BF78" s="49">
        <v>0</v>
      </c>
      <c r="BG78" s="50">
        <v>0</v>
      </c>
      <c r="BH78" s="49">
        <v>6</v>
      </c>
      <c r="BI78" s="50">
        <v>100</v>
      </c>
      <c r="BJ78" s="49">
        <v>6</v>
      </c>
      <c r="BK78" s="49"/>
      <c r="BL78" s="49"/>
      <c r="BM78" s="49"/>
      <c r="BN78" s="49"/>
      <c r="BO78" s="49"/>
      <c r="BP78" s="49"/>
      <c r="BQ78" s="116" t="s">
        <v>4241</v>
      </c>
      <c r="BR78" s="116" t="s">
        <v>4241</v>
      </c>
      <c r="BS78" s="116" t="s">
        <v>4322</v>
      </c>
      <c r="BT78" s="116" t="s">
        <v>4322</v>
      </c>
      <c r="BU78" s="2"/>
      <c r="BV78" s="3"/>
      <c r="BW78" s="3"/>
      <c r="BX78" s="3"/>
      <c r="BY78" s="3"/>
    </row>
    <row r="79" spans="1:77" ht="15">
      <c r="A79" s="65" t="s">
        <v>291</v>
      </c>
      <c r="B79" s="66"/>
      <c r="C79" s="66" t="s">
        <v>64</v>
      </c>
      <c r="D79" s="67"/>
      <c r="E79" s="69"/>
      <c r="F79" s="104" t="str">
        <f>HYPERLINK("https://pbs.twimg.com/profile_images/1073895947183243265/XDksJfHt_normal.jpg")</f>
        <v>https://pbs.twimg.com/profile_images/1073895947183243265/XDksJfHt_normal.jpg</v>
      </c>
      <c r="G79" s="66"/>
      <c r="H79" s="70" t="s">
        <v>291</v>
      </c>
      <c r="I79" s="71" t="s">
        <v>4399</v>
      </c>
      <c r="J79" s="71" t="s">
        <v>73</v>
      </c>
      <c r="K79" s="70" t="s">
        <v>2217</v>
      </c>
      <c r="L79" s="74">
        <v>1</v>
      </c>
      <c r="M79" s="75">
        <v>7393.91015625</v>
      </c>
      <c r="N79" s="75">
        <v>3435.551025390625</v>
      </c>
      <c r="O79" s="76"/>
      <c r="P79" s="77"/>
      <c r="Q79" s="77"/>
      <c r="R79" s="90"/>
      <c r="S79" s="49">
        <v>0</v>
      </c>
      <c r="T79" s="49">
        <v>1</v>
      </c>
      <c r="U79" s="50">
        <v>0</v>
      </c>
      <c r="V79" s="50">
        <v>0.199193</v>
      </c>
      <c r="W79" s="50">
        <v>0.006144</v>
      </c>
      <c r="X79" s="50">
        <v>0.003155</v>
      </c>
      <c r="Y79" s="50">
        <v>0</v>
      </c>
      <c r="Z79" s="50">
        <v>0</v>
      </c>
      <c r="AA79" s="72">
        <v>79</v>
      </c>
      <c r="AB79" s="72"/>
      <c r="AC79" s="73"/>
      <c r="AD79" s="80" t="s">
        <v>1310</v>
      </c>
      <c r="AE79" s="89" t="s">
        <v>1578</v>
      </c>
      <c r="AF79" s="80">
        <v>1260</v>
      </c>
      <c r="AG79" s="80">
        <v>504</v>
      </c>
      <c r="AH79" s="80">
        <v>3794</v>
      </c>
      <c r="AI79" s="80">
        <v>6827</v>
      </c>
      <c r="AJ79" s="80"/>
      <c r="AK79" s="80" t="s">
        <v>1837</v>
      </c>
      <c r="AL79" s="80" t="s">
        <v>2065</v>
      </c>
      <c r="AM79" s="80"/>
      <c r="AN79" s="80"/>
      <c r="AO79" s="82">
        <v>40010.558587962965</v>
      </c>
      <c r="AP79" s="80"/>
      <c r="AQ79" s="80" t="b">
        <v>1</v>
      </c>
      <c r="AR79" s="80" t="b">
        <v>0</v>
      </c>
      <c r="AS79" s="80" t="b">
        <v>1</v>
      </c>
      <c r="AT79" s="80"/>
      <c r="AU79" s="80">
        <v>3</v>
      </c>
      <c r="AV79" s="86" t="str">
        <f>HYPERLINK("https://abs.twimg.com/images/themes/theme1/bg.png")</f>
        <v>https://abs.twimg.com/images/themes/theme1/bg.png</v>
      </c>
      <c r="AW79" s="80" t="b">
        <v>0</v>
      </c>
      <c r="AX79" s="80" t="s">
        <v>2141</v>
      </c>
      <c r="AY79" s="86" t="str">
        <f>HYPERLINK("https://twitter.com/lauriloven")</f>
        <v>https://twitter.com/lauriloven</v>
      </c>
      <c r="AZ79" s="80" t="s">
        <v>66</v>
      </c>
      <c r="BA79" s="80" t="str">
        <f>REPLACE(INDEX(GroupVertices[Group],MATCH(Vertices[[#This Row],[Vertex]],GroupVertices[Vertex],0)),1,1,"")</f>
        <v>2</v>
      </c>
      <c r="BB79" s="49">
        <v>0</v>
      </c>
      <c r="BC79" s="50">
        <v>0</v>
      </c>
      <c r="BD79" s="49">
        <v>0</v>
      </c>
      <c r="BE79" s="50">
        <v>0</v>
      </c>
      <c r="BF79" s="49">
        <v>0</v>
      </c>
      <c r="BG79" s="50">
        <v>0</v>
      </c>
      <c r="BH79" s="49">
        <v>6</v>
      </c>
      <c r="BI79" s="50">
        <v>100</v>
      </c>
      <c r="BJ79" s="49">
        <v>6</v>
      </c>
      <c r="BK79" s="49"/>
      <c r="BL79" s="49"/>
      <c r="BM79" s="49"/>
      <c r="BN79" s="49"/>
      <c r="BO79" s="49"/>
      <c r="BP79" s="49"/>
      <c r="BQ79" s="116" t="s">
        <v>4241</v>
      </c>
      <c r="BR79" s="116" t="s">
        <v>4241</v>
      </c>
      <c r="BS79" s="116" t="s">
        <v>4322</v>
      </c>
      <c r="BT79" s="116" t="s">
        <v>4322</v>
      </c>
      <c r="BU79" s="2"/>
      <c r="BV79" s="3"/>
      <c r="BW79" s="3"/>
      <c r="BX79" s="3"/>
      <c r="BY79" s="3"/>
    </row>
    <row r="80" spans="1:77" ht="15">
      <c r="A80" s="65" t="s">
        <v>292</v>
      </c>
      <c r="B80" s="66"/>
      <c r="C80" s="66" t="s">
        <v>64</v>
      </c>
      <c r="D80" s="67"/>
      <c r="E80" s="69"/>
      <c r="F80" s="104" t="str">
        <f>HYPERLINK("https://pbs.twimg.com/profile_images/1251609285718618113/FadYJkWm_normal.jpg")</f>
        <v>https://pbs.twimg.com/profile_images/1251609285718618113/FadYJkWm_normal.jpg</v>
      </c>
      <c r="G80" s="66"/>
      <c r="H80" s="70" t="s">
        <v>292</v>
      </c>
      <c r="I80" s="71" t="s">
        <v>4399</v>
      </c>
      <c r="J80" s="71" t="s">
        <v>73</v>
      </c>
      <c r="K80" s="70" t="s">
        <v>2218</v>
      </c>
      <c r="L80" s="74">
        <v>1</v>
      </c>
      <c r="M80" s="75">
        <v>8966.7607421875</v>
      </c>
      <c r="N80" s="75">
        <v>1040.6414794921875</v>
      </c>
      <c r="O80" s="76"/>
      <c r="P80" s="77"/>
      <c r="Q80" s="77"/>
      <c r="R80" s="90"/>
      <c r="S80" s="49">
        <v>0</v>
      </c>
      <c r="T80" s="49">
        <v>1</v>
      </c>
      <c r="U80" s="50">
        <v>0</v>
      </c>
      <c r="V80" s="50">
        <v>0.199193</v>
      </c>
      <c r="W80" s="50">
        <v>0.006144</v>
      </c>
      <c r="X80" s="50">
        <v>0.003155</v>
      </c>
      <c r="Y80" s="50">
        <v>0</v>
      </c>
      <c r="Z80" s="50">
        <v>0</v>
      </c>
      <c r="AA80" s="72">
        <v>80</v>
      </c>
      <c r="AB80" s="72"/>
      <c r="AC80" s="73"/>
      <c r="AD80" s="80" t="s">
        <v>1311</v>
      </c>
      <c r="AE80" s="89" t="s">
        <v>1579</v>
      </c>
      <c r="AF80" s="80">
        <v>625</v>
      </c>
      <c r="AG80" s="80">
        <v>535</v>
      </c>
      <c r="AH80" s="80">
        <v>10417</v>
      </c>
      <c r="AI80" s="80">
        <v>46729</v>
      </c>
      <c r="AJ80" s="80"/>
      <c r="AK80" s="80" t="s">
        <v>1838</v>
      </c>
      <c r="AL80" s="80" t="s">
        <v>2066</v>
      </c>
      <c r="AM80" s="80"/>
      <c r="AN80" s="80"/>
      <c r="AO80" s="82">
        <v>40773.783842592595</v>
      </c>
      <c r="AP80" s="86" t="str">
        <f>HYPERLINK("https://pbs.twimg.com/profile_banners/357674191/1587241601")</f>
        <v>https://pbs.twimg.com/profile_banners/357674191/1587241601</v>
      </c>
      <c r="AQ80" s="80" t="b">
        <v>0</v>
      </c>
      <c r="AR80" s="80" t="b">
        <v>0</v>
      </c>
      <c r="AS80" s="80" t="b">
        <v>0</v>
      </c>
      <c r="AT80" s="80"/>
      <c r="AU80" s="80">
        <v>6</v>
      </c>
      <c r="AV80" s="86" t="str">
        <f>HYPERLINK("https://abs.twimg.com/images/themes/theme14/bg.gif")</f>
        <v>https://abs.twimg.com/images/themes/theme14/bg.gif</v>
      </c>
      <c r="AW80" s="80" t="b">
        <v>0</v>
      </c>
      <c r="AX80" s="80" t="s">
        <v>2141</v>
      </c>
      <c r="AY80" s="86" t="str">
        <f>HYPERLINK("https://twitter.com/sansincisor")</f>
        <v>https://twitter.com/sansincisor</v>
      </c>
      <c r="AZ80" s="80" t="s">
        <v>66</v>
      </c>
      <c r="BA80" s="80" t="str">
        <f>REPLACE(INDEX(GroupVertices[Group],MATCH(Vertices[[#This Row],[Vertex]],GroupVertices[Vertex],0)),1,1,"")</f>
        <v>2</v>
      </c>
      <c r="BB80" s="49">
        <v>0</v>
      </c>
      <c r="BC80" s="50">
        <v>0</v>
      </c>
      <c r="BD80" s="49">
        <v>0</v>
      </c>
      <c r="BE80" s="50">
        <v>0</v>
      </c>
      <c r="BF80" s="49">
        <v>0</v>
      </c>
      <c r="BG80" s="50">
        <v>0</v>
      </c>
      <c r="BH80" s="49">
        <v>6</v>
      </c>
      <c r="BI80" s="50">
        <v>100</v>
      </c>
      <c r="BJ80" s="49">
        <v>6</v>
      </c>
      <c r="BK80" s="49"/>
      <c r="BL80" s="49"/>
      <c r="BM80" s="49"/>
      <c r="BN80" s="49"/>
      <c r="BO80" s="49"/>
      <c r="BP80" s="49"/>
      <c r="BQ80" s="116" t="s">
        <v>4241</v>
      </c>
      <c r="BR80" s="116" t="s">
        <v>4241</v>
      </c>
      <c r="BS80" s="116" t="s">
        <v>4322</v>
      </c>
      <c r="BT80" s="116" t="s">
        <v>4322</v>
      </c>
      <c r="BU80" s="2"/>
      <c r="BV80" s="3"/>
      <c r="BW80" s="3"/>
      <c r="BX80" s="3"/>
      <c r="BY80" s="3"/>
    </row>
    <row r="81" spans="1:77" ht="15">
      <c r="A81" s="65" t="s">
        <v>293</v>
      </c>
      <c r="B81" s="66"/>
      <c r="C81" s="66" t="s">
        <v>64</v>
      </c>
      <c r="D81" s="67"/>
      <c r="E81" s="69"/>
      <c r="F81" s="104" t="str">
        <f>HYPERLINK("https://pbs.twimg.com/profile_images/1271499199901765632/cDsFeSlx_normal.jpg")</f>
        <v>https://pbs.twimg.com/profile_images/1271499199901765632/cDsFeSlx_normal.jpg</v>
      </c>
      <c r="G81" s="66"/>
      <c r="H81" s="70" t="s">
        <v>293</v>
      </c>
      <c r="I81" s="71" t="s">
        <v>4399</v>
      </c>
      <c r="J81" s="71" t="s">
        <v>73</v>
      </c>
      <c r="K81" s="70" t="s">
        <v>2219</v>
      </c>
      <c r="L81" s="74">
        <v>1</v>
      </c>
      <c r="M81" s="75">
        <v>6826.16943359375</v>
      </c>
      <c r="N81" s="75">
        <v>3591.673828125</v>
      </c>
      <c r="O81" s="76"/>
      <c r="P81" s="77"/>
      <c r="Q81" s="77"/>
      <c r="R81" s="90"/>
      <c r="S81" s="49">
        <v>0</v>
      </c>
      <c r="T81" s="49">
        <v>1</v>
      </c>
      <c r="U81" s="50">
        <v>0</v>
      </c>
      <c r="V81" s="50">
        <v>0.199193</v>
      </c>
      <c r="W81" s="50">
        <v>0.006144</v>
      </c>
      <c r="X81" s="50">
        <v>0.003155</v>
      </c>
      <c r="Y81" s="50">
        <v>0</v>
      </c>
      <c r="Z81" s="50">
        <v>0</v>
      </c>
      <c r="AA81" s="72">
        <v>81</v>
      </c>
      <c r="AB81" s="72"/>
      <c r="AC81" s="73"/>
      <c r="AD81" s="80" t="s">
        <v>1312</v>
      </c>
      <c r="AE81" s="89" t="s">
        <v>1580</v>
      </c>
      <c r="AF81" s="80">
        <v>227</v>
      </c>
      <c r="AG81" s="80">
        <v>217</v>
      </c>
      <c r="AH81" s="80">
        <v>16270</v>
      </c>
      <c r="AI81" s="80">
        <v>46834</v>
      </c>
      <c r="AJ81" s="80"/>
      <c r="AK81" s="80" t="s">
        <v>1839</v>
      </c>
      <c r="AL81" s="80" t="s">
        <v>2059</v>
      </c>
      <c r="AM81" s="86" t="str">
        <f>HYPERLINK("https://t.co/KexETxhP5J")</f>
        <v>https://t.co/KexETxhP5J</v>
      </c>
      <c r="AN81" s="80"/>
      <c r="AO81" s="82">
        <v>41847.469039351854</v>
      </c>
      <c r="AP81" s="86" t="str">
        <f>HYPERLINK("https://pbs.twimg.com/profile_banners/2726241130/1574631850")</f>
        <v>https://pbs.twimg.com/profile_banners/2726241130/1574631850</v>
      </c>
      <c r="AQ81" s="80" t="b">
        <v>1</v>
      </c>
      <c r="AR81" s="80" t="b">
        <v>0</v>
      </c>
      <c r="AS81" s="80" t="b">
        <v>1</v>
      </c>
      <c r="AT81" s="80"/>
      <c r="AU81" s="80">
        <v>2</v>
      </c>
      <c r="AV81" s="86" t="str">
        <f>HYPERLINK("https://abs.twimg.com/images/themes/theme1/bg.png")</f>
        <v>https://abs.twimg.com/images/themes/theme1/bg.png</v>
      </c>
      <c r="AW81" s="80" t="b">
        <v>0</v>
      </c>
      <c r="AX81" s="80" t="s">
        <v>2141</v>
      </c>
      <c r="AY81" s="86" t="str">
        <f>HYPERLINK("https://twitter.com/nekoliini")</f>
        <v>https://twitter.com/nekoliini</v>
      </c>
      <c r="AZ81" s="80" t="s">
        <v>66</v>
      </c>
      <c r="BA81" s="80" t="str">
        <f>REPLACE(INDEX(GroupVertices[Group],MATCH(Vertices[[#This Row],[Vertex]],GroupVertices[Vertex],0)),1,1,"")</f>
        <v>2</v>
      </c>
      <c r="BB81" s="49">
        <v>0</v>
      </c>
      <c r="BC81" s="50">
        <v>0</v>
      </c>
      <c r="BD81" s="49">
        <v>0</v>
      </c>
      <c r="BE81" s="50">
        <v>0</v>
      </c>
      <c r="BF81" s="49">
        <v>0</v>
      </c>
      <c r="BG81" s="50">
        <v>0</v>
      </c>
      <c r="BH81" s="49">
        <v>6</v>
      </c>
      <c r="BI81" s="50">
        <v>100</v>
      </c>
      <c r="BJ81" s="49">
        <v>6</v>
      </c>
      <c r="BK81" s="49"/>
      <c r="BL81" s="49"/>
      <c r="BM81" s="49"/>
      <c r="BN81" s="49"/>
      <c r="BO81" s="49"/>
      <c r="BP81" s="49"/>
      <c r="BQ81" s="116" t="s">
        <v>4241</v>
      </c>
      <c r="BR81" s="116" t="s">
        <v>4241</v>
      </c>
      <c r="BS81" s="116" t="s">
        <v>4322</v>
      </c>
      <c r="BT81" s="116" t="s">
        <v>4322</v>
      </c>
      <c r="BU81" s="2"/>
      <c r="BV81" s="3"/>
      <c r="BW81" s="3"/>
      <c r="BX81" s="3"/>
      <c r="BY81" s="3"/>
    </row>
    <row r="82" spans="1:77" ht="15">
      <c r="A82" s="65" t="s">
        <v>294</v>
      </c>
      <c r="B82" s="66"/>
      <c r="C82" s="66" t="s">
        <v>64</v>
      </c>
      <c r="D82" s="67"/>
      <c r="E82" s="69"/>
      <c r="F82" s="104" t="str">
        <f>HYPERLINK("https://pbs.twimg.com/profile_images/1497455308515463169/-kt_QWcV_normal.png")</f>
        <v>https://pbs.twimg.com/profile_images/1497455308515463169/-kt_QWcV_normal.png</v>
      </c>
      <c r="G82" s="66"/>
      <c r="H82" s="70" t="s">
        <v>294</v>
      </c>
      <c r="I82" s="71" t="s">
        <v>4399</v>
      </c>
      <c r="J82" s="71" t="s">
        <v>73</v>
      </c>
      <c r="K82" s="70" t="s">
        <v>2220</v>
      </c>
      <c r="L82" s="74">
        <v>1</v>
      </c>
      <c r="M82" s="75">
        <v>6524.685546875</v>
      </c>
      <c r="N82" s="75">
        <v>797.7951049804688</v>
      </c>
      <c r="O82" s="76"/>
      <c r="P82" s="77"/>
      <c r="Q82" s="77"/>
      <c r="R82" s="90"/>
      <c r="S82" s="49">
        <v>0</v>
      </c>
      <c r="T82" s="49">
        <v>1</v>
      </c>
      <c r="U82" s="50">
        <v>0</v>
      </c>
      <c r="V82" s="50">
        <v>0.199193</v>
      </c>
      <c r="W82" s="50">
        <v>0.006144</v>
      </c>
      <c r="X82" s="50">
        <v>0.003155</v>
      </c>
      <c r="Y82" s="50">
        <v>0</v>
      </c>
      <c r="Z82" s="50">
        <v>0</v>
      </c>
      <c r="AA82" s="72">
        <v>82</v>
      </c>
      <c r="AB82" s="72"/>
      <c r="AC82" s="73"/>
      <c r="AD82" s="80" t="s">
        <v>1313</v>
      </c>
      <c r="AE82" s="89" t="s">
        <v>1581</v>
      </c>
      <c r="AF82" s="80">
        <v>43</v>
      </c>
      <c r="AG82" s="80">
        <v>3</v>
      </c>
      <c r="AH82" s="80">
        <v>599</v>
      </c>
      <c r="AI82" s="80">
        <v>2238</v>
      </c>
      <c r="AJ82" s="80"/>
      <c r="AK82" s="80" t="s">
        <v>1840</v>
      </c>
      <c r="AL82" s="80"/>
      <c r="AM82" s="80"/>
      <c r="AN82" s="80"/>
      <c r="AO82" s="82">
        <v>44618.2608912037</v>
      </c>
      <c r="AP82" s="86" t="str">
        <f>HYPERLINK("https://pbs.twimg.com/profile_banners/1497455193969070080/1646502955")</f>
        <v>https://pbs.twimg.com/profile_banners/1497455193969070080/1646502955</v>
      </c>
      <c r="AQ82" s="80" t="b">
        <v>1</v>
      </c>
      <c r="AR82" s="80" t="b">
        <v>0</v>
      </c>
      <c r="AS82" s="80" t="b">
        <v>0</v>
      </c>
      <c r="AT82" s="80"/>
      <c r="AU82" s="80">
        <v>0</v>
      </c>
      <c r="AV82" s="80"/>
      <c r="AW82" s="80" t="b">
        <v>0</v>
      </c>
      <c r="AX82" s="80" t="s">
        <v>2141</v>
      </c>
      <c r="AY82" s="86" t="str">
        <f>HYPERLINK("https://twitter.com/ragzila")</f>
        <v>https://twitter.com/ragzila</v>
      </c>
      <c r="AZ82" s="80" t="s">
        <v>66</v>
      </c>
      <c r="BA82" s="80" t="str">
        <f>REPLACE(INDEX(GroupVertices[Group],MATCH(Vertices[[#This Row],[Vertex]],GroupVertices[Vertex],0)),1,1,"")</f>
        <v>2</v>
      </c>
      <c r="BB82" s="49">
        <v>0</v>
      </c>
      <c r="BC82" s="50">
        <v>0</v>
      </c>
      <c r="BD82" s="49">
        <v>0</v>
      </c>
      <c r="BE82" s="50">
        <v>0</v>
      </c>
      <c r="BF82" s="49">
        <v>0</v>
      </c>
      <c r="BG82" s="50">
        <v>0</v>
      </c>
      <c r="BH82" s="49">
        <v>6</v>
      </c>
      <c r="BI82" s="50">
        <v>100</v>
      </c>
      <c r="BJ82" s="49">
        <v>6</v>
      </c>
      <c r="BK82" s="49"/>
      <c r="BL82" s="49"/>
      <c r="BM82" s="49"/>
      <c r="BN82" s="49"/>
      <c r="BO82" s="49"/>
      <c r="BP82" s="49"/>
      <c r="BQ82" s="116" t="s">
        <v>4241</v>
      </c>
      <c r="BR82" s="116" t="s">
        <v>4241</v>
      </c>
      <c r="BS82" s="116" t="s">
        <v>4322</v>
      </c>
      <c r="BT82" s="116" t="s">
        <v>4322</v>
      </c>
      <c r="BU82" s="2"/>
      <c r="BV82" s="3"/>
      <c r="BW82" s="3"/>
      <c r="BX82" s="3"/>
      <c r="BY82" s="3"/>
    </row>
    <row r="83" spans="1:77" ht="15">
      <c r="A83" s="65" t="s">
        <v>295</v>
      </c>
      <c r="B83" s="66"/>
      <c r="C83" s="66" t="s">
        <v>64</v>
      </c>
      <c r="D83" s="67">
        <v>10</v>
      </c>
      <c r="E83" s="69"/>
      <c r="F83" s="104" t="str">
        <f>HYPERLINK("https://pbs.twimg.com/profile_images/1372496681959256065/2SNvd5g3_normal.jpg")</f>
        <v>https://pbs.twimg.com/profile_images/1372496681959256065/2SNvd5g3_normal.jpg</v>
      </c>
      <c r="G83" s="66"/>
      <c r="H83" s="70" t="s">
        <v>295</v>
      </c>
      <c r="I83" s="71" t="s">
        <v>4398</v>
      </c>
      <c r="J83" s="71" t="s">
        <v>73</v>
      </c>
      <c r="K83" s="70" t="s">
        <v>2221</v>
      </c>
      <c r="L83" s="74">
        <v>99.01960784313725</v>
      </c>
      <c r="M83" s="75"/>
      <c r="N83" s="75"/>
      <c r="O83" s="76"/>
      <c r="P83" s="77"/>
      <c r="Q83" s="77"/>
      <c r="R83" s="90"/>
      <c r="S83" s="49">
        <v>1</v>
      </c>
      <c r="T83" s="49">
        <v>1</v>
      </c>
      <c r="U83" s="50">
        <v>0</v>
      </c>
      <c r="V83" s="50">
        <v>0</v>
      </c>
      <c r="W83" s="50">
        <v>0</v>
      </c>
      <c r="X83" s="50">
        <v>0.003623</v>
      </c>
      <c r="Y83" s="50">
        <v>0</v>
      </c>
      <c r="Z83" s="50">
        <v>0</v>
      </c>
      <c r="AA83" s="72">
        <v>83</v>
      </c>
      <c r="AB83" s="72"/>
      <c r="AC83" s="73"/>
      <c r="AD83" s="80" t="s">
        <v>1314</v>
      </c>
      <c r="AE83" s="89" t="s">
        <v>1582</v>
      </c>
      <c r="AF83" s="80">
        <v>1313</v>
      </c>
      <c r="AG83" s="80">
        <v>640</v>
      </c>
      <c r="AH83" s="80">
        <v>330406</v>
      </c>
      <c r="AI83" s="80">
        <v>3487</v>
      </c>
      <c r="AJ83" s="80"/>
      <c r="AK83" s="80"/>
      <c r="AL83" s="80"/>
      <c r="AM83" s="80"/>
      <c r="AN83" s="80"/>
      <c r="AO83" s="82">
        <v>42884.91496527778</v>
      </c>
      <c r="AP83" s="86" t="str">
        <f>HYPERLINK("https://pbs.twimg.com/profile_banners/869311775761498112/1614236221")</f>
        <v>https://pbs.twimg.com/profile_banners/869311775761498112/1614236221</v>
      </c>
      <c r="AQ83" s="80" t="b">
        <v>0</v>
      </c>
      <c r="AR83" s="80" t="b">
        <v>0</v>
      </c>
      <c r="AS83" s="80" t="b">
        <v>1</v>
      </c>
      <c r="AT83" s="80"/>
      <c r="AU83" s="80">
        <v>8</v>
      </c>
      <c r="AV83" s="86" t="str">
        <f>HYPERLINK("https://abs.twimg.com/images/themes/theme1/bg.png")</f>
        <v>https://abs.twimg.com/images/themes/theme1/bg.png</v>
      </c>
      <c r="AW83" s="80" t="b">
        <v>0</v>
      </c>
      <c r="AX83" s="80" t="s">
        <v>2141</v>
      </c>
      <c r="AY83" s="86" t="str">
        <f>HYPERLINK("https://twitter.com/9h0hm")</f>
        <v>https://twitter.com/9h0hm</v>
      </c>
      <c r="AZ83" s="80" t="s">
        <v>66</v>
      </c>
      <c r="BA83" s="80" t="str">
        <f>REPLACE(INDEX(GroupVertices[Group],MATCH(Vertices[[#This Row],[Vertex]],GroupVertices[Vertex],0)),1,1,"")</f>
        <v>3</v>
      </c>
      <c r="BB83" s="49">
        <v>0</v>
      </c>
      <c r="BC83" s="50">
        <v>0</v>
      </c>
      <c r="BD83" s="49">
        <v>0</v>
      </c>
      <c r="BE83" s="50">
        <v>0</v>
      </c>
      <c r="BF83" s="49">
        <v>0</v>
      </c>
      <c r="BG83" s="50">
        <v>0</v>
      </c>
      <c r="BH83" s="49">
        <v>13</v>
      </c>
      <c r="BI83" s="50">
        <v>100</v>
      </c>
      <c r="BJ83" s="49">
        <v>13</v>
      </c>
      <c r="BK83" s="49" t="s">
        <v>4008</v>
      </c>
      <c r="BL83" s="49" t="s">
        <v>4008</v>
      </c>
      <c r="BM83" s="49" t="s">
        <v>581</v>
      </c>
      <c r="BN83" s="49" t="s">
        <v>581</v>
      </c>
      <c r="BO83" s="49"/>
      <c r="BP83" s="49"/>
      <c r="BQ83" s="116" t="s">
        <v>4252</v>
      </c>
      <c r="BR83" s="116" t="s">
        <v>4252</v>
      </c>
      <c r="BS83" s="116" t="s">
        <v>4333</v>
      </c>
      <c r="BT83" s="116" t="s">
        <v>4333</v>
      </c>
      <c r="BU83" s="2"/>
      <c r="BV83" s="3"/>
      <c r="BW83" s="3"/>
      <c r="BX83" s="3"/>
      <c r="BY83" s="3"/>
    </row>
    <row r="84" spans="1:77" ht="15">
      <c r="A84" s="65" t="s">
        <v>296</v>
      </c>
      <c r="B84" s="66"/>
      <c r="C84" s="66" t="s">
        <v>64</v>
      </c>
      <c r="D84" s="67"/>
      <c r="E84" s="69"/>
      <c r="F84" s="104" t="str">
        <f>HYPERLINK("https://pbs.twimg.com/profile_images/1473322255564296202/55Zz77ix_normal.jpg")</f>
        <v>https://pbs.twimg.com/profile_images/1473322255564296202/55Zz77ix_normal.jpg</v>
      </c>
      <c r="G84" s="66"/>
      <c r="H84" s="70" t="s">
        <v>296</v>
      </c>
      <c r="I84" s="71" t="s">
        <v>4399</v>
      </c>
      <c r="J84" s="71" t="s">
        <v>73</v>
      </c>
      <c r="K84" s="70" t="s">
        <v>2222</v>
      </c>
      <c r="L84" s="74">
        <v>1</v>
      </c>
      <c r="M84" s="75">
        <v>7448.80126953125</v>
      </c>
      <c r="N84" s="75">
        <v>377.69390869140625</v>
      </c>
      <c r="O84" s="76"/>
      <c r="P84" s="77"/>
      <c r="Q84" s="77"/>
      <c r="R84" s="90"/>
      <c r="S84" s="49">
        <v>0</v>
      </c>
      <c r="T84" s="49">
        <v>1</v>
      </c>
      <c r="U84" s="50">
        <v>0</v>
      </c>
      <c r="V84" s="50">
        <v>0.199193</v>
      </c>
      <c r="W84" s="50">
        <v>0.006144</v>
      </c>
      <c r="X84" s="50">
        <v>0.003155</v>
      </c>
      <c r="Y84" s="50">
        <v>0</v>
      </c>
      <c r="Z84" s="50">
        <v>0</v>
      </c>
      <c r="AA84" s="72">
        <v>84</v>
      </c>
      <c r="AB84" s="72"/>
      <c r="AC84" s="73"/>
      <c r="AD84" s="80" t="s">
        <v>1315</v>
      </c>
      <c r="AE84" s="89" t="s">
        <v>1583</v>
      </c>
      <c r="AF84" s="80">
        <v>2721</v>
      </c>
      <c r="AG84" s="80">
        <v>825</v>
      </c>
      <c r="AH84" s="80">
        <v>85015</v>
      </c>
      <c r="AI84" s="80">
        <v>109453</v>
      </c>
      <c r="AJ84" s="80"/>
      <c r="AK84" s="80" t="s">
        <v>1841</v>
      </c>
      <c r="AL84" s="80" t="s">
        <v>2067</v>
      </c>
      <c r="AM84" s="86" t="str">
        <f>HYPERLINK("https://t.co/HEkxiEuJvW")</f>
        <v>https://t.co/HEkxiEuJvW</v>
      </c>
      <c r="AN84" s="80"/>
      <c r="AO84" s="82">
        <v>41419.80678240741</v>
      </c>
      <c r="AP84" s="86" t="str">
        <f>HYPERLINK("https://pbs.twimg.com/profile_banners/1457860015/1580032719")</f>
        <v>https://pbs.twimg.com/profile_banners/1457860015/1580032719</v>
      </c>
      <c r="AQ84" s="80" t="b">
        <v>0</v>
      </c>
      <c r="AR84" s="80" t="b">
        <v>0</v>
      </c>
      <c r="AS84" s="80" t="b">
        <v>1</v>
      </c>
      <c r="AT84" s="80"/>
      <c r="AU84" s="80">
        <v>67</v>
      </c>
      <c r="AV84" s="86" t="str">
        <f>HYPERLINK("https://abs.twimg.com/images/themes/theme1/bg.png")</f>
        <v>https://abs.twimg.com/images/themes/theme1/bg.png</v>
      </c>
      <c r="AW84" s="80" t="b">
        <v>0</v>
      </c>
      <c r="AX84" s="80" t="s">
        <v>2141</v>
      </c>
      <c r="AY84" s="86" t="str">
        <f>HYPERLINK("https://twitter.com/kapt_suolisolmu")</f>
        <v>https://twitter.com/kapt_suolisolmu</v>
      </c>
      <c r="AZ84" s="80" t="s">
        <v>66</v>
      </c>
      <c r="BA84" s="80" t="str">
        <f>REPLACE(INDEX(GroupVertices[Group],MATCH(Vertices[[#This Row],[Vertex]],GroupVertices[Vertex],0)),1,1,"")</f>
        <v>2</v>
      </c>
      <c r="BB84" s="49">
        <v>0</v>
      </c>
      <c r="BC84" s="50">
        <v>0</v>
      </c>
      <c r="BD84" s="49">
        <v>0</v>
      </c>
      <c r="BE84" s="50">
        <v>0</v>
      </c>
      <c r="BF84" s="49">
        <v>0</v>
      </c>
      <c r="BG84" s="50">
        <v>0</v>
      </c>
      <c r="BH84" s="49">
        <v>6</v>
      </c>
      <c r="BI84" s="50">
        <v>100</v>
      </c>
      <c r="BJ84" s="49">
        <v>6</v>
      </c>
      <c r="BK84" s="49"/>
      <c r="BL84" s="49"/>
      <c r="BM84" s="49"/>
      <c r="BN84" s="49"/>
      <c r="BO84" s="49"/>
      <c r="BP84" s="49"/>
      <c r="BQ84" s="116" t="s">
        <v>4241</v>
      </c>
      <c r="BR84" s="116" t="s">
        <v>4241</v>
      </c>
      <c r="BS84" s="116" t="s">
        <v>4322</v>
      </c>
      <c r="BT84" s="116" t="s">
        <v>4322</v>
      </c>
      <c r="BU84" s="2"/>
      <c r="BV84" s="3"/>
      <c r="BW84" s="3"/>
      <c r="BX84" s="3"/>
      <c r="BY84" s="3"/>
    </row>
    <row r="85" spans="1:77" ht="15">
      <c r="A85" s="65" t="s">
        <v>297</v>
      </c>
      <c r="B85" s="66"/>
      <c r="C85" s="66" t="s">
        <v>64</v>
      </c>
      <c r="D85" s="67"/>
      <c r="E85" s="69"/>
      <c r="F85" s="104" t="str">
        <f>HYPERLINK("https://pbs.twimg.com/profile_images/1451200113854976014/3_heu8F-_normal.jpg")</f>
        <v>https://pbs.twimg.com/profile_images/1451200113854976014/3_heu8F-_normal.jpg</v>
      </c>
      <c r="G85" s="66"/>
      <c r="H85" s="70" t="s">
        <v>297</v>
      </c>
      <c r="I85" s="71" t="s">
        <v>4399</v>
      </c>
      <c r="J85" s="71" t="s">
        <v>73</v>
      </c>
      <c r="K85" s="70" t="s">
        <v>2223</v>
      </c>
      <c r="L85" s="74">
        <v>1</v>
      </c>
      <c r="M85" s="75">
        <v>7374.31640625</v>
      </c>
      <c r="N85" s="75">
        <v>1938.607421875</v>
      </c>
      <c r="O85" s="76"/>
      <c r="P85" s="77"/>
      <c r="Q85" s="77"/>
      <c r="R85" s="90"/>
      <c r="S85" s="49">
        <v>0</v>
      </c>
      <c r="T85" s="49">
        <v>1</v>
      </c>
      <c r="U85" s="50">
        <v>0</v>
      </c>
      <c r="V85" s="50">
        <v>0.199193</v>
      </c>
      <c r="W85" s="50">
        <v>0.006144</v>
      </c>
      <c r="X85" s="50">
        <v>0.003155</v>
      </c>
      <c r="Y85" s="50">
        <v>0</v>
      </c>
      <c r="Z85" s="50">
        <v>0</v>
      </c>
      <c r="AA85" s="72">
        <v>85</v>
      </c>
      <c r="AB85" s="72"/>
      <c r="AC85" s="73"/>
      <c r="AD85" s="80" t="s">
        <v>1316</v>
      </c>
      <c r="AE85" s="89" t="s">
        <v>1584</v>
      </c>
      <c r="AF85" s="80">
        <v>572</v>
      </c>
      <c r="AG85" s="80">
        <v>534</v>
      </c>
      <c r="AH85" s="80">
        <v>1663</v>
      </c>
      <c r="AI85" s="80">
        <v>4093</v>
      </c>
      <c r="AJ85" s="80"/>
      <c r="AK85" s="80" t="s">
        <v>1842</v>
      </c>
      <c r="AL85" s="80" t="s">
        <v>2068</v>
      </c>
      <c r="AM85" s="80"/>
      <c r="AN85" s="80"/>
      <c r="AO85" s="82">
        <v>43254.634571759256</v>
      </c>
      <c r="AP85" s="86" t="str">
        <f>HYPERLINK("https://pbs.twimg.com/profile_banners/1003293677387689984/1645811332")</f>
        <v>https://pbs.twimg.com/profile_banners/1003293677387689984/1645811332</v>
      </c>
      <c r="AQ85" s="80" t="b">
        <v>1</v>
      </c>
      <c r="AR85" s="80" t="b">
        <v>0</v>
      </c>
      <c r="AS85" s="80" t="b">
        <v>0</v>
      </c>
      <c r="AT85" s="80"/>
      <c r="AU85" s="80">
        <v>0</v>
      </c>
      <c r="AV85" s="80"/>
      <c r="AW85" s="80" t="b">
        <v>0</v>
      </c>
      <c r="AX85" s="80" t="s">
        <v>2141</v>
      </c>
      <c r="AY85" s="86" t="str">
        <f>HYPERLINK("https://twitter.com/ks_rautalinko")</f>
        <v>https://twitter.com/ks_rautalinko</v>
      </c>
      <c r="AZ85" s="80" t="s">
        <v>66</v>
      </c>
      <c r="BA85" s="80" t="str">
        <f>REPLACE(INDEX(GroupVertices[Group],MATCH(Vertices[[#This Row],[Vertex]],GroupVertices[Vertex],0)),1,1,"")</f>
        <v>2</v>
      </c>
      <c r="BB85" s="49">
        <v>0</v>
      </c>
      <c r="BC85" s="50">
        <v>0</v>
      </c>
      <c r="BD85" s="49">
        <v>0</v>
      </c>
      <c r="BE85" s="50">
        <v>0</v>
      </c>
      <c r="BF85" s="49">
        <v>0</v>
      </c>
      <c r="BG85" s="50">
        <v>0</v>
      </c>
      <c r="BH85" s="49">
        <v>6</v>
      </c>
      <c r="BI85" s="50">
        <v>100</v>
      </c>
      <c r="BJ85" s="49">
        <v>6</v>
      </c>
      <c r="BK85" s="49"/>
      <c r="BL85" s="49"/>
      <c r="BM85" s="49"/>
      <c r="BN85" s="49"/>
      <c r="BO85" s="49"/>
      <c r="BP85" s="49"/>
      <c r="BQ85" s="116" t="s">
        <v>4241</v>
      </c>
      <c r="BR85" s="116" t="s">
        <v>4241</v>
      </c>
      <c r="BS85" s="116" t="s">
        <v>4322</v>
      </c>
      <c r="BT85" s="116" t="s">
        <v>4322</v>
      </c>
      <c r="BU85" s="2"/>
      <c r="BV85" s="3"/>
      <c r="BW85" s="3"/>
      <c r="BX85" s="3"/>
      <c r="BY85" s="3"/>
    </row>
    <row r="86" spans="1:77" ht="15">
      <c r="A86" s="65" t="s">
        <v>298</v>
      </c>
      <c r="B86" s="66"/>
      <c r="C86" s="66" t="s">
        <v>64</v>
      </c>
      <c r="D86" s="67"/>
      <c r="E86" s="69"/>
      <c r="F86" s="104" t="str">
        <f>HYPERLINK("https://pbs.twimg.com/profile_images/1501549234734178315/T7t_77fh_normal.jpg")</f>
        <v>https://pbs.twimg.com/profile_images/1501549234734178315/T7t_77fh_normal.jpg</v>
      </c>
      <c r="G86" s="66"/>
      <c r="H86" s="70" t="s">
        <v>298</v>
      </c>
      <c r="I86" s="71" t="s">
        <v>4400</v>
      </c>
      <c r="J86" s="71" t="s">
        <v>73</v>
      </c>
      <c r="K86" s="70" t="s">
        <v>2224</v>
      </c>
      <c r="L86" s="74">
        <v>1</v>
      </c>
      <c r="M86" s="75">
        <v>304.4908142089844</v>
      </c>
      <c r="N86" s="75">
        <v>2985.4833984375</v>
      </c>
      <c r="O86" s="76"/>
      <c r="P86" s="77"/>
      <c r="Q86" s="77"/>
      <c r="R86" s="90"/>
      <c r="S86" s="49">
        <v>0</v>
      </c>
      <c r="T86" s="49">
        <v>1</v>
      </c>
      <c r="U86" s="50">
        <v>0</v>
      </c>
      <c r="V86" s="50">
        <v>0.003636</v>
      </c>
      <c r="W86" s="50">
        <v>0</v>
      </c>
      <c r="X86" s="50">
        <v>0.003623</v>
      </c>
      <c r="Y86" s="50">
        <v>0</v>
      </c>
      <c r="Z86" s="50">
        <v>0</v>
      </c>
      <c r="AA86" s="72">
        <v>86</v>
      </c>
      <c r="AB86" s="72"/>
      <c r="AC86" s="73"/>
      <c r="AD86" s="80" t="s">
        <v>1317</v>
      </c>
      <c r="AE86" s="89" t="s">
        <v>1585</v>
      </c>
      <c r="AF86" s="80">
        <v>54</v>
      </c>
      <c r="AG86" s="80">
        <v>0</v>
      </c>
      <c r="AH86" s="80">
        <v>8</v>
      </c>
      <c r="AI86" s="80">
        <v>364</v>
      </c>
      <c r="AJ86" s="80"/>
      <c r="AK86" s="80" t="s">
        <v>1843</v>
      </c>
      <c r="AL86" s="80"/>
      <c r="AM86" s="80"/>
      <c r="AN86" s="80"/>
      <c r="AO86" s="82">
        <v>44619.28623842593</v>
      </c>
      <c r="AP86" s="80"/>
      <c r="AQ86" s="80" t="b">
        <v>1</v>
      </c>
      <c r="AR86" s="80" t="b">
        <v>0</v>
      </c>
      <c r="AS86" s="80" t="b">
        <v>0</v>
      </c>
      <c r="AT86" s="80"/>
      <c r="AU86" s="80">
        <v>0</v>
      </c>
      <c r="AV86" s="80"/>
      <c r="AW86" s="80" t="b">
        <v>0</v>
      </c>
      <c r="AX86" s="80" t="s">
        <v>2141</v>
      </c>
      <c r="AY86" s="86" t="str">
        <f>HYPERLINK("https://twitter.com/ohtmaa")</f>
        <v>https://twitter.com/ohtmaa</v>
      </c>
      <c r="AZ86" s="80" t="s">
        <v>66</v>
      </c>
      <c r="BA86" s="80" t="str">
        <f>REPLACE(INDEX(GroupVertices[Group],MATCH(Vertices[[#This Row],[Vertex]],GroupVertices[Vertex],0)),1,1,"")</f>
        <v>19</v>
      </c>
      <c r="BB86" s="49">
        <v>0</v>
      </c>
      <c r="BC86" s="50">
        <v>0</v>
      </c>
      <c r="BD86" s="49">
        <v>0</v>
      </c>
      <c r="BE86" s="50">
        <v>0</v>
      </c>
      <c r="BF86" s="49">
        <v>0</v>
      </c>
      <c r="BG86" s="50">
        <v>0</v>
      </c>
      <c r="BH86" s="49">
        <v>12</v>
      </c>
      <c r="BI86" s="50">
        <v>100</v>
      </c>
      <c r="BJ86" s="49">
        <v>12</v>
      </c>
      <c r="BK86" s="49"/>
      <c r="BL86" s="49"/>
      <c r="BM86" s="49"/>
      <c r="BN86" s="49"/>
      <c r="BO86" s="49"/>
      <c r="BP86" s="49"/>
      <c r="BQ86" s="116" t="s">
        <v>4253</v>
      </c>
      <c r="BR86" s="116" t="s">
        <v>4253</v>
      </c>
      <c r="BS86" s="116" t="s">
        <v>4334</v>
      </c>
      <c r="BT86" s="116" t="s">
        <v>4334</v>
      </c>
      <c r="BU86" s="2"/>
      <c r="BV86" s="3"/>
      <c r="BW86" s="3"/>
      <c r="BX86" s="3"/>
      <c r="BY86" s="3"/>
    </row>
    <row r="87" spans="1:77" ht="15">
      <c r="A87" s="65" t="s">
        <v>493</v>
      </c>
      <c r="B87" s="66"/>
      <c r="C87" s="66" t="s">
        <v>64</v>
      </c>
      <c r="D87" s="67">
        <v>10</v>
      </c>
      <c r="E87" s="69"/>
      <c r="F87" s="104" t="str">
        <f>HYPERLINK("https://pbs.twimg.com/profile_images/1298289941374472193/lDC4Os04_normal.jpg")</f>
        <v>https://pbs.twimg.com/profile_images/1298289941374472193/lDC4Os04_normal.jpg</v>
      </c>
      <c r="G87" s="66"/>
      <c r="H87" s="70" t="s">
        <v>493</v>
      </c>
      <c r="I87" s="71" t="s">
        <v>4400</v>
      </c>
      <c r="J87" s="71" t="s">
        <v>75</v>
      </c>
      <c r="K87" s="70" t="s">
        <v>2225</v>
      </c>
      <c r="L87" s="74">
        <v>99.01960784313725</v>
      </c>
      <c r="M87" s="75">
        <v>647.5416259765625</v>
      </c>
      <c r="N87" s="75">
        <v>2985.4833984375</v>
      </c>
      <c r="O87" s="76"/>
      <c r="P87" s="77"/>
      <c r="Q87" s="77"/>
      <c r="R87" s="90"/>
      <c r="S87" s="49">
        <v>1</v>
      </c>
      <c r="T87" s="49">
        <v>0</v>
      </c>
      <c r="U87" s="50">
        <v>0</v>
      </c>
      <c r="V87" s="50">
        <v>0.003636</v>
      </c>
      <c r="W87" s="50">
        <v>0</v>
      </c>
      <c r="X87" s="50">
        <v>0.003623</v>
      </c>
      <c r="Y87" s="50">
        <v>0</v>
      </c>
      <c r="Z87" s="50">
        <v>0</v>
      </c>
      <c r="AA87" s="72">
        <v>87</v>
      </c>
      <c r="AB87" s="72"/>
      <c r="AC87" s="73"/>
      <c r="AD87" s="80" t="s">
        <v>1318</v>
      </c>
      <c r="AE87" s="89" t="s">
        <v>1166</v>
      </c>
      <c r="AF87" s="80">
        <v>6921</v>
      </c>
      <c r="AG87" s="80">
        <v>12491</v>
      </c>
      <c r="AH87" s="80">
        <v>34550</v>
      </c>
      <c r="AI87" s="80">
        <v>44871</v>
      </c>
      <c r="AJ87" s="80"/>
      <c r="AK87" s="80" t="s">
        <v>1844</v>
      </c>
      <c r="AL87" s="80" t="s">
        <v>2069</v>
      </c>
      <c r="AM87" s="86" t="str">
        <f>HYPERLINK("https://t.co/iqNktAH2l4")</f>
        <v>https://t.co/iqNktAH2l4</v>
      </c>
      <c r="AN87" s="80"/>
      <c r="AO87" s="82">
        <v>39908.73228009259</v>
      </c>
      <c r="AP87" s="86" t="str">
        <f>HYPERLINK("https://pbs.twimg.com/profile_banners/29024211/1645700104")</f>
        <v>https://pbs.twimg.com/profile_banners/29024211/1645700104</v>
      </c>
      <c r="AQ87" s="80" t="b">
        <v>0</v>
      </c>
      <c r="AR87" s="80" t="b">
        <v>0</v>
      </c>
      <c r="AS87" s="80" t="b">
        <v>1</v>
      </c>
      <c r="AT87" s="80"/>
      <c r="AU87" s="80">
        <v>630</v>
      </c>
      <c r="AV87" s="86" t="str">
        <f>HYPERLINK("https://abs.twimg.com/images/themes/theme16/bg.gif")</f>
        <v>https://abs.twimg.com/images/themes/theme16/bg.gif</v>
      </c>
      <c r="AW87" s="80" t="b">
        <v>0</v>
      </c>
      <c r="AX87" s="80" t="s">
        <v>2141</v>
      </c>
      <c r="AY87" s="86" t="str">
        <f>HYPERLINK("https://twitter.com/sanileino")</f>
        <v>https://twitter.com/sanileino</v>
      </c>
      <c r="AZ87" s="80" t="s">
        <v>65</v>
      </c>
      <c r="BA87" s="80" t="str">
        <f>REPLACE(INDEX(GroupVertices[Group],MATCH(Vertices[[#This Row],[Vertex]],GroupVertices[Vertex],0)),1,1,"")</f>
        <v>19</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299</v>
      </c>
      <c r="B88" s="66"/>
      <c r="C88" s="66" t="s">
        <v>64</v>
      </c>
      <c r="D88" s="67">
        <v>10</v>
      </c>
      <c r="E88" s="69"/>
      <c r="F88" s="104" t="str">
        <f>HYPERLINK("https://pbs.twimg.com/profile_images/1475462051338276867/9VQTXHz9_normal.jpg")</f>
        <v>https://pbs.twimg.com/profile_images/1475462051338276867/9VQTXHz9_normal.jpg</v>
      </c>
      <c r="G88" s="66"/>
      <c r="H88" s="70" t="s">
        <v>299</v>
      </c>
      <c r="I88" s="71" t="s">
        <v>4398</v>
      </c>
      <c r="J88" s="71" t="s">
        <v>73</v>
      </c>
      <c r="K88" s="70" t="s">
        <v>2226</v>
      </c>
      <c r="L88" s="74">
        <v>99.01960784313725</v>
      </c>
      <c r="M88" s="75"/>
      <c r="N88" s="75"/>
      <c r="O88" s="76"/>
      <c r="P88" s="77"/>
      <c r="Q88" s="77"/>
      <c r="R88" s="90"/>
      <c r="S88" s="49">
        <v>1</v>
      </c>
      <c r="T88" s="49">
        <v>1</v>
      </c>
      <c r="U88" s="50">
        <v>0</v>
      </c>
      <c r="V88" s="50">
        <v>0</v>
      </c>
      <c r="W88" s="50">
        <v>0</v>
      </c>
      <c r="X88" s="50">
        <v>0.003623</v>
      </c>
      <c r="Y88" s="50">
        <v>0</v>
      </c>
      <c r="Z88" s="50">
        <v>0</v>
      </c>
      <c r="AA88" s="72">
        <v>88</v>
      </c>
      <c r="AB88" s="72"/>
      <c r="AC88" s="73"/>
      <c r="AD88" s="80" t="s">
        <v>1319</v>
      </c>
      <c r="AE88" s="89" t="s">
        <v>1586</v>
      </c>
      <c r="AF88" s="80">
        <v>1541</v>
      </c>
      <c r="AG88" s="80">
        <v>245</v>
      </c>
      <c r="AH88" s="80">
        <v>24171</v>
      </c>
      <c r="AI88" s="80">
        <v>54917</v>
      </c>
      <c r="AJ88" s="80"/>
      <c r="AK88" s="80" t="s">
        <v>1845</v>
      </c>
      <c r="AL88" s="80" t="s">
        <v>2070</v>
      </c>
      <c r="AM88" s="80"/>
      <c r="AN88" s="80"/>
      <c r="AO88" s="82">
        <v>40249.45376157408</v>
      </c>
      <c r="AP88" s="86" t="str">
        <f>HYPERLINK("https://pbs.twimg.com/profile_banners/122337276/1639726483")</f>
        <v>https://pbs.twimg.com/profile_banners/122337276/1639726483</v>
      </c>
      <c r="AQ88" s="80" t="b">
        <v>0</v>
      </c>
      <c r="AR88" s="80" t="b">
        <v>0</v>
      </c>
      <c r="AS88" s="80" t="b">
        <v>1</v>
      </c>
      <c r="AT88" s="80"/>
      <c r="AU88" s="80">
        <v>10</v>
      </c>
      <c r="AV88" s="86" t="str">
        <f>HYPERLINK("https://abs.twimg.com/images/themes/theme1/bg.png")</f>
        <v>https://abs.twimg.com/images/themes/theme1/bg.png</v>
      </c>
      <c r="AW88" s="80" t="b">
        <v>0</v>
      </c>
      <c r="AX88" s="80" t="s">
        <v>2141</v>
      </c>
      <c r="AY88" s="86" t="str">
        <f>HYPERLINK("https://twitter.com/toukoq")</f>
        <v>https://twitter.com/toukoq</v>
      </c>
      <c r="AZ88" s="80" t="s">
        <v>66</v>
      </c>
      <c r="BA88" s="80" t="str">
        <f>REPLACE(INDEX(GroupVertices[Group],MATCH(Vertices[[#This Row],[Vertex]],GroupVertices[Vertex],0)),1,1,"")</f>
        <v>3</v>
      </c>
      <c r="BB88" s="49">
        <v>0</v>
      </c>
      <c r="BC88" s="50">
        <v>0</v>
      </c>
      <c r="BD88" s="49">
        <v>0</v>
      </c>
      <c r="BE88" s="50">
        <v>0</v>
      </c>
      <c r="BF88" s="49">
        <v>0</v>
      </c>
      <c r="BG88" s="50">
        <v>0</v>
      </c>
      <c r="BH88" s="49">
        <v>38</v>
      </c>
      <c r="BI88" s="50">
        <v>100</v>
      </c>
      <c r="BJ88" s="49">
        <v>38</v>
      </c>
      <c r="BK88" s="49"/>
      <c r="BL88" s="49"/>
      <c r="BM88" s="49"/>
      <c r="BN88" s="49"/>
      <c r="BO88" s="49" t="s">
        <v>591</v>
      </c>
      <c r="BP88" s="49" t="s">
        <v>591</v>
      </c>
      <c r="BQ88" s="116" t="s">
        <v>4254</v>
      </c>
      <c r="BR88" s="116" t="s">
        <v>4254</v>
      </c>
      <c r="BS88" s="116" t="s">
        <v>4335</v>
      </c>
      <c r="BT88" s="116" t="s">
        <v>4335</v>
      </c>
      <c r="BU88" s="2"/>
      <c r="BV88" s="3"/>
      <c r="BW88" s="3"/>
      <c r="BX88" s="3"/>
      <c r="BY88" s="3"/>
    </row>
    <row r="89" spans="1:77" ht="15">
      <c r="A89" s="65" t="s">
        <v>300</v>
      </c>
      <c r="B89" s="66"/>
      <c r="C89" s="66" t="s">
        <v>64</v>
      </c>
      <c r="D89" s="67"/>
      <c r="E89" s="69"/>
      <c r="F89" s="104" t="str">
        <f>HYPERLINK("https://pbs.twimg.com/profile_images/1439594739876126721/txEbdruQ_normal.jpg")</f>
        <v>https://pbs.twimg.com/profile_images/1439594739876126721/txEbdruQ_normal.jpg</v>
      </c>
      <c r="G89" s="66"/>
      <c r="H89" s="70" t="s">
        <v>300</v>
      </c>
      <c r="I89" s="71" t="s">
        <v>4399</v>
      </c>
      <c r="J89" s="71" t="s">
        <v>73</v>
      </c>
      <c r="K89" s="70" t="s">
        <v>2227</v>
      </c>
      <c r="L89" s="74">
        <v>1</v>
      </c>
      <c r="M89" s="75">
        <v>7654.70556640625</v>
      </c>
      <c r="N89" s="75">
        <v>2866.634521484375</v>
      </c>
      <c r="O89" s="76"/>
      <c r="P89" s="77"/>
      <c r="Q89" s="77"/>
      <c r="R89" s="90"/>
      <c r="S89" s="49">
        <v>0</v>
      </c>
      <c r="T89" s="49">
        <v>1</v>
      </c>
      <c r="U89" s="50">
        <v>0</v>
      </c>
      <c r="V89" s="50">
        <v>0.199193</v>
      </c>
      <c r="W89" s="50">
        <v>0.006144</v>
      </c>
      <c r="X89" s="50">
        <v>0.003155</v>
      </c>
      <c r="Y89" s="50">
        <v>0</v>
      </c>
      <c r="Z89" s="50">
        <v>0</v>
      </c>
      <c r="AA89" s="72">
        <v>89</v>
      </c>
      <c r="AB89" s="72"/>
      <c r="AC89" s="73"/>
      <c r="AD89" s="80" t="s">
        <v>1320</v>
      </c>
      <c r="AE89" s="89" t="s">
        <v>1587</v>
      </c>
      <c r="AF89" s="80">
        <v>1573</v>
      </c>
      <c r="AG89" s="80">
        <v>1067</v>
      </c>
      <c r="AH89" s="80">
        <v>8188</v>
      </c>
      <c r="AI89" s="80">
        <v>7664</v>
      </c>
      <c r="AJ89" s="80"/>
      <c r="AK89" s="80" t="s">
        <v>1846</v>
      </c>
      <c r="AL89" s="80" t="s">
        <v>2071</v>
      </c>
      <c r="AM89" s="80"/>
      <c r="AN89" s="80"/>
      <c r="AO89" s="82">
        <v>40942.50714120371</v>
      </c>
      <c r="AP89" s="86" t="str">
        <f>HYPERLINK("https://pbs.twimg.com/profile_banners/481995216/1539531464")</f>
        <v>https://pbs.twimg.com/profile_banners/481995216/1539531464</v>
      </c>
      <c r="AQ89" s="80" t="b">
        <v>1</v>
      </c>
      <c r="AR89" s="80" t="b">
        <v>0</v>
      </c>
      <c r="AS89" s="80" t="b">
        <v>0</v>
      </c>
      <c r="AT89" s="80"/>
      <c r="AU89" s="80">
        <v>24</v>
      </c>
      <c r="AV89" s="86" t="str">
        <f>HYPERLINK("https://abs.twimg.com/images/themes/theme1/bg.png")</f>
        <v>https://abs.twimg.com/images/themes/theme1/bg.png</v>
      </c>
      <c r="AW89" s="80" t="b">
        <v>0</v>
      </c>
      <c r="AX89" s="80" t="s">
        <v>2141</v>
      </c>
      <c r="AY89" s="86" t="str">
        <f>HYPERLINK("https://twitter.com/panuvatanen")</f>
        <v>https://twitter.com/panuvatanen</v>
      </c>
      <c r="AZ89" s="80" t="s">
        <v>66</v>
      </c>
      <c r="BA89" s="80" t="str">
        <f>REPLACE(INDEX(GroupVertices[Group],MATCH(Vertices[[#This Row],[Vertex]],GroupVertices[Vertex],0)),1,1,"")</f>
        <v>2</v>
      </c>
      <c r="BB89" s="49">
        <v>0</v>
      </c>
      <c r="BC89" s="50">
        <v>0</v>
      </c>
      <c r="BD89" s="49">
        <v>0</v>
      </c>
      <c r="BE89" s="50">
        <v>0</v>
      </c>
      <c r="BF89" s="49">
        <v>0</v>
      </c>
      <c r="BG89" s="50">
        <v>0</v>
      </c>
      <c r="BH89" s="49">
        <v>6</v>
      </c>
      <c r="BI89" s="50">
        <v>100</v>
      </c>
      <c r="BJ89" s="49">
        <v>6</v>
      </c>
      <c r="BK89" s="49"/>
      <c r="BL89" s="49"/>
      <c r="BM89" s="49"/>
      <c r="BN89" s="49"/>
      <c r="BO89" s="49"/>
      <c r="BP89" s="49"/>
      <c r="BQ89" s="116" t="s">
        <v>4241</v>
      </c>
      <c r="BR89" s="116" t="s">
        <v>4241</v>
      </c>
      <c r="BS89" s="116" t="s">
        <v>4322</v>
      </c>
      <c r="BT89" s="116" t="s">
        <v>4322</v>
      </c>
      <c r="BU89" s="2"/>
      <c r="BV89" s="3"/>
      <c r="BW89" s="3"/>
      <c r="BX89" s="3"/>
      <c r="BY89" s="3"/>
    </row>
    <row r="90" spans="1:77" ht="15">
      <c r="A90" s="65" t="s">
        <v>301</v>
      </c>
      <c r="B90" s="66"/>
      <c r="C90" s="66" t="s">
        <v>64</v>
      </c>
      <c r="D90" s="67"/>
      <c r="E90" s="69"/>
      <c r="F90" s="104" t="str">
        <f>HYPERLINK("https://pbs.twimg.com/profile_images/1286939950160773121/FDNyHjnu_normal.jpg")</f>
        <v>https://pbs.twimg.com/profile_images/1286939950160773121/FDNyHjnu_normal.jpg</v>
      </c>
      <c r="G90" s="66"/>
      <c r="H90" s="70" t="s">
        <v>301</v>
      </c>
      <c r="I90" s="71" t="s">
        <v>4399</v>
      </c>
      <c r="J90" s="71" t="s">
        <v>73</v>
      </c>
      <c r="K90" s="70" t="s">
        <v>2228</v>
      </c>
      <c r="L90" s="74">
        <v>1</v>
      </c>
      <c r="M90" s="75">
        <v>3162.4990234375</v>
      </c>
      <c r="N90" s="75">
        <v>1226.91748046875</v>
      </c>
      <c r="O90" s="76"/>
      <c r="P90" s="77"/>
      <c r="Q90" s="77"/>
      <c r="R90" s="90"/>
      <c r="S90" s="49">
        <v>0</v>
      </c>
      <c r="T90" s="49">
        <v>1</v>
      </c>
      <c r="U90" s="50">
        <v>0</v>
      </c>
      <c r="V90" s="50">
        <v>0.199193</v>
      </c>
      <c r="W90" s="50">
        <v>0.006144</v>
      </c>
      <c r="X90" s="50">
        <v>0.003155</v>
      </c>
      <c r="Y90" s="50">
        <v>0</v>
      </c>
      <c r="Z90" s="50">
        <v>0</v>
      </c>
      <c r="AA90" s="72">
        <v>90</v>
      </c>
      <c r="AB90" s="72"/>
      <c r="AC90" s="73"/>
      <c r="AD90" s="80" t="s">
        <v>1321</v>
      </c>
      <c r="AE90" s="89" t="s">
        <v>1588</v>
      </c>
      <c r="AF90" s="80">
        <v>72</v>
      </c>
      <c r="AG90" s="80">
        <v>44</v>
      </c>
      <c r="AH90" s="80">
        <v>1125</v>
      </c>
      <c r="AI90" s="80">
        <v>613</v>
      </c>
      <c r="AJ90" s="80"/>
      <c r="AK90" s="80" t="s">
        <v>1847</v>
      </c>
      <c r="AL90" s="80" t="s">
        <v>2072</v>
      </c>
      <c r="AM90" s="86" t="str">
        <f>HYPERLINK("https://t.co/zRfAbdrwrA")</f>
        <v>https://t.co/zRfAbdrwrA</v>
      </c>
      <c r="AN90" s="80"/>
      <c r="AO90" s="82">
        <v>44032.77737268519</v>
      </c>
      <c r="AP90" s="86" t="str">
        <f>HYPERLINK("https://pbs.twimg.com/profile_banners/1285283140815257602/1624329942")</f>
        <v>https://pbs.twimg.com/profile_banners/1285283140815257602/1624329942</v>
      </c>
      <c r="AQ90" s="80" t="b">
        <v>1</v>
      </c>
      <c r="AR90" s="80" t="b">
        <v>0</v>
      </c>
      <c r="AS90" s="80" t="b">
        <v>0</v>
      </c>
      <c r="AT90" s="80"/>
      <c r="AU90" s="80">
        <v>0</v>
      </c>
      <c r="AV90" s="80"/>
      <c r="AW90" s="80" t="b">
        <v>0</v>
      </c>
      <c r="AX90" s="80" t="s">
        <v>2141</v>
      </c>
      <c r="AY90" s="86" t="str">
        <f>HYPERLINK("https://twitter.com/oonasofias")</f>
        <v>https://twitter.com/oonasofias</v>
      </c>
      <c r="AZ90" s="80" t="s">
        <v>66</v>
      </c>
      <c r="BA90" s="80" t="str">
        <f>REPLACE(INDEX(GroupVertices[Group],MATCH(Vertices[[#This Row],[Vertex]],GroupVertices[Vertex],0)),1,1,"")</f>
        <v>2</v>
      </c>
      <c r="BB90" s="49">
        <v>0</v>
      </c>
      <c r="BC90" s="50">
        <v>0</v>
      </c>
      <c r="BD90" s="49">
        <v>0</v>
      </c>
      <c r="BE90" s="50">
        <v>0</v>
      </c>
      <c r="BF90" s="49">
        <v>0</v>
      </c>
      <c r="BG90" s="50">
        <v>0</v>
      </c>
      <c r="BH90" s="49">
        <v>6</v>
      </c>
      <c r="BI90" s="50">
        <v>100</v>
      </c>
      <c r="BJ90" s="49">
        <v>6</v>
      </c>
      <c r="BK90" s="49"/>
      <c r="BL90" s="49"/>
      <c r="BM90" s="49"/>
      <c r="BN90" s="49"/>
      <c r="BO90" s="49"/>
      <c r="BP90" s="49"/>
      <c r="BQ90" s="116" t="s">
        <v>4241</v>
      </c>
      <c r="BR90" s="116" t="s">
        <v>4241</v>
      </c>
      <c r="BS90" s="116" t="s">
        <v>4322</v>
      </c>
      <c r="BT90" s="116" t="s">
        <v>4322</v>
      </c>
      <c r="BU90" s="2"/>
      <c r="BV90" s="3"/>
      <c r="BW90" s="3"/>
      <c r="BX90" s="3"/>
      <c r="BY90" s="3"/>
    </row>
    <row r="91" spans="1:77" ht="15">
      <c r="A91" s="65" t="s">
        <v>302</v>
      </c>
      <c r="B91" s="66"/>
      <c r="C91" s="66" t="s">
        <v>64</v>
      </c>
      <c r="D91" s="67">
        <v>10</v>
      </c>
      <c r="E91" s="69"/>
      <c r="F91" s="104" t="str">
        <f>HYPERLINK("https://pbs.twimg.com/profile_images/1507177337254678533/x1JkUHy4_normal.jpg")</f>
        <v>https://pbs.twimg.com/profile_images/1507177337254678533/x1JkUHy4_normal.jpg</v>
      </c>
      <c r="G91" s="66"/>
      <c r="H91" s="70" t="s">
        <v>302</v>
      </c>
      <c r="I91" s="71" t="s">
        <v>4398</v>
      </c>
      <c r="J91" s="71" t="s">
        <v>73</v>
      </c>
      <c r="K91" s="70" t="s">
        <v>2229</v>
      </c>
      <c r="L91" s="74">
        <v>99.01960784313725</v>
      </c>
      <c r="M91" s="75"/>
      <c r="N91" s="75"/>
      <c r="O91" s="76"/>
      <c r="P91" s="77"/>
      <c r="Q91" s="77"/>
      <c r="R91" s="90"/>
      <c r="S91" s="49">
        <v>1</v>
      </c>
      <c r="T91" s="49">
        <v>1</v>
      </c>
      <c r="U91" s="50">
        <v>0</v>
      </c>
      <c r="V91" s="50">
        <v>0</v>
      </c>
      <c r="W91" s="50">
        <v>0</v>
      </c>
      <c r="X91" s="50">
        <v>0.003623</v>
      </c>
      <c r="Y91" s="50">
        <v>0</v>
      </c>
      <c r="Z91" s="50">
        <v>0</v>
      </c>
      <c r="AA91" s="72">
        <v>91</v>
      </c>
      <c r="AB91" s="72"/>
      <c r="AC91" s="73"/>
      <c r="AD91" s="80" t="s">
        <v>1322</v>
      </c>
      <c r="AE91" s="89" t="s">
        <v>1589</v>
      </c>
      <c r="AF91" s="80">
        <v>86</v>
      </c>
      <c r="AG91" s="80">
        <v>419</v>
      </c>
      <c r="AH91" s="80">
        <v>8147</v>
      </c>
      <c r="AI91" s="80">
        <v>196</v>
      </c>
      <c r="AJ91" s="80"/>
      <c r="AK91" s="80" t="s">
        <v>1848</v>
      </c>
      <c r="AL91" s="80" t="s">
        <v>2073</v>
      </c>
      <c r="AM91" s="80"/>
      <c r="AN91" s="80"/>
      <c r="AO91" s="82">
        <v>40762.14693287037</v>
      </c>
      <c r="AP91" s="86" t="str">
        <f>HYPERLINK("https://pbs.twimg.com/profile_banners/350041845/1648129651")</f>
        <v>https://pbs.twimg.com/profile_banners/350041845/1648129651</v>
      </c>
      <c r="AQ91" s="80" t="b">
        <v>0</v>
      </c>
      <c r="AR91" s="80" t="b">
        <v>0</v>
      </c>
      <c r="AS91" s="80" t="b">
        <v>1</v>
      </c>
      <c r="AT91" s="80"/>
      <c r="AU91" s="80">
        <v>2</v>
      </c>
      <c r="AV91" s="86" t="str">
        <f>HYPERLINK("https://abs.twimg.com/images/themes/theme11/bg.gif")</f>
        <v>https://abs.twimg.com/images/themes/theme11/bg.gif</v>
      </c>
      <c r="AW91" s="80" t="b">
        <v>0</v>
      </c>
      <c r="AX91" s="80" t="s">
        <v>2141</v>
      </c>
      <c r="AY91" s="86" t="str">
        <f>HYPERLINK("https://twitter.com/renykdewi")</f>
        <v>https://twitter.com/renykdewi</v>
      </c>
      <c r="AZ91" s="80" t="s">
        <v>66</v>
      </c>
      <c r="BA91" s="80" t="str">
        <f>REPLACE(INDEX(GroupVertices[Group],MATCH(Vertices[[#This Row],[Vertex]],GroupVertices[Vertex],0)),1,1,"")</f>
        <v>3</v>
      </c>
      <c r="BB91" s="49">
        <v>0</v>
      </c>
      <c r="BC91" s="50">
        <v>0</v>
      </c>
      <c r="BD91" s="49">
        <v>0</v>
      </c>
      <c r="BE91" s="50">
        <v>0</v>
      </c>
      <c r="BF91" s="49">
        <v>0</v>
      </c>
      <c r="BG91" s="50">
        <v>0</v>
      </c>
      <c r="BH91" s="49">
        <v>11</v>
      </c>
      <c r="BI91" s="50">
        <v>100</v>
      </c>
      <c r="BJ91" s="49">
        <v>11</v>
      </c>
      <c r="BK91" s="49"/>
      <c r="BL91" s="49"/>
      <c r="BM91" s="49"/>
      <c r="BN91" s="49"/>
      <c r="BO91" s="49"/>
      <c r="BP91" s="49"/>
      <c r="BQ91" s="116" t="s">
        <v>4255</v>
      </c>
      <c r="BR91" s="116" t="s">
        <v>4255</v>
      </c>
      <c r="BS91" s="116" t="s">
        <v>4336</v>
      </c>
      <c r="BT91" s="116" t="s">
        <v>4336</v>
      </c>
      <c r="BU91" s="2"/>
      <c r="BV91" s="3"/>
      <c r="BW91" s="3"/>
      <c r="BX91" s="3"/>
      <c r="BY91" s="3"/>
    </row>
    <row r="92" spans="1:77" ht="15">
      <c r="A92" s="65" t="s">
        <v>303</v>
      </c>
      <c r="B92" s="66"/>
      <c r="C92" s="66" t="s">
        <v>64</v>
      </c>
      <c r="D92" s="67"/>
      <c r="E92" s="69"/>
      <c r="F92" s="104" t="str">
        <f>HYPERLINK("https://pbs.twimg.com/profile_images/454193118221320193/hdHb4oBT_normal.png")</f>
        <v>https://pbs.twimg.com/profile_images/454193118221320193/hdHb4oBT_normal.png</v>
      </c>
      <c r="G92" s="66"/>
      <c r="H92" s="70" t="s">
        <v>303</v>
      </c>
      <c r="I92" s="71" t="s">
        <v>4399</v>
      </c>
      <c r="J92" s="71" t="s">
        <v>73</v>
      </c>
      <c r="K92" s="70" t="s">
        <v>2230</v>
      </c>
      <c r="L92" s="74">
        <v>1</v>
      </c>
      <c r="M92" s="75">
        <v>8754.025390625</v>
      </c>
      <c r="N92" s="75">
        <v>2280.2802734375</v>
      </c>
      <c r="O92" s="76"/>
      <c r="P92" s="77"/>
      <c r="Q92" s="77"/>
      <c r="R92" s="90"/>
      <c r="S92" s="49">
        <v>0</v>
      </c>
      <c r="T92" s="49">
        <v>1</v>
      </c>
      <c r="U92" s="50">
        <v>0</v>
      </c>
      <c r="V92" s="50">
        <v>0.199193</v>
      </c>
      <c r="W92" s="50">
        <v>0.006144</v>
      </c>
      <c r="X92" s="50">
        <v>0.003155</v>
      </c>
      <c r="Y92" s="50">
        <v>0</v>
      </c>
      <c r="Z92" s="50">
        <v>0</v>
      </c>
      <c r="AA92" s="72">
        <v>92</v>
      </c>
      <c r="AB92" s="72"/>
      <c r="AC92" s="73"/>
      <c r="AD92" s="80" t="s">
        <v>1323</v>
      </c>
      <c r="AE92" s="89" t="s">
        <v>1590</v>
      </c>
      <c r="AF92" s="80">
        <v>1187</v>
      </c>
      <c r="AG92" s="80">
        <v>185</v>
      </c>
      <c r="AH92" s="80">
        <v>537</v>
      </c>
      <c r="AI92" s="80">
        <v>917</v>
      </c>
      <c r="AJ92" s="80"/>
      <c r="AK92" s="80" t="s">
        <v>1849</v>
      </c>
      <c r="AL92" s="80" t="s">
        <v>2074</v>
      </c>
      <c r="AM92" s="80"/>
      <c r="AN92" s="80"/>
      <c r="AO92" s="82">
        <v>40987.62792824074</v>
      </c>
      <c r="AP92" s="86" t="str">
        <f>HYPERLINK("https://pbs.twimg.com/profile_banners/529452621/1577972705")</f>
        <v>https://pbs.twimg.com/profile_banners/529452621/1577972705</v>
      </c>
      <c r="AQ92" s="80" t="b">
        <v>1</v>
      </c>
      <c r="AR92" s="80" t="b">
        <v>0</v>
      </c>
      <c r="AS92" s="80" t="b">
        <v>0</v>
      </c>
      <c r="AT92" s="80"/>
      <c r="AU92" s="80">
        <v>0</v>
      </c>
      <c r="AV92" s="86" t="str">
        <f>HYPERLINK("https://abs.twimg.com/images/themes/theme1/bg.png")</f>
        <v>https://abs.twimg.com/images/themes/theme1/bg.png</v>
      </c>
      <c r="AW92" s="80" t="b">
        <v>0</v>
      </c>
      <c r="AX92" s="80" t="s">
        <v>2141</v>
      </c>
      <c r="AY92" s="86" t="str">
        <f>HYPERLINK("https://twitter.com/miccelsson")</f>
        <v>https://twitter.com/miccelsson</v>
      </c>
      <c r="AZ92" s="80" t="s">
        <v>66</v>
      </c>
      <c r="BA92" s="80" t="str">
        <f>REPLACE(INDEX(GroupVertices[Group],MATCH(Vertices[[#This Row],[Vertex]],GroupVertices[Vertex],0)),1,1,"")</f>
        <v>2</v>
      </c>
      <c r="BB92" s="49">
        <v>0</v>
      </c>
      <c r="BC92" s="50">
        <v>0</v>
      </c>
      <c r="BD92" s="49">
        <v>0</v>
      </c>
      <c r="BE92" s="50">
        <v>0</v>
      </c>
      <c r="BF92" s="49">
        <v>0</v>
      </c>
      <c r="BG92" s="50">
        <v>0</v>
      </c>
      <c r="BH92" s="49">
        <v>6</v>
      </c>
      <c r="BI92" s="50">
        <v>100</v>
      </c>
      <c r="BJ92" s="49">
        <v>6</v>
      </c>
      <c r="BK92" s="49"/>
      <c r="BL92" s="49"/>
      <c r="BM92" s="49"/>
      <c r="BN92" s="49"/>
      <c r="BO92" s="49"/>
      <c r="BP92" s="49"/>
      <c r="BQ92" s="116" t="s">
        <v>4241</v>
      </c>
      <c r="BR92" s="116" t="s">
        <v>4241</v>
      </c>
      <c r="BS92" s="116" t="s">
        <v>4322</v>
      </c>
      <c r="BT92" s="116" t="s">
        <v>4322</v>
      </c>
      <c r="BU92" s="2"/>
      <c r="BV92" s="3"/>
      <c r="BW92" s="3"/>
      <c r="BX92" s="3"/>
      <c r="BY92" s="3"/>
    </row>
    <row r="93" spans="1:77" ht="15">
      <c r="A93" s="65" t="s">
        <v>304</v>
      </c>
      <c r="B93" s="66"/>
      <c r="C93" s="66" t="s">
        <v>64</v>
      </c>
      <c r="D93" s="67"/>
      <c r="E93" s="69"/>
      <c r="F93" s="104" t="str">
        <f>HYPERLINK("https://pbs.twimg.com/profile_images/2270580646/fz8d7g5bt6msddfzp1mp_normal.jpeg")</f>
        <v>https://pbs.twimg.com/profile_images/2270580646/fz8d7g5bt6msddfzp1mp_normal.jpeg</v>
      </c>
      <c r="G93" s="66"/>
      <c r="H93" s="70" t="s">
        <v>304</v>
      </c>
      <c r="I93" s="71" t="s">
        <v>4399</v>
      </c>
      <c r="J93" s="71" t="s">
        <v>73</v>
      </c>
      <c r="K93" s="70" t="s">
        <v>2231</v>
      </c>
      <c r="L93" s="74">
        <v>1</v>
      </c>
      <c r="M93" s="75">
        <v>7369.8359375</v>
      </c>
      <c r="N93" s="75">
        <v>935.513916015625</v>
      </c>
      <c r="O93" s="76"/>
      <c r="P93" s="77"/>
      <c r="Q93" s="77"/>
      <c r="R93" s="90"/>
      <c r="S93" s="49">
        <v>0</v>
      </c>
      <c r="T93" s="49">
        <v>1</v>
      </c>
      <c r="U93" s="50">
        <v>0</v>
      </c>
      <c r="V93" s="50">
        <v>0.199193</v>
      </c>
      <c r="W93" s="50">
        <v>0.006144</v>
      </c>
      <c r="X93" s="50">
        <v>0.003155</v>
      </c>
      <c r="Y93" s="50">
        <v>0</v>
      </c>
      <c r="Z93" s="50">
        <v>0</v>
      </c>
      <c r="AA93" s="72">
        <v>93</v>
      </c>
      <c r="AB93" s="72"/>
      <c r="AC93" s="73"/>
      <c r="AD93" s="80" t="s">
        <v>1324</v>
      </c>
      <c r="AE93" s="89" t="s">
        <v>1591</v>
      </c>
      <c r="AF93" s="80">
        <v>453</v>
      </c>
      <c r="AG93" s="80">
        <v>333</v>
      </c>
      <c r="AH93" s="80">
        <v>4864</v>
      </c>
      <c r="AI93" s="80">
        <v>20752</v>
      </c>
      <c r="AJ93" s="80"/>
      <c r="AK93" s="80" t="s">
        <v>1850</v>
      </c>
      <c r="AL93" s="80" t="s">
        <v>2075</v>
      </c>
      <c r="AM93" s="80"/>
      <c r="AN93" s="80"/>
      <c r="AO93" s="82">
        <v>40183.60603009259</v>
      </c>
      <c r="AP93" s="86" t="str">
        <f>HYPERLINK("https://pbs.twimg.com/profile_banners/102075784/1401176769")</f>
        <v>https://pbs.twimg.com/profile_banners/102075784/1401176769</v>
      </c>
      <c r="AQ93" s="80" t="b">
        <v>1</v>
      </c>
      <c r="AR93" s="80" t="b">
        <v>0</v>
      </c>
      <c r="AS93" s="80" t="b">
        <v>1</v>
      </c>
      <c r="AT93" s="80"/>
      <c r="AU93" s="80">
        <v>10</v>
      </c>
      <c r="AV93" s="86" t="str">
        <f>HYPERLINK("https://abs.twimg.com/images/themes/theme1/bg.png")</f>
        <v>https://abs.twimg.com/images/themes/theme1/bg.png</v>
      </c>
      <c r="AW93" s="80" t="b">
        <v>0</v>
      </c>
      <c r="AX93" s="80" t="s">
        <v>2141</v>
      </c>
      <c r="AY93" s="86" t="str">
        <f>HYPERLINK("https://twitter.com/tapoykko")</f>
        <v>https://twitter.com/tapoykko</v>
      </c>
      <c r="AZ93" s="80" t="s">
        <v>66</v>
      </c>
      <c r="BA93" s="80" t="str">
        <f>REPLACE(INDEX(GroupVertices[Group],MATCH(Vertices[[#This Row],[Vertex]],GroupVertices[Vertex],0)),1,1,"")</f>
        <v>2</v>
      </c>
      <c r="BB93" s="49">
        <v>0</v>
      </c>
      <c r="BC93" s="50">
        <v>0</v>
      </c>
      <c r="BD93" s="49">
        <v>0</v>
      </c>
      <c r="BE93" s="50">
        <v>0</v>
      </c>
      <c r="BF93" s="49">
        <v>0</v>
      </c>
      <c r="BG93" s="50">
        <v>0</v>
      </c>
      <c r="BH93" s="49">
        <v>6</v>
      </c>
      <c r="BI93" s="50">
        <v>100</v>
      </c>
      <c r="BJ93" s="49">
        <v>6</v>
      </c>
      <c r="BK93" s="49"/>
      <c r="BL93" s="49"/>
      <c r="BM93" s="49"/>
      <c r="BN93" s="49"/>
      <c r="BO93" s="49"/>
      <c r="BP93" s="49"/>
      <c r="BQ93" s="116" t="s">
        <v>4241</v>
      </c>
      <c r="BR93" s="116" t="s">
        <v>4241</v>
      </c>
      <c r="BS93" s="116" t="s">
        <v>4322</v>
      </c>
      <c r="BT93" s="116" t="s">
        <v>4322</v>
      </c>
      <c r="BU93" s="2"/>
      <c r="BV93" s="3"/>
      <c r="BW93" s="3"/>
      <c r="BX93" s="3"/>
      <c r="BY93" s="3"/>
    </row>
    <row r="94" spans="1:77" ht="15">
      <c r="A94" s="65" t="s">
        <v>305</v>
      </c>
      <c r="B94" s="66"/>
      <c r="C94" s="66" t="s">
        <v>64</v>
      </c>
      <c r="D94" s="67"/>
      <c r="E94" s="69"/>
      <c r="F94" s="104" t="str">
        <f>HYPERLINK("https://pbs.twimg.com/profile_images/1499100820129857537/tXGHGp1Z_normal.jpg")</f>
        <v>https://pbs.twimg.com/profile_images/1499100820129857537/tXGHGp1Z_normal.jpg</v>
      </c>
      <c r="G94" s="66"/>
      <c r="H94" s="70" t="s">
        <v>305</v>
      </c>
      <c r="I94" s="71" t="s">
        <v>4399</v>
      </c>
      <c r="J94" s="71" t="s">
        <v>73</v>
      </c>
      <c r="K94" s="70" t="s">
        <v>2232</v>
      </c>
      <c r="L94" s="74">
        <v>1</v>
      </c>
      <c r="M94" s="75">
        <v>3766.198486328125</v>
      </c>
      <c r="N94" s="75">
        <v>1051.2022705078125</v>
      </c>
      <c r="O94" s="76"/>
      <c r="P94" s="77"/>
      <c r="Q94" s="77"/>
      <c r="R94" s="90"/>
      <c r="S94" s="49">
        <v>0</v>
      </c>
      <c r="T94" s="49">
        <v>1</v>
      </c>
      <c r="U94" s="50">
        <v>0</v>
      </c>
      <c r="V94" s="50">
        <v>0.199193</v>
      </c>
      <c r="W94" s="50">
        <v>0.006144</v>
      </c>
      <c r="X94" s="50">
        <v>0.003155</v>
      </c>
      <c r="Y94" s="50">
        <v>0</v>
      </c>
      <c r="Z94" s="50">
        <v>0</v>
      </c>
      <c r="AA94" s="72">
        <v>94</v>
      </c>
      <c r="AB94" s="72"/>
      <c r="AC94" s="73"/>
      <c r="AD94" s="80" t="s">
        <v>1325</v>
      </c>
      <c r="AE94" s="89" t="s">
        <v>1592</v>
      </c>
      <c r="AF94" s="80">
        <v>647</v>
      </c>
      <c r="AG94" s="80">
        <v>175</v>
      </c>
      <c r="AH94" s="80">
        <v>375</v>
      </c>
      <c r="AI94" s="80">
        <v>2205</v>
      </c>
      <c r="AJ94" s="80"/>
      <c r="AK94" s="80" t="s">
        <v>1851</v>
      </c>
      <c r="AL94" s="80" t="s">
        <v>2065</v>
      </c>
      <c r="AM94" s="86" t="str">
        <f>HYPERLINK("https://t.co/1d6LBS5iHo")</f>
        <v>https://t.co/1d6LBS5iHo</v>
      </c>
      <c r="AN94" s="80"/>
      <c r="AO94" s="82">
        <v>39921.56804398148</v>
      </c>
      <c r="AP94" s="80"/>
      <c r="AQ94" s="80" t="b">
        <v>1</v>
      </c>
      <c r="AR94" s="80" t="b">
        <v>0</v>
      </c>
      <c r="AS94" s="80" t="b">
        <v>1</v>
      </c>
      <c r="AT94" s="80"/>
      <c r="AU94" s="80">
        <v>10</v>
      </c>
      <c r="AV94" s="86" t="str">
        <f>HYPERLINK("https://abs.twimg.com/images/themes/theme1/bg.png")</f>
        <v>https://abs.twimg.com/images/themes/theme1/bg.png</v>
      </c>
      <c r="AW94" s="80" t="b">
        <v>0</v>
      </c>
      <c r="AX94" s="80" t="s">
        <v>2141</v>
      </c>
      <c r="AY94" s="86" t="str">
        <f>HYPERLINK("https://twitter.com/anttihaapala")</f>
        <v>https://twitter.com/anttihaapala</v>
      </c>
      <c r="AZ94" s="80" t="s">
        <v>66</v>
      </c>
      <c r="BA94" s="80" t="str">
        <f>REPLACE(INDEX(GroupVertices[Group],MATCH(Vertices[[#This Row],[Vertex]],GroupVertices[Vertex],0)),1,1,"")</f>
        <v>2</v>
      </c>
      <c r="BB94" s="49">
        <v>0</v>
      </c>
      <c r="BC94" s="50">
        <v>0</v>
      </c>
      <c r="BD94" s="49">
        <v>0</v>
      </c>
      <c r="BE94" s="50">
        <v>0</v>
      </c>
      <c r="BF94" s="49">
        <v>0</v>
      </c>
      <c r="BG94" s="50">
        <v>0</v>
      </c>
      <c r="BH94" s="49">
        <v>6</v>
      </c>
      <c r="BI94" s="50">
        <v>100</v>
      </c>
      <c r="BJ94" s="49">
        <v>6</v>
      </c>
      <c r="BK94" s="49"/>
      <c r="BL94" s="49"/>
      <c r="BM94" s="49"/>
      <c r="BN94" s="49"/>
      <c r="BO94" s="49"/>
      <c r="BP94" s="49"/>
      <c r="BQ94" s="116" t="s">
        <v>4241</v>
      </c>
      <c r="BR94" s="116" t="s">
        <v>4241</v>
      </c>
      <c r="BS94" s="116" t="s">
        <v>4322</v>
      </c>
      <c r="BT94" s="116" t="s">
        <v>4322</v>
      </c>
      <c r="BU94" s="2"/>
      <c r="BV94" s="3"/>
      <c r="BW94" s="3"/>
      <c r="BX94" s="3"/>
      <c r="BY94" s="3"/>
    </row>
    <row r="95" spans="1:77" ht="15">
      <c r="A95" s="65" t="s">
        <v>306</v>
      </c>
      <c r="B95" s="66"/>
      <c r="C95" s="66" t="s">
        <v>64</v>
      </c>
      <c r="D95" s="67"/>
      <c r="E95" s="69"/>
      <c r="F95" s="104" t="str">
        <f>HYPERLINK("https://pbs.twimg.com/profile_images/1454118537111511049/L29CyvEl_normal.jpg")</f>
        <v>https://pbs.twimg.com/profile_images/1454118537111511049/L29CyvEl_normal.jpg</v>
      </c>
      <c r="G95" s="66"/>
      <c r="H95" s="70" t="s">
        <v>306</v>
      </c>
      <c r="I95" s="71" t="s">
        <v>4399</v>
      </c>
      <c r="J95" s="71" t="s">
        <v>73</v>
      </c>
      <c r="K95" s="70" t="s">
        <v>2233</v>
      </c>
      <c r="L95" s="74">
        <v>1</v>
      </c>
      <c r="M95" s="75">
        <v>6830.74462890625</v>
      </c>
      <c r="N95" s="75">
        <v>494.9477844238281</v>
      </c>
      <c r="O95" s="76"/>
      <c r="P95" s="77"/>
      <c r="Q95" s="77"/>
      <c r="R95" s="90"/>
      <c r="S95" s="49">
        <v>0</v>
      </c>
      <c r="T95" s="49">
        <v>1</v>
      </c>
      <c r="U95" s="50">
        <v>0</v>
      </c>
      <c r="V95" s="50">
        <v>0.199193</v>
      </c>
      <c r="W95" s="50">
        <v>0.006144</v>
      </c>
      <c r="X95" s="50">
        <v>0.003155</v>
      </c>
      <c r="Y95" s="50">
        <v>0</v>
      </c>
      <c r="Z95" s="50">
        <v>0</v>
      </c>
      <c r="AA95" s="72">
        <v>95</v>
      </c>
      <c r="AB95" s="72"/>
      <c r="AC95" s="73"/>
      <c r="AD95" s="80" t="s">
        <v>1326</v>
      </c>
      <c r="AE95" s="89" t="s">
        <v>1593</v>
      </c>
      <c r="AF95" s="80">
        <v>620</v>
      </c>
      <c r="AG95" s="80">
        <v>989</v>
      </c>
      <c r="AH95" s="80">
        <v>7382</v>
      </c>
      <c r="AI95" s="80">
        <v>8409</v>
      </c>
      <c r="AJ95" s="80"/>
      <c r="AK95" s="80" t="s">
        <v>1852</v>
      </c>
      <c r="AL95" s="80" t="s">
        <v>2076</v>
      </c>
      <c r="AM95" s="86" t="str">
        <f>HYPERLINK("https://t.co/0I4H6JERMb")</f>
        <v>https://t.co/0I4H6JERMb</v>
      </c>
      <c r="AN95" s="80"/>
      <c r="AO95" s="82">
        <v>41617.35681712963</v>
      </c>
      <c r="AP95" s="86" t="str">
        <f>HYPERLINK("https://pbs.twimg.com/profile_banners/2237284014/1635523852")</f>
        <v>https://pbs.twimg.com/profile_banners/2237284014/1635523852</v>
      </c>
      <c r="AQ95" s="80" t="b">
        <v>0</v>
      </c>
      <c r="AR95" s="80" t="b">
        <v>0</v>
      </c>
      <c r="AS95" s="80" t="b">
        <v>0</v>
      </c>
      <c r="AT95" s="80"/>
      <c r="AU95" s="80">
        <v>2</v>
      </c>
      <c r="AV95" s="86" t="str">
        <f>HYPERLINK("https://abs.twimg.com/images/themes/theme1/bg.png")</f>
        <v>https://abs.twimg.com/images/themes/theme1/bg.png</v>
      </c>
      <c r="AW95" s="80" t="b">
        <v>0</v>
      </c>
      <c r="AX95" s="80" t="s">
        <v>2141</v>
      </c>
      <c r="AY95" s="86" t="str">
        <f>HYPERLINK("https://twitter.com/arielneulaniemi")</f>
        <v>https://twitter.com/arielneulaniemi</v>
      </c>
      <c r="AZ95" s="80" t="s">
        <v>66</v>
      </c>
      <c r="BA95" s="80" t="str">
        <f>REPLACE(INDEX(GroupVertices[Group],MATCH(Vertices[[#This Row],[Vertex]],GroupVertices[Vertex],0)),1,1,"")</f>
        <v>2</v>
      </c>
      <c r="BB95" s="49">
        <v>0</v>
      </c>
      <c r="BC95" s="50">
        <v>0</v>
      </c>
      <c r="BD95" s="49">
        <v>0</v>
      </c>
      <c r="BE95" s="50">
        <v>0</v>
      </c>
      <c r="BF95" s="49">
        <v>0</v>
      </c>
      <c r="BG95" s="50">
        <v>0</v>
      </c>
      <c r="BH95" s="49">
        <v>6</v>
      </c>
      <c r="BI95" s="50">
        <v>100</v>
      </c>
      <c r="BJ95" s="49">
        <v>6</v>
      </c>
      <c r="BK95" s="49"/>
      <c r="BL95" s="49"/>
      <c r="BM95" s="49"/>
      <c r="BN95" s="49"/>
      <c r="BO95" s="49"/>
      <c r="BP95" s="49"/>
      <c r="BQ95" s="116" t="s">
        <v>4241</v>
      </c>
      <c r="BR95" s="116" t="s">
        <v>4241</v>
      </c>
      <c r="BS95" s="116" t="s">
        <v>4322</v>
      </c>
      <c r="BT95" s="116" t="s">
        <v>4322</v>
      </c>
      <c r="BU95" s="2"/>
      <c r="BV95" s="3"/>
      <c r="BW95" s="3"/>
      <c r="BX95" s="3"/>
      <c r="BY95" s="3"/>
    </row>
    <row r="96" spans="1:77" ht="15">
      <c r="A96" s="65" t="s">
        <v>307</v>
      </c>
      <c r="B96" s="66"/>
      <c r="C96" s="66" t="s">
        <v>64</v>
      </c>
      <c r="D96" s="67">
        <v>10</v>
      </c>
      <c r="E96" s="69"/>
      <c r="F96" s="104" t="str">
        <f>HYPERLINK("https://pbs.twimg.com/profile_images/1339180305287176192/ntciyzsG_normal.jpg")</f>
        <v>https://pbs.twimg.com/profile_images/1339180305287176192/ntciyzsG_normal.jpg</v>
      </c>
      <c r="G96" s="66"/>
      <c r="H96" s="70" t="s">
        <v>307</v>
      </c>
      <c r="I96" s="71" t="s">
        <v>4398</v>
      </c>
      <c r="J96" s="71" t="s">
        <v>73</v>
      </c>
      <c r="K96" s="70" t="s">
        <v>2234</v>
      </c>
      <c r="L96" s="74">
        <v>99.01960784313725</v>
      </c>
      <c r="M96" s="75"/>
      <c r="N96" s="75"/>
      <c r="O96" s="76"/>
      <c r="P96" s="77"/>
      <c r="Q96" s="77"/>
      <c r="R96" s="90"/>
      <c r="S96" s="49">
        <v>1</v>
      </c>
      <c r="T96" s="49">
        <v>1</v>
      </c>
      <c r="U96" s="50">
        <v>0</v>
      </c>
      <c r="V96" s="50">
        <v>0</v>
      </c>
      <c r="W96" s="50">
        <v>0</v>
      </c>
      <c r="X96" s="50">
        <v>0.003623</v>
      </c>
      <c r="Y96" s="50">
        <v>0</v>
      </c>
      <c r="Z96" s="50">
        <v>0</v>
      </c>
      <c r="AA96" s="72">
        <v>96</v>
      </c>
      <c r="AB96" s="72"/>
      <c r="AC96" s="73"/>
      <c r="AD96" s="80" t="s">
        <v>1327</v>
      </c>
      <c r="AE96" s="89" t="s">
        <v>1594</v>
      </c>
      <c r="AF96" s="80">
        <v>65</v>
      </c>
      <c r="AG96" s="80">
        <v>2448</v>
      </c>
      <c r="AH96" s="80">
        <v>6491</v>
      </c>
      <c r="AI96" s="80">
        <v>515</v>
      </c>
      <c r="AJ96" s="80"/>
      <c r="AK96" s="80" t="s">
        <v>1853</v>
      </c>
      <c r="AL96" s="80" t="s">
        <v>2077</v>
      </c>
      <c r="AM96" s="86" t="str">
        <f>HYPERLINK("https://t.co/BMJtK1r7Ii")</f>
        <v>https://t.co/BMJtK1r7Ii</v>
      </c>
      <c r="AN96" s="80"/>
      <c r="AO96" s="82">
        <v>44181.504699074074</v>
      </c>
      <c r="AP96" s="86" t="str">
        <f>HYPERLINK("https://pbs.twimg.com/profile_banners/1339180028161105920/1627373214")</f>
        <v>https://pbs.twimg.com/profile_banners/1339180028161105920/1627373214</v>
      </c>
      <c r="AQ96" s="80" t="b">
        <v>1</v>
      </c>
      <c r="AR96" s="80" t="b">
        <v>0</v>
      </c>
      <c r="AS96" s="80" t="b">
        <v>0</v>
      </c>
      <c r="AT96" s="80"/>
      <c r="AU96" s="80">
        <v>10</v>
      </c>
      <c r="AV96" s="80"/>
      <c r="AW96" s="80" t="b">
        <v>0</v>
      </c>
      <c r="AX96" s="80" t="s">
        <v>2141</v>
      </c>
      <c r="AY96" s="86" t="str">
        <f>HYPERLINK("https://twitter.com/hs_visio")</f>
        <v>https://twitter.com/hs_visio</v>
      </c>
      <c r="AZ96" s="80" t="s">
        <v>66</v>
      </c>
      <c r="BA96" s="80" t="str">
        <f>REPLACE(INDEX(GroupVertices[Group],MATCH(Vertices[[#This Row],[Vertex]],GroupVertices[Vertex],0)),1,1,"")</f>
        <v>3</v>
      </c>
      <c r="BB96" s="49">
        <v>0</v>
      </c>
      <c r="BC96" s="50">
        <v>0</v>
      </c>
      <c r="BD96" s="49">
        <v>0</v>
      </c>
      <c r="BE96" s="50">
        <v>0</v>
      </c>
      <c r="BF96" s="49">
        <v>0</v>
      </c>
      <c r="BG96" s="50">
        <v>0</v>
      </c>
      <c r="BH96" s="49">
        <v>17</v>
      </c>
      <c r="BI96" s="50">
        <v>100</v>
      </c>
      <c r="BJ96" s="49">
        <v>17</v>
      </c>
      <c r="BK96" s="49" t="s">
        <v>4009</v>
      </c>
      <c r="BL96" s="49" t="s">
        <v>4009</v>
      </c>
      <c r="BM96" s="49" t="s">
        <v>582</v>
      </c>
      <c r="BN96" s="49" t="s">
        <v>582</v>
      </c>
      <c r="BO96" s="49"/>
      <c r="BP96" s="49"/>
      <c r="BQ96" s="116" t="s">
        <v>4256</v>
      </c>
      <c r="BR96" s="116" t="s">
        <v>4256</v>
      </c>
      <c r="BS96" s="116" t="s">
        <v>4337</v>
      </c>
      <c r="BT96" s="116" t="s">
        <v>4337</v>
      </c>
      <c r="BU96" s="2"/>
      <c r="BV96" s="3"/>
      <c r="BW96" s="3"/>
      <c r="BX96" s="3"/>
      <c r="BY96" s="3"/>
    </row>
    <row r="97" spans="1:77" ht="15">
      <c r="A97" s="65" t="s">
        <v>308</v>
      </c>
      <c r="B97" s="66"/>
      <c r="C97" s="66" t="s">
        <v>64</v>
      </c>
      <c r="D97" s="67"/>
      <c r="E97" s="69"/>
      <c r="F97" s="104" t="str">
        <f>HYPERLINK("https://pbs.twimg.com/profile_images/1037265395235864576/cTAXyRIu_normal.jpg")</f>
        <v>https://pbs.twimg.com/profile_images/1037265395235864576/cTAXyRIu_normal.jpg</v>
      </c>
      <c r="G97" s="66"/>
      <c r="H97" s="70" t="s">
        <v>308</v>
      </c>
      <c r="I97" s="71" t="s">
        <v>4401</v>
      </c>
      <c r="J97" s="71" t="s">
        <v>73</v>
      </c>
      <c r="K97" s="70" t="s">
        <v>2235</v>
      </c>
      <c r="L97" s="74">
        <v>1</v>
      </c>
      <c r="M97" s="75">
        <v>8150.77587890625</v>
      </c>
      <c r="N97" s="75">
        <v>9327.6201171875</v>
      </c>
      <c r="O97" s="76"/>
      <c r="P97" s="77"/>
      <c r="Q97" s="77"/>
      <c r="R97" s="90"/>
      <c r="S97" s="49">
        <v>0</v>
      </c>
      <c r="T97" s="49">
        <v>1</v>
      </c>
      <c r="U97" s="50">
        <v>0</v>
      </c>
      <c r="V97" s="50">
        <v>0.008312</v>
      </c>
      <c r="W97" s="50">
        <v>0</v>
      </c>
      <c r="X97" s="50">
        <v>0.003235</v>
      </c>
      <c r="Y97" s="50">
        <v>0</v>
      </c>
      <c r="Z97" s="50">
        <v>0</v>
      </c>
      <c r="AA97" s="72">
        <v>97</v>
      </c>
      <c r="AB97" s="72"/>
      <c r="AC97" s="73"/>
      <c r="AD97" s="80" t="s">
        <v>1328</v>
      </c>
      <c r="AE97" s="89" t="s">
        <v>1595</v>
      </c>
      <c r="AF97" s="80">
        <v>371</v>
      </c>
      <c r="AG97" s="80">
        <v>210</v>
      </c>
      <c r="AH97" s="80">
        <v>4676</v>
      </c>
      <c r="AI97" s="80">
        <v>110144</v>
      </c>
      <c r="AJ97" s="80"/>
      <c r="AK97" s="80" t="s">
        <v>1854</v>
      </c>
      <c r="AL97" s="80" t="s">
        <v>2078</v>
      </c>
      <c r="AM97" s="86" t="str">
        <f>HYPERLINK("https://t.co/dUQRXUqkds")</f>
        <v>https://t.co/dUQRXUqkds</v>
      </c>
      <c r="AN97" s="80"/>
      <c r="AO97" s="82">
        <v>40614.4028125</v>
      </c>
      <c r="AP97" s="86" t="str">
        <f>HYPERLINK("https://pbs.twimg.com/profile_banners/264702131/1528230216")</f>
        <v>https://pbs.twimg.com/profile_banners/264702131/1528230216</v>
      </c>
      <c r="AQ97" s="80" t="b">
        <v>0</v>
      </c>
      <c r="AR97" s="80" t="b">
        <v>0</v>
      </c>
      <c r="AS97" s="80" t="b">
        <v>1</v>
      </c>
      <c r="AT97" s="80"/>
      <c r="AU97" s="80">
        <v>6</v>
      </c>
      <c r="AV97" s="86" t="str">
        <f>HYPERLINK("https://abs.twimg.com/images/themes/theme15/bg.png")</f>
        <v>https://abs.twimg.com/images/themes/theme15/bg.png</v>
      </c>
      <c r="AW97" s="80" t="b">
        <v>0</v>
      </c>
      <c r="AX97" s="80" t="s">
        <v>2141</v>
      </c>
      <c r="AY97" s="86" t="str">
        <f>HYPERLINK("https://twitter.com/vilpertt")</f>
        <v>https://twitter.com/vilpertt</v>
      </c>
      <c r="AZ97" s="80" t="s">
        <v>66</v>
      </c>
      <c r="BA97" s="80" t="str">
        <f>REPLACE(INDEX(GroupVertices[Group],MATCH(Vertices[[#This Row],[Vertex]],GroupVertices[Vertex],0)),1,1,"")</f>
        <v>5</v>
      </c>
      <c r="BB97" s="49">
        <v>0</v>
      </c>
      <c r="BC97" s="50">
        <v>0</v>
      </c>
      <c r="BD97" s="49">
        <v>0</v>
      </c>
      <c r="BE97" s="50">
        <v>0</v>
      </c>
      <c r="BF97" s="49">
        <v>0</v>
      </c>
      <c r="BG97" s="50">
        <v>0</v>
      </c>
      <c r="BH97" s="49">
        <v>16</v>
      </c>
      <c r="BI97" s="50">
        <v>100</v>
      </c>
      <c r="BJ97" s="49">
        <v>16</v>
      </c>
      <c r="BK97" s="49" t="s">
        <v>3990</v>
      </c>
      <c r="BL97" s="49" t="s">
        <v>3990</v>
      </c>
      <c r="BM97" s="49" t="s">
        <v>582</v>
      </c>
      <c r="BN97" s="49" t="s">
        <v>582</v>
      </c>
      <c r="BO97" s="49"/>
      <c r="BP97" s="49"/>
      <c r="BQ97" s="116" t="s">
        <v>4257</v>
      </c>
      <c r="BR97" s="116" t="s">
        <v>4257</v>
      </c>
      <c r="BS97" s="116" t="s">
        <v>4158</v>
      </c>
      <c r="BT97" s="116" t="s">
        <v>4158</v>
      </c>
      <c r="BU97" s="2"/>
      <c r="BV97" s="3"/>
      <c r="BW97" s="3"/>
      <c r="BX97" s="3"/>
      <c r="BY97" s="3"/>
    </row>
    <row r="98" spans="1:77" ht="15">
      <c r="A98" s="65" t="s">
        <v>351</v>
      </c>
      <c r="B98" s="66"/>
      <c r="C98" s="66" t="s">
        <v>64</v>
      </c>
      <c r="D98" s="67">
        <v>1000</v>
      </c>
      <c r="E98" s="69"/>
      <c r="F98" s="104" t="str">
        <f>HYPERLINK("https://pbs.twimg.com/profile_images/1145579222901149702/pY4TIowa_normal.png")</f>
        <v>https://pbs.twimg.com/profile_images/1145579222901149702/pY4TIowa_normal.png</v>
      </c>
      <c r="G98" s="66"/>
      <c r="H98" s="70" t="s">
        <v>351</v>
      </c>
      <c r="I98" s="71" t="s">
        <v>4401</v>
      </c>
      <c r="J98" s="71" t="s">
        <v>73</v>
      </c>
      <c r="K98" s="70" t="s">
        <v>2236</v>
      </c>
      <c r="L98" s="74">
        <v>491.0980392156863</v>
      </c>
      <c r="M98" s="75">
        <v>9010.912109375</v>
      </c>
      <c r="N98" s="75">
        <v>9346.068359375</v>
      </c>
      <c r="O98" s="76"/>
      <c r="P98" s="77"/>
      <c r="Q98" s="77"/>
      <c r="R98" s="90"/>
      <c r="S98" s="49">
        <v>5</v>
      </c>
      <c r="T98" s="49">
        <v>1</v>
      </c>
      <c r="U98" s="50">
        <v>12</v>
      </c>
      <c r="V98" s="50">
        <v>0.014545</v>
      </c>
      <c r="W98" s="50">
        <v>0</v>
      </c>
      <c r="X98" s="50">
        <v>0.005176</v>
      </c>
      <c r="Y98" s="50">
        <v>0</v>
      </c>
      <c r="Z98" s="50">
        <v>0</v>
      </c>
      <c r="AA98" s="72">
        <v>98</v>
      </c>
      <c r="AB98" s="72"/>
      <c r="AC98" s="73"/>
      <c r="AD98" s="80" t="s">
        <v>1329</v>
      </c>
      <c r="AE98" s="89" t="s">
        <v>1596</v>
      </c>
      <c r="AF98" s="80">
        <v>2377</v>
      </c>
      <c r="AG98" s="80">
        <v>365069</v>
      </c>
      <c r="AH98" s="80">
        <v>197683</v>
      </c>
      <c r="AI98" s="80">
        <v>475</v>
      </c>
      <c r="AJ98" s="80"/>
      <c r="AK98" s="80" t="s">
        <v>1855</v>
      </c>
      <c r="AL98" s="80" t="s">
        <v>2079</v>
      </c>
      <c r="AM98" s="86" t="str">
        <f>HYPERLINK("https://t.co/28t8Vacqt5")</f>
        <v>https://t.co/28t8Vacqt5</v>
      </c>
      <c r="AN98" s="80"/>
      <c r="AO98" s="82">
        <v>39945.7019212963</v>
      </c>
      <c r="AP98" s="86" t="str">
        <f>HYPERLINK("https://pbs.twimg.com/profile_banners/39540130/1625664672")</f>
        <v>https://pbs.twimg.com/profile_banners/39540130/1625664672</v>
      </c>
      <c r="AQ98" s="80" t="b">
        <v>0</v>
      </c>
      <c r="AR98" s="80" t="b">
        <v>0</v>
      </c>
      <c r="AS98" s="80" t="b">
        <v>1</v>
      </c>
      <c r="AT98" s="80"/>
      <c r="AU98" s="80">
        <v>1399</v>
      </c>
      <c r="AV98" s="86" t="str">
        <f>HYPERLINK("https://abs.twimg.com/images/themes/theme3/bg.gif")</f>
        <v>https://abs.twimg.com/images/themes/theme3/bg.gif</v>
      </c>
      <c r="AW98" s="80" t="b">
        <v>1</v>
      </c>
      <c r="AX98" s="80" t="s">
        <v>2141</v>
      </c>
      <c r="AY98" s="86" t="str">
        <f>HYPERLINK("https://twitter.com/hsfi")</f>
        <v>https://twitter.com/hsfi</v>
      </c>
      <c r="AZ98" s="80" t="s">
        <v>66</v>
      </c>
      <c r="BA98" s="80" t="str">
        <f>REPLACE(INDEX(GroupVertices[Group],MATCH(Vertices[[#This Row],[Vertex]],GroupVertices[Vertex],0)),1,1,"")</f>
        <v>5</v>
      </c>
      <c r="BB98" s="49">
        <v>0</v>
      </c>
      <c r="BC98" s="50">
        <v>0</v>
      </c>
      <c r="BD98" s="49">
        <v>0</v>
      </c>
      <c r="BE98" s="50">
        <v>0</v>
      </c>
      <c r="BF98" s="49">
        <v>0</v>
      </c>
      <c r="BG98" s="50">
        <v>0</v>
      </c>
      <c r="BH98" s="49">
        <v>16</v>
      </c>
      <c r="BI98" s="50">
        <v>100</v>
      </c>
      <c r="BJ98" s="49">
        <v>16</v>
      </c>
      <c r="BK98" s="49" t="s">
        <v>3990</v>
      </c>
      <c r="BL98" s="49" t="s">
        <v>3990</v>
      </c>
      <c r="BM98" s="49" t="s">
        <v>582</v>
      </c>
      <c r="BN98" s="49" t="s">
        <v>582</v>
      </c>
      <c r="BO98" s="49"/>
      <c r="BP98" s="49"/>
      <c r="BQ98" s="116" t="s">
        <v>4257</v>
      </c>
      <c r="BR98" s="116" t="s">
        <v>4257</v>
      </c>
      <c r="BS98" s="116" t="s">
        <v>4158</v>
      </c>
      <c r="BT98" s="116" t="s">
        <v>4158</v>
      </c>
      <c r="BU98" s="2"/>
      <c r="BV98" s="3"/>
      <c r="BW98" s="3"/>
      <c r="BX98" s="3"/>
      <c r="BY98" s="3"/>
    </row>
    <row r="99" spans="1:77" ht="15">
      <c r="A99" s="65" t="s">
        <v>309</v>
      </c>
      <c r="B99" s="66"/>
      <c r="C99" s="66" t="s">
        <v>64</v>
      </c>
      <c r="D99" s="67">
        <v>10</v>
      </c>
      <c r="E99" s="69"/>
      <c r="F99" s="104" t="str">
        <f>HYPERLINK("https://pbs.twimg.com/profile_images/492434663/jalanj_lki_normal.jpg")</f>
        <v>https://pbs.twimg.com/profile_images/492434663/jalanj_lki_normal.jpg</v>
      </c>
      <c r="G99" s="66"/>
      <c r="H99" s="70" t="s">
        <v>309</v>
      </c>
      <c r="I99" s="71" t="s">
        <v>4398</v>
      </c>
      <c r="J99" s="71" t="s">
        <v>73</v>
      </c>
      <c r="K99" s="70" t="s">
        <v>2237</v>
      </c>
      <c r="L99" s="74">
        <v>99.01960784313725</v>
      </c>
      <c r="M99" s="75"/>
      <c r="N99" s="75"/>
      <c r="O99" s="76"/>
      <c r="P99" s="77"/>
      <c r="Q99" s="77"/>
      <c r="R99" s="90"/>
      <c r="S99" s="49">
        <v>1</v>
      </c>
      <c r="T99" s="49">
        <v>1</v>
      </c>
      <c r="U99" s="50">
        <v>0</v>
      </c>
      <c r="V99" s="50">
        <v>0</v>
      </c>
      <c r="W99" s="50">
        <v>0</v>
      </c>
      <c r="X99" s="50">
        <v>0.003623</v>
      </c>
      <c r="Y99" s="50">
        <v>0</v>
      </c>
      <c r="Z99" s="50">
        <v>0</v>
      </c>
      <c r="AA99" s="72">
        <v>99</v>
      </c>
      <c r="AB99" s="72"/>
      <c r="AC99" s="73"/>
      <c r="AD99" s="80" t="s">
        <v>1330</v>
      </c>
      <c r="AE99" s="89" t="s">
        <v>1597</v>
      </c>
      <c r="AF99" s="80">
        <v>1925</v>
      </c>
      <c r="AG99" s="80">
        <v>2169</v>
      </c>
      <c r="AH99" s="80">
        <v>20547</v>
      </c>
      <c r="AI99" s="80">
        <v>51564</v>
      </c>
      <c r="AJ99" s="80"/>
      <c r="AK99" s="80" t="s">
        <v>1856</v>
      </c>
      <c r="AL99" s="80"/>
      <c r="AM99" s="80"/>
      <c r="AN99" s="80"/>
      <c r="AO99" s="82">
        <v>40064.481840277775</v>
      </c>
      <c r="AP99" s="86" t="str">
        <f>HYPERLINK("https://pbs.twimg.com/profile_banners/72531304/1411546602")</f>
        <v>https://pbs.twimg.com/profile_banners/72531304/1411546602</v>
      </c>
      <c r="AQ99" s="80" t="b">
        <v>0</v>
      </c>
      <c r="AR99" s="80" t="b">
        <v>0</v>
      </c>
      <c r="AS99" s="80" t="b">
        <v>0</v>
      </c>
      <c r="AT99" s="80"/>
      <c r="AU99" s="80">
        <v>18</v>
      </c>
      <c r="AV99" s="86" t="str">
        <f>HYPERLINK("https://abs.twimg.com/images/themes/theme18/bg.gif")</f>
        <v>https://abs.twimg.com/images/themes/theme18/bg.gif</v>
      </c>
      <c r="AW99" s="80" t="b">
        <v>0</v>
      </c>
      <c r="AX99" s="80" t="s">
        <v>2141</v>
      </c>
      <c r="AY99" s="86" t="str">
        <f>HYPERLINK("https://twitter.com/pekkarahko")</f>
        <v>https://twitter.com/pekkarahko</v>
      </c>
      <c r="AZ99" s="80" t="s">
        <v>66</v>
      </c>
      <c r="BA99" s="80" t="str">
        <f>REPLACE(INDEX(GroupVertices[Group],MATCH(Vertices[[#This Row],[Vertex]],GroupVertices[Vertex],0)),1,1,"")</f>
        <v>3</v>
      </c>
      <c r="BB99" s="49">
        <v>0</v>
      </c>
      <c r="BC99" s="50">
        <v>0</v>
      </c>
      <c r="BD99" s="49">
        <v>0</v>
      </c>
      <c r="BE99" s="50">
        <v>0</v>
      </c>
      <c r="BF99" s="49">
        <v>0</v>
      </c>
      <c r="BG99" s="50">
        <v>0</v>
      </c>
      <c r="BH99" s="49">
        <v>12</v>
      </c>
      <c r="BI99" s="50">
        <v>100</v>
      </c>
      <c r="BJ99" s="49">
        <v>12</v>
      </c>
      <c r="BK99" s="49" t="s">
        <v>3998</v>
      </c>
      <c r="BL99" s="49" t="s">
        <v>3998</v>
      </c>
      <c r="BM99" s="49" t="s">
        <v>580</v>
      </c>
      <c r="BN99" s="49" t="s">
        <v>580</v>
      </c>
      <c r="BO99" s="49"/>
      <c r="BP99" s="49"/>
      <c r="BQ99" s="116" t="s">
        <v>4258</v>
      </c>
      <c r="BR99" s="116" t="s">
        <v>4258</v>
      </c>
      <c r="BS99" s="116" t="s">
        <v>4338</v>
      </c>
      <c r="BT99" s="116" t="s">
        <v>4338</v>
      </c>
      <c r="BU99" s="2"/>
      <c r="BV99" s="3"/>
      <c r="BW99" s="3"/>
      <c r="BX99" s="3"/>
      <c r="BY99" s="3"/>
    </row>
    <row r="100" spans="1:77" ht="15">
      <c r="A100" s="65" t="s">
        <v>310</v>
      </c>
      <c r="B100" s="66"/>
      <c r="C100" s="66" t="s">
        <v>64</v>
      </c>
      <c r="D100" s="67">
        <v>436.36979249265914</v>
      </c>
      <c r="E100" s="69"/>
      <c r="F100" s="104" t="str">
        <f>HYPERLINK("https://pbs.twimg.com/profile_images/684385530944057344/Z1nbV-IU_normal.jpg")</f>
        <v>https://pbs.twimg.com/profile_images/684385530944057344/Z1nbV-IU_normal.jpg</v>
      </c>
      <c r="G100" s="66"/>
      <c r="H100" s="70" t="s">
        <v>310</v>
      </c>
      <c r="I100" s="71" t="s">
        <v>4402</v>
      </c>
      <c r="J100" s="71" t="s">
        <v>73</v>
      </c>
      <c r="K100" s="70" t="s">
        <v>2238</v>
      </c>
      <c r="L100" s="74">
        <v>197.0392156862745</v>
      </c>
      <c r="M100" s="75">
        <v>8665.357421875</v>
      </c>
      <c r="N100" s="75">
        <v>7511.09716796875</v>
      </c>
      <c r="O100" s="76"/>
      <c r="P100" s="77"/>
      <c r="Q100" s="77"/>
      <c r="R100" s="90"/>
      <c r="S100" s="49">
        <v>2</v>
      </c>
      <c r="T100" s="49">
        <v>1</v>
      </c>
      <c r="U100" s="50">
        <v>0</v>
      </c>
      <c r="V100" s="50">
        <v>0.003636</v>
      </c>
      <c r="W100" s="50">
        <v>0</v>
      </c>
      <c r="X100" s="50">
        <v>0.003876</v>
      </c>
      <c r="Y100" s="50">
        <v>0</v>
      </c>
      <c r="Z100" s="50">
        <v>0</v>
      </c>
      <c r="AA100" s="72">
        <v>100</v>
      </c>
      <c r="AB100" s="72"/>
      <c r="AC100" s="73"/>
      <c r="AD100" s="80" t="s">
        <v>1331</v>
      </c>
      <c r="AE100" s="89" t="s">
        <v>1598</v>
      </c>
      <c r="AF100" s="80">
        <v>793</v>
      </c>
      <c r="AG100" s="80">
        <v>4267</v>
      </c>
      <c r="AH100" s="80">
        <v>5353</v>
      </c>
      <c r="AI100" s="80">
        <v>3839</v>
      </c>
      <c r="AJ100" s="80"/>
      <c r="AK100" s="80" t="s">
        <v>1857</v>
      </c>
      <c r="AL100" s="80" t="s">
        <v>2051</v>
      </c>
      <c r="AM100" s="86" t="str">
        <f>HYPERLINK("http://t.co/uWE7AOs0VQ")</f>
        <v>http://t.co/uWE7AOs0VQ</v>
      </c>
      <c r="AN100" s="80"/>
      <c r="AO100" s="82">
        <v>40925.36325231481</v>
      </c>
      <c r="AP100" s="86" t="str">
        <f>HYPERLINK("https://pbs.twimg.com/profile_banners/466323246/1633437481")</f>
        <v>https://pbs.twimg.com/profile_banners/466323246/1633437481</v>
      </c>
      <c r="AQ100" s="80" t="b">
        <v>1</v>
      </c>
      <c r="AR100" s="80" t="b">
        <v>0</v>
      </c>
      <c r="AS100" s="80" t="b">
        <v>1</v>
      </c>
      <c r="AT100" s="80"/>
      <c r="AU100" s="80">
        <v>40</v>
      </c>
      <c r="AV100" s="86" t="str">
        <f>HYPERLINK("https://abs.twimg.com/images/themes/theme1/bg.png")</f>
        <v>https://abs.twimg.com/images/themes/theme1/bg.png</v>
      </c>
      <c r="AW100" s="80" t="b">
        <v>0</v>
      </c>
      <c r="AX100" s="80" t="s">
        <v>2141</v>
      </c>
      <c r="AY100" s="86" t="str">
        <f>HYPERLINK("https://twitter.com/suomalainentyo")</f>
        <v>https://twitter.com/suomalainentyo</v>
      </c>
      <c r="AZ100" s="80" t="s">
        <v>66</v>
      </c>
      <c r="BA100" s="80" t="str">
        <f>REPLACE(INDEX(GroupVertices[Group],MATCH(Vertices[[#This Row],[Vertex]],GroupVertices[Vertex],0)),1,1,"")</f>
        <v>18</v>
      </c>
      <c r="BB100" s="49">
        <v>0</v>
      </c>
      <c r="BC100" s="50">
        <v>0</v>
      </c>
      <c r="BD100" s="49">
        <v>0</v>
      </c>
      <c r="BE100" s="50">
        <v>0</v>
      </c>
      <c r="BF100" s="49">
        <v>0</v>
      </c>
      <c r="BG100" s="50">
        <v>0</v>
      </c>
      <c r="BH100" s="49">
        <v>13</v>
      </c>
      <c r="BI100" s="50">
        <v>100</v>
      </c>
      <c r="BJ100" s="49">
        <v>13</v>
      </c>
      <c r="BK100" s="49" t="s">
        <v>3999</v>
      </c>
      <c r="BL100" s="49" t="s">
        <v>3999</v>
      </c>
      <c r="BM100" s="49" t="s">
        <v>583</v>
      </c>
      <c r="BN100" s="49" t="s">
        <v>583</v>
      </c>
      <c r="BO100" s="49" t="s">
        <v>592</v>
      </c>
      <c r="BP100" s="49" t="s">
        <v>592</v>
      </c>
      <c r="BQ100" s="116" t="s">
        <v>4259</v>
      </c>
      <c r="BR100" s="116" t="s">
        <v>4259</v>
      </c>
      <c r="BS100" s="116" t="s">
        <v>4339</v>
      </c>
      <c r="BT100" s="116" t="s">
        <v>4339</v>
      </c>
      <c r="BU100" s="2"/>
      <c r="BV100" s="3"/>
      <c r="BW100" s="3"/>
      <c r="BX100" s="3"/>
      <c r="BY100" s="3"/>
    </row>
    <row r="101" spans="1:77" ht="15">
      <c r="A101" s="65" t="s">
        <v>311</v>
      </c>
      <c r="B101" s="66"/>
      <c r="C101" s="66" t="s">
        <v>64</v>
      </c>
      <c r="D101" s="67"/>
      <c r="E101" s="69"/>
      <c r="F101" s="104" t="str">
        <f>HYPERLINK("https://pbs.twimg.com/profile_images/644513025525813248/HsB8dB7j_normal.jpg")</f>
        <v>https://pbs.twimg.com/profile_images/644513025525813248/HsB8dB7j_normal.jpg</v>
      </c>
      <c r="G101" s="66"/>
      <c r="H101" s="70" t="s">
        <v>311</v>
      </c>
      <c r="I101" s="71" t="s">
        <v>4402</v>
      </c>
      <c r="J101" s="71" t="s">
        <v>73</v>
      </c>
      <c r="K101" s="70" t="s">
        <v>2239</v>
      </c>
      <c r="L101" s="74">
        <v>1</v>
      </c>
      <c r="M101" s="75">
        <v>8322.306640625</v>
      </c>
      <c r="N101" s="75">
        <v>7511.09716796875</v>
      </c>
      <c r="O101" s="76"/>
      <c r="P101" s="77"/>
      <c r="Q101" s="77"/>
      <c r="R101" s="90"/>
      <c r="S101" s="49">
        <v>0</v>
      </c>
      <c r="T101" s="49">
        <v>1</v>
      </c>
      <c r="U101" s="50">
        <v>0</v>
      </c>
      <c r="V101" s="50">
        <v>0.003636</v>
      </c>
      <c r="W101" s="50">
        <v>0</v>
      </c>
      <c r="X101" s="50">
        <v>0.00337</v>
      </c>
      <c r="Y101" s="50">
        <v>0</v>
      </c>
      <c r="Z101" s="50">
        <v>0</v>
      </c>
      <c r="AA101" s="72">
        <v>101</v>
      </c>
      <c r="AB101" s="72"/>
      <c r="AC101" s="73"/>
      <c r="AD101" s="80" t="s">
        <v>1332</v>
      </c>
      <c r="AE101" s="89" t="s">
        <v>1599</v>
      </c>
      <c r="AF101" s="80">
        <v>592</v>
      </c>
      <c r="AG101" s="80">
        <v>2294</v>
      </c>
      <c r="AH101" s="80">
        <v>1369</v>
      </c>
      <c r="AI101" s="80">
        <v>333</v>
      </c>
      <c r="AJ101" s="80"/>
      <c r="AK101" s="80" t="s">
        <v>1858</v>
      </c>
      <c r="AL101" s="80" t="s">
        <v>1201</v>
      </c>
      <c r="AM101" s="86" t="str">
        <f>HYPERLINK("https://t.co/vfaF6NNu5S")</f>
        <v>https://t.co/vfaF6NNu5S</v>
      </c>
      <c r="AN101" s="80"/>
      <c r="AO101" s="82">
        <v>41012.568333333336</v>
      </c>
      <c r="AP101" s="86" t="str">
        <f>HYPERLINK("https://pbs.twimg.com/profile_banners/552786333/1475824024")</f>
        <v>https://pbs.twimg.com/profile_banners/552786333/1475824024</v>
      </c>
      <c r="AQ101" s="80" t="b">
        <v>0</v>
      </c>
      <c r="AR101" s="80" t="b">
        <v>0</v>
      </c>
      <c r="AS101" s="80" t="b">
        <v>1</v>
      </c>
      <c r="AT101" s="80"/>
      <c r="AU101" s="80">
        <v>31</v>
      </c>
      <c r="AV101" s="86" t="str">
        <f>HYPERLINK("https://abs.twimg.com/images/themes/theme1/bg.png")</f>
        <v>https://abs.twimg.com/images/themes/theme1/bg.png</v>
      </c>
      <c r="AW101" s="80" t="b">
        <v>0</v>
      </c>
      <c r="AX101" s="80" t="s">
        <v>2141</v>
      </c>
      <c r="AY101" s="86" t="str">
        <f>HYPERLINK("https://twitter.com/designfromfinla")</f>
        <v>https://twitter.com/designfromfinla</v>
      </c>
      <c r="AZ101" s="80" t="s">
        <v>66</v>
      </c>
      <c r="BA101" s="80" t="str">
        <f>REPLACE(INDEX(GroupVertices[Group],MATCH(Vertices[[#This Row],[Vertex]],GroupVertices[Vertex],0)),1,1,"")</f>
        <v>18</v>
      </c>
      <c r="BB101" s="49">
        <v>0</v>
      </c>
      <c r="BC101" s="50">
        <v>0</v>
      </c>
      <c r="BD101" s="49">
        <v>0</v>
      </c>
      <c r="BE101" s="50">
        <v>0</v>
      </c>
      <c r="BF101" s="49">
        <v>0</v>
      </c>
      <c r="BG101" s="50">
        <v>0</v>
      </c>
      <c r="BH101" s="49">
        <v>13</v>
      </c>
      <c r="BI101" s="50">
        <v>100</v>
      </c>
      <c r="BJ101" s="49">
        <v>13</v>
      </c>
      <c r="BK101" s="49" t="s">
        <v>3999</v>
      </c>
      <c r="BL101" s="49" t="s">
        <v>3999</v>
      </c>
      <c r="BM101" s="49" t="s">
        <v>583</v>
      </c>
      <c r="BN101" s="49" t="s">
        <v>583</v>
      </c>
      <c r="BO101" s="49" t="s">
        <v>592</v>
      </c>
      <c r="BP101" s="49" t="s">
        <v>592</v>
      </c>
      <c r="BQ101" s="116" t="s">
        <v>4259</v>
      </c>
      <c r="BR101" s="116" t="s">
        <v>4259</v>
      </c>
      <c r="BS101" s="116" t="s">
        <v>4339</v>
      </c>
      <c r="BT101" s="116" t="s">
        <v>4339</v>
      </c>
      <c r="BU101" s="2"/>
      <c r="BV101" s="3"/>
      <c r="BW101" s="3"/>
      <c r="BX101" s="3"/>
      <c r="BY101" s="3"/>
    </row>
    <row r="102" spans="1:77" ht="15">
      <c r="A102" s="65" t="s">
        <v>312</v>
      </c>
      <c r="B102" s="66"/>
      <c r="C102" s="66" t="s">
        <v>64</v>
      </c>
      <c r="D102" s="67">
        <v>10</v>
      </c>
      <c r="E102" s="69"/>
      <c r="F102" s="104" t="str">
        <f>HYPERLINK("https://pbs.twimg.com/profile_images/1439313814881722371/vqQSrPec_normal.jpg")</f>
        <v>https://pbs.twimg.com/profile_images/1439313814881722371/vqQSrPec_normal.jpg</v>
      </c>
      <c r="G102" s="66"/>
      <c r="H102" s="70" t="s">
        <v>312</v>
      </c>
      <c r="I102" s="71" t="s">
        <v>4398</v>
      </c>
      <c r="J102" s="71" t="s">
        <v>73</v>
      </c>
      <c r="K102" s="70" t="s">
        <v>2240</v>
      </c>
      <c r="L102" s="74">
        <v>99.01960784313725</v>
      </c>
      <c r="M102" s="75"/>
      <c r="N102" s="75"/>
      <c r="O102" s="76"/>
      <c r="P102" s="77"/>
      <c r="Q102" s="77"/>
      <c r="R102" s="90"/>
      <c r="S102" s="49">
        <v>1</v>
      </c>
      <c r="T102" s="49">
        <v>1</v>
      </c>
      <c r="U102" s="50">
        <v>0</v>
      </c>
      <c r="V102" s="50">
        <v>0</v>
      </c>
      <c r="W102" s="50">
        <v>0</v>
      </c>
      <c r="X102" s="50">
        <v>0.003623</v>
      </c>
      <c r="Y102" s="50">
        <v>0</v>
      </c>
      <c r="Z102" s="50">
        <v>0</v>
      </c>
      <c r="AA102" s="72">
        <v>102</v>
      </c>
      <c r="AB102" s="72"/>
      <c r="AC102" s="73"/>
      <c r="AD102" s="80" t="s">
        <v>1333</v>
      </c>
      <c r="AE102" s="89" t="s">
        <v>1600</v>
      </c>
      <c r="AF102" s="80">
        <v>2</v>
      </c>
      <c r="AG102" s="80">
        <v>58</v>
      </c>
      <c r="AH102" s="80">
        <v>18419</v>
      </c>
      <c r="AI102" s="80">
        <v>5</v>
      </c>
      <c r="AJ102" s="80"/>
      <c r="AK102" s="80" t="s">
        <v>1859</v>
      </c>
      <c r="AL102" s="80" t="s">
        <v>2080</v>
      </c>
      <c r="AM102" s="86" t="str">
        <f>HYPERLINK("https://t.co/mtK4kzgs0v")</f>
        <v>https://t.co/mtK4kzgs0v</v>
      </c>
      <c r="AN102" s="80"/>
      <c r="AO102" s="82">
        <v>44457.817708333336</v>
      </c>
      <c r="AP102" s="86" t="str">
        <f>HYPERLINK("https://pbs.twimg.com/profile_banners/1439312611988938759/1631994177")</f>
        <v>https://pbs.twimg.com/profile_banners/1439312611988938759/1631994177</v>
      </c>
      <c r="AQ102" s="80" t="b">
        <v>1</v>
      </c>
      <c r="AR102" s="80" t="b">
        <v>0</v>
      </c>
      <c r="AS102" s="80" t="b">
        <v>0</v>
      </c>
      <c r="AT102" s="80"/>
      <c r="AU102" s="80">
        <v>0</v>
      </c>
      <c r="AV102" s="80"/>
      <c r="AW102" s="80" t="b">
        <v>0</v>
      </c>
      <c r="AX102" s="80" t="s">
        <v>2141</v>
      </c>
      <c r="AY102" s="86" t="str">
        <f>HYPERLINK("https://twitter.com/yweuutiset")</f>
        <v>https://twitter.com/yweuutiset</v>
      </c>
      <c r="AZ102" s="80" t="s">
        <v>66</v>
      </c>
      <c r="BA102" s="80" t="str">
        <f>REPLACE(INDEX(GroupVertices[Group],MATCH(Vertices[[#This Row],[Vertex]],GroupVertices[Vertex],0)),1,1,"")</f>
        <v>3</v>
      </c>
      <c r="BB102" s="49">
        <v>0</v>
      </c>
      <c r="BC102" s="50">
        <v>0</v>
      </c>
      <c r="BD102" s="49">
        <v>0</v>
      </c>
      <c r="BE102" s="50">
        <v>0</v>
      </c>
      <c r="BF102" s="49">
        <v>0</v>
      </c>
      <c r="BG102" s="50">
        <v>0</v>
      </c>
      <c r="BH102" s="49">
        <v>22</v>
      </c>
      <c r="BI102" s="50">
        <v>100</v>
      </c>
      <c r="BJ102" s="49">
        <v>22</v>
      </c>
      <c r="BK102" s="49" t="s">
        <v>3990</v>
      </c>
      <c r="BL102" s="49" t="s">
        <v>3990</v>
      </c>
      <c r="BM102" s="49" t="s">
        <v>582</v>
      </c>
      <c r="BN102" s="49" t="s">
        <v>582</v>
      </c>
      <c r="BO102" s="49"/>
      <c r="BP102" s="49"/>
      <c r="BQ102" s="116" t="s">
        <v>4260</v>
      </c>
      <c r="BR102" s="116" t="s">
        <v>4260</v>
      </c>
      <c r="BS102" s="116" t="s">
        <v>4340</v>
      </c>
      <c r="BT102" s="116" t="s">
        <v>4340</v>
      </c>
      <c r="BU102" s="2"/>
      <c r="BV102" s="3"/>
      <c r="BW102" s="3"/>
      <c r="BX102" s="3"/>
      <c r="BY102" s="3"/>
    </row>
    <row r="103" spans="1:77" ht="15">
      <c r="A103" s="65" t="s">
        <v>313</v>
      </c>
      <c r="B103" s="66"/>
      <c r="C103" s="66" t="s">
        <v>64</v>
      </c>
      <c r="D103" s="67"/>
      <c r="E103" s="69"/>
      <c r="F103" s="104" t="str">
        <f>HYPERLINK("https://pbs.twimg.com/profile_images/1421148655474679812/xWUTl7G__normal.jpg")</f>
        <v>https://pbs.twimg.com/profile_images/1421148655474679812/xWUTl7G__normal.jpg</v>
      </c>
      <c r="G103" s="66"/>
      <c r="H103" s="70" t="s">
        <v>313</v>
      </c>
      <c r="I103" s="71" t="s">
        <v>4403</v>
      </c>
      <c r="J103" s="71" t="s">
        <v>73</v>
      </c>
      <c r="K103" s="70" t="s">
        <v>2241</v>
      </c>
      <c r="L103" s="74">
        <v>1</v>
      </c>
      <c r="M103" s="75">
        <v>304.4908142089844</v>
      </c>
      <c r="N103" s="75">
        <v>2558.98583984375</v>
      </c>
      <c r="O103" s="76"/>
      <c r="P103" s="77"/>
      <c r="Q103" s="77"/>
      <c r="R103" s="90"/>
      <c r="S103" s="49">
        <v>0</v>
      </c>
      <c r="T103" s="49">
        <v>1</v>
      </c>
      <c r="U103" s="50">
        <v>0</v>
      </c>
      <c r="V103" s="50">
        <v>0.003636</v>
      </c>
      <c r="W103" s="50">
        <v>0</v>
      </c>
      <c r="X103" s="50">
        <v>0.003623</v>
      </c>
      <c r="Y103" s="50">
        <v>0</v>
      </c>
      <c r="Z103" s="50">
        <v>0</v>
      </c>
      <c r="AA103" s="72">
        <v>103</v>
      </c>
      <c r="AB103" s="72"/>
      <c r="AC103" s="73"/>
      <c r="AD103" s="80" t="s">
        <v>1334</v>
      </c>
      <c r="AE103" s="89" t="s">
        <v>1601</v>
      </c>
      <c r="AF103" s="80">
        <v>4061</v>
      </c>
      <c r="AG103" s="80">
        <v>2577</v>
      </c>
      <c r="AH103" s="80">
        <v>129992</v>
      </c>
      <c r="AI103" s="80">
        <v>234844</v>
      </c>
      <c r="AJ103" s="80"/>
      <c r="AK103" s="80" t="s">
        <v>1860</v>
      </c>
      <c r="AL103" s="80" t="s">
        <v>2041</v>
      </c>
      <c r="AM103" s="86" t="str">
        <f>HYPERLINK("https://t.co/zWOwF3BOth")</f>
        <v>https://t.co/zWOwF3BOth</v>
      </c>
      <c r="AN103" s="80"/>
      <c r="AO103" s="82">
        <v>41254.637777777774</v>
      </c>
      <c r="AP103" s="86" t="str">
        <f>HYPERLINK("https://pbs.twimg.com/profile_banners/1004245417/1404167143")</f>
        <v>https://pbs.twimg.com/profile_banners/1004245417/1404167143</v>
      </c>
      <c r="AQ103" s="80" t="b">
        <v>0</v>
      </c>
      <c r="AR103" s="80" t="b">
        <v>0</v>
      </c>
      <c r="AS103" s="80" t="b">
        <v>1</v>
      </c>
      <c r="AT103" s="80"/>
      <c r="AU103" s="80">
        <v>39</v>
      </c>
      <c r="AV103" s="86" t="str">
        <f>HYPERLINK("https://abs.twimg.com/images/themes/theme4/bg.gif")</f>
        <v>https://abs.twimg.com/images/themes/theme4/bg.gif</v>
      </c>
      <c r="AW103" s="80" t="b">
        <v>0</v>
      </c>
      <c r="AX103" s="80" t="s">
        <v>2141</v>
      </c>
      <c r="AY103" s="86" t="str">
        <f>HYPERLINK("https://twitter.com/veikkakuusisto")</f>
        <v>https://twitter.com/veikkakuusisto</v>
      </c>
      <c r="AZ103" s="80" t="s">
        <v>66</v>
      </c>
      <c r="BA103" s="80" t="str">
        <f>REPLACE(INDEX(GroupVertices[Group],MATCH(Vertices[[#This Row],[Vertex]],GroupVertices[Vertex],0)),1,1,"")</f>
        <v>17</v>
      </c>
      <c r="BB103" s="49">
        <v>0</v>
      </c>
      <c r="BC103" s="50">
        <v>0</v>
      </c>
      <c r="BD103" s="49">
        <v>0</v>
      </c>
      <c r="BE103" s="50">
        <v>0</v>
      </c>
      <c r="BF103" s="49">
        <v>0</v>
      </c>
      <c r="BG103" s="50">
        <v>0</v>
      </c>
      <c r="BH103" s="49">
        <v>33</v>
      </c>
      <c r="BI103" s="50">
        <v>100</v>
      </c>
      <c r="BJ103" s="49">
        <v>33</v>
      </c>
      <c r="BK103" s="49"/>
      <c r="BL103" s="49"/>
      <c r="BM103" s="49"/>
      <c r="BN103" s="49"/>
      <c r="BO103" s="49"/>
      <c r="BP103" s="49"/>
      <c r="BQ103" s="116" t="s">
        <v>4261</v>
      </c>
      <c r="BR103" s="116" t="s">
        <v>4261</v>
      </c>
      <c r="BS103" s="116" t="s">
        <v>4341</v>
      </c>
      <c r="BT103" s="116" t="s">
        <v>4341</v>
      </c>
      <c r="BU103" s="2"/>
      <c r="BV103" s="3"/>
      <c r="BW103" s="3"/>
      <c r="BX103" s="3"/>
      <c r="BY103" s="3"/>
    </row>
    <row r="104" spans="1:77" ht="15">
      <c r="A104" s="65" t="s">
        <v>494</v>
      </c>
      <c r="B104" s="66"/>
      <c r="C104" s="66" t="s">
        <v>64</v>
      </c>
      <c r="D104" s="67">
        <v>10</v>
      </c>
      <c r="E104" s="69"/>
      <c r="F104" s="104" t="str">
        <f>HYPERLINK("https://pbs.twimg.com/profile_images/1496283484222107650/iIdJh_8n_normal.jpg")</f>
        <v>https://pbs.twimg.com/profile_images/1496283484222107650/iIdJh_8n_normal.jpg</v>
      </c>
      <c r="G104" s="66"/>
      <c r="H104" s="70" t="s">
        <v>494</v>
      </c>
      <c r="I104" s="71" t="s">
        <v>4403</v>
      </c>
      <c r="J104" s="71" t="s">
        <v>75</v>
      </c>
      <c r="K104" s="70" t="s">
        <v>2242</v>
      </c>
      <c r="L104" s="74">
        <v>99.01960784313725</v>
      </c>
      <c r="M104" s="75">
        <v>647.5416259765625</v>
      </c>
      <c r="N104" s="75">
        <v>2558.98583984375</v>
      </c>
      <c r="O104" s="76"/>
      <c r="P104" s="77"/>
      <c r="Q104" s="77"/>
      <c r="R104" s="90"/>
      <c r="S104" s="49">
        <v>1</v>
      </c>
      <c r="T104" s="49">
        <v>0</v>
      </c>
      <c r="U104" s="50">
        <v>0</v>
      </c>
      <c r="V104" s="50">
        <v>0.003636</v>
      </c>
      <c r="W104" s="50">
        <v>0</v>
      </c>
      <c r="X104" s="50">
        <v>0.003623</v>
      </c>
      <c r="Y104" s="50">
        <v>0</v>
      </c>
      <c r="Z104" s="50">
        <v>0</v>
      </c>
      <c r="AA104" s="72">
        <v>104</v>
      </c>
      <c r="AB104" s="72"/>
      <c r="AC104" s="73"/>
      <c r="AD104" s="80" t="s">
        <v>1335</v>
      </c>
      <c r="AE104" s="89" t="s">
        <v>1167</v>
      </c>
      <c r="AF104" s="80">
        <v>4411</v>
      </c>
      <c r="AG104" s="80">
        <v>3311</v>
      </c>
      <c r="AH104" s="80">
        <v>90778</v>
      </c>
      <c r="AI104" s="80">
        <v>137775</v>
      </c>
      <c r="AJ104" s="80"/>
      <c r="AK104" s="80" t="s">
        <v>1861</v>
      </c>
      <c r="AL104" s="80" t="s">
        <v>2081</v>
      </c>
      <c r="AM104" s="86" t="str">
        <f>HYPERLINK("https://t.co/FOlyLqYG2E")</f>
        <v>https://t.co/FOlyLqYG2E</v>
      </c>
      <c r="AN104" s="80"/>
      <c r="AO104" s="82">
        <v>42661.85142361111</v>
      </c>
      <c r="AP104" s="86" t="str">
        <f>HYPERLINK("https://pbs.twimg.com/profile_banners/788476254760669184/1477330146")</f>
        <v>https://pbs.twimg.com/profile_banners/788476254760669184/1477330146</v>
      </c>
      <c r="AQ104" s="80" t="b">
        <v>0</v>
      </c>
      <c r="AR104" s="80" t="b">
        <v>0</v>
      </c>
      <c r="AS104" s="80" t="b">
        <v>1</v>
      </c>
      <c r="AT104" s="80"/>
      <c r="AU104" s="80">
        <v>11</v>
      </c>
      <c r="AV104" s="86" t="str">
        <f>HYPERLINK("https://abs.twimg.com/images/themes/theme1/bg.png")</f>
        <v>https://abs.twimg.com/images/themes/theme1/bg.png</v>
      </c>
      <c r="AW104" s="80" t="b">
        <v>0</v>
      </c>
      <c r="AX104" s="80" t="s">
        <v>2141</v>
      </c>
      <c r="AY104" s="86" t="str">
        <f>HYPERLINK("https://twitter.com/juhatenhonen")</f>
        <v>https://twitter.com/juhatenhonen</v>
      </c>
      <c r="AZ104" s="80" t="s">
        <v>65</v>
      </c>
      <c r="BA104" s="80" t="str">
        <f>REPLACE(INDEX(GroupVertices[Group],MATCH(Vertices[[#This Row],[Vertex]],GroupVertices[Vertex],0)),1,1,"")</f>
        <v>17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314</v>
      </c>
      <c r="B105" s="66"/>
      <c r="C105" s="66" t="s">
        <v>64</v>
      </c>
      <c r="D105" s="67">
        <v>10</v>
      </c>
      <c r="E105" s="69"/>
      <c r="F105" s="104" t="str">
        <f>HYPERLINK("https://pbs.twimg.com/profile_images/1438558599568109574/YzdrE71X_normal.jpg")</f>
        <v>https://pbs.twimg.com/profile_images/1438558599568109574/YzdrE71X_normal.jpg</v>
      </c>
      <c r="G105" s="66"/>
      <c r="H105" s="70" t="s">
        <v>314</v>
      </c>
      <c r="I105" s="71" t="s">
        <v>4398</v>
      </c>
      <c r="J105" s="71" t="s">
        <v>73</v>
      </c>
      <c r="K105" s="70" t="s">
        <v>2243</v>
      </c>
      <c r="L105" s="74">
        <v>99.01960784313725</v>
      </c>
      <c r="M105" s="75"/>
      <c r="N105" s="75"/>
      <c r="O105" s="76"/>
      <c r="P105" s="77"/>
      <c r="Q105" s="77"/>
      <c r="R105" s="90"/>
      <c r="S105" s="49">
        <v>1</v>
      </c>
      <c r="T105" s="49">
        <v>1</v>
      </c>
      <c r="U105" s="50">
        <v>0</v>
      </c>
      <c r="V105" s="50">
        <v>0</v>
      </c>
      <c r="W105" s="50">
        <v>0</v>
      </c>
      <c r="X105" s="50">
        <v>0.003623</v>
      </c>
      <c r="Y105" s="50">
        <v>0</v>
      </c>
      <c r="Z105" s="50">
        <v>0</v>
      </c>
      <c r="AA105" s="72">
        <v>105</v>
      </c>
      <c r="AB105" s="72"/>
      <c r="AC105" s="73"/>
      <c r="AD105" s="80" t="s">
        <v>1336</v>
      </c>
      <c r="AE105" s="89" t="s">
        <v>1602</v>
      </c>
      <c r="AF105" s="80">
        <v>1376</v>
      </c>
      <c r="AG105" s="80">
        <v>1182</v>
      </c>
      <c r="AH105" s="80">
        <v>4891</v>
      </c>
      <c r="AI105" s="80">
        <v>2705</v>
      </c>
      <c r="AJ105" s="80"/>
      <c r="AK105" s="80" t="s">
        <v>1862</v>
      </c>
      <c r="AL105" s="80" t="s">
        <v>2038</v>
      </c>
      <c r="AM105" s="86" t="str">
        <f>HYPERLINK("https://t.co/UywwfRPTYM")</f>
        <v>https://t.co/UywwfRPTYM</v>
      </c>
      <c r="AN105" s="80"/>
      <c r="AO105" s="82">
        <v>40106.52642361111</v>
      </c>
      <c r="AP105" s="86" t="str">
        <f>HYPERLINK("https://pbs.twimg.com/profile_banners/83834597/1645783791")</f>
        <v>https://pbs.twimg.com/profile_banners/83834597/1645783791</v>
      </c>
      <c r="AQ105" s="80" t="b">
        <v>0</v>
      </c>
      <c r="AR105" s="80" t="b">
        <v>0</v>
      </c>
      <c r="AS105" s="80" t="b">
        <v>1</v>
      </c>
      <c r="AT105" s="80"/>
      <c r="AU105" s="80">
        <v>17</v>
      </c>
      <c r="AV105" s="86" t="str">
        <f>HYPERLINK("https://abs.twimg.com/images/themes/theme2/bg.gif")</f>
        <v>https://abs.twimg.com/images/themes/theme2/bg.gif</v>
      </c>
      <c r="AW105" s="80" t="b">
        <v>0</v>
      </c>
      <c r="AX105" s="80" t="s">
        <v>2141</v>
      </c>
      <c r="AY105" s="86" t="str">
        <f>HYPERLINK("https://twitter.com/jerej")</f>
        <v>https://twitter.com/jerej</v>
      </c>
      <c r="AZ105" s="80" t="s">
        <v>66</v>
      </c>
      <c r="BA105" s="80" t="str">
        <f>REPLACE(INDEX(GroupVertices[Group],MATCH(Vertices[[#This Row],[Vertex]],GroupVertices[Vertex],0)),1,1,"")</f>
        <v>3</v>
      </c>
      <c r="BB105" s="49">
        <v>0</v>
      </c>
      <c r="BC105" s="50">
        <v>0</v>
      </c>
      <c r="BD105" s="49">
        <v>0</v>
      </c>
      <c r="BE105" s="50">
        <v>0</v>
      </c>
      <c r="BF105" s="49">
        <v>0</v>
      </c>
      <c r="BG105" s="50">
        <v>0</v>
      </c>
      <c r="BH105" s="49">
        <v>24</v>
      </c>
      <c r="BI105" s="50">
        <v>100</v>
      </c>
      <c r="BJ105" s="49">
        <v>24</v>
      </c>
      <c r="BK105" s="49"/>
      <c r="BL105" s="49"/>
      <c r="BM105" s="49"/>
      <c r="BN105" s="49"/>
      <c r="BO105" s="49"/>
      <c r="BP105" s="49"/>
      <c r="BQ105" s="116" t="s">
        <v>4262</v>
      </c>
      <c r="BR105" s="116" t="s">
        <v>4262</v>
      </c>
      <c r="BS105" s="116" t="s">
        <v>4342</v>
      </c>
      <c r="BT105" s="116" t="s">
        <v>4342</v>
      </c>
      <c r="BU105" s="2"/>
      <c r="BV105" s="3"/>
      <c r="BW105" s="3"/>
      <c r="BX105" s="3"/>
      <c r="BY105" s="3"/>
    </row>
    <row r="106" spans="1:77" ht="15">
      <c r="A106" s="65" t="s">
        <v>315</v>
      </c>
      <c r="B106" s="66"/>
      <c r="C106" s="66" t="s">
        <v>64</v>
      </c>
      <c r="D106" s="67">
        <v>10</v>
      </c>
      <c r="E106" s="69"/>
      <c r="F106" s="104" t="str">
        <f>HYPERLINK("https://pbs.twimg.com/profile_images/1423161504275259395/IjAqd_eQ_normal.jpg")</f>
        <v>https://pbs.twimg.com/profile_images/1423161504275259395/IjAqd_eQ_normal.jpg</v>
      </c>
      <c r="G106" s="66"/>
      <c r="H106" s="70" t="s">
        <v>315</v>
      </c>
      <c r="I106" s="71" t="s">
        <v>4398</v>
      </c>
      <c r="J106" s="71" t="s">
        <v>73</v>
      </c>
      <c r="K106" s="70" t="s">
        <v>2244</v>
      </c>
      <c r="L106" s="74">
        <v>99.01960784313725</v>
      </c>
      <c r="M106" s="75"/>
      <c r="N106" s="75"/>
      <c r="O106" s="76"/>
      <c r="P106" s="77"/>
      <c r="Q106" s="77"/>
      <c r="R106" s="90"/>
      <c r="S106" s="49">
        <v>1</v>
      </c>
      <c r="T106" s="49">
        <v>1</v>
      </c>
      <c r="U106" s="50">
        <v>0</v>
      </c>
      <c r="V106" s="50">
        <v>0</v>
      </c>
      <c r="W106" s="50">
        <v>0</v>
      </c>
      <c r="X106" s="50">
        <v>0.003623</v>
      </c>
      <c r="Y106" s="50">
        <v>0</v>
      </c>
      <c r="Z106" s="50">
        <v>0</v>
      </c>
      <c r="AA106" s="72">
        <v>106</v>
      </c>
      <c r="AB106" s="72"/>
      <c r="AC106" s="73"/>
      <c r="AD106" s="80" t="s">
        <v>1337</v>
      </c>
      <c r="AE106" s="89" t="s">
        <v>1603</v>
      </c>
      <c r="AF106" s="80">
        <v>1180</v>
      </c>
      <c r="AG106" s="80">
        <v>666</v>
      </c>
      <c r="AH106" s="80">
        <v>1304</v>
      </c>
      <c r="AI106" s="80">
        <v>36139</v>
      </c>
      <c r="AJ106" s="80"/>
      <c r="AK106" s="80" t="s">
        <v>1863</v>
      </c>
      <c r="AL106" s="80"/>
      <c r="AM106" s="86" t="str">
        <f>HYPERLINK("https://t.co/9ieCS60E5p")</f>
        <v>https://t.co/9ieCS60E5p</v>
      </c>
      <c r="AN106" s="80"/>
      <c r="AO106" s="82">
        <v>44145.51133101852</v>
      </c>
      <c r="AP106" s="86" t="str">
        <f>HYPERLINK("https://pbs.twimg.com/profile_banners/1326136569271623682/1645861020")</f>
        <v>https://pbs.twimg.com/profile_banners/1326136569271623682/1645861020</v>
      </c>
      <c r="AQ106" s="80" t="b">
        <v>1</v>
      </c>
      <c r="AR106" s="80" t="b">
        <v>0</v>
      </c>
      <c r="AS106" s="80" t="b">
        <v>0</v>
      </c>
      <c r="AT106" s="80"/>
      <c r="AU106" s="80">
        <v>0</v>
      </c>
      <c r="AV106" s="80"/>
      <c r="AW106" s="80" t="b">
        <v>0</v>
      </c>
      <c r="AX106" s="80" t="s">
        <v>2141</v>
      </c>
      <c r="AY106" s="86" t="str">
        <f>HYPERLINK("https://twitter.com/minnaruokonen1")</f>
        <v>https://twitter.com/minnaruokonen1</v>
      </c>
      <c r="AZ106" s="80" t="s">
        <v>66</v>
      </c>
      <c r="BA106" s="80" t="str">
        <f>REPLACE(INDEX(GroupVertices[Group],MATCH(Vertices[[#This Row],[Vertex]],GroupVertices[Vertex],0)),1,1,"")</f>
        <v>3</v>
      </c>
      <c r="BB106" s="49">
        <v>0</v>
      </c>
      <c r="BC106" s="50">
        <v>0</v>
      </c>
      <c r="BD106" s="49">
        <v>0</v>
      </c>
      <c r="BE106" s="50">
        <v>0</v>
      </c>
      <c r="BF106" s="49">
        <v>0</v>
      </c>
      <c r="BG106" s="50">
        <v>0</v>
      </c>
      <c r="BH106" s="49">
        <v>10</v>
      </c>
      <c r="BI106" s="50">
        <v>100</v>
      </c>
      <c r="BJ106" s="49">
        <v>10</v>
      </c>
      <c r="BK106" s="49" t="s">
        <v>4010</v>
      </c>
      <c r="BL106" s="49" t="s">
        <v>4010</v>
      </c>
      <c r="BM106" s="49" t="s">
        <v>580</v>
      </c>
      <c r="BN106" s="49" t="s">
        <v>580</v>
      </c>
      <c r="BO106" s="49" t="s">
        <v>593</v>
      </c>
      <c r="BP106" s="49" t="s">
        <v>593</v>
      </c>
      <c r="BQ106" s="116" t="s">
        <v>4263</v>
      </c>
      <c r="BR106" s="116" t="s">
        <v>4263</v>
      </c>
      <c r="BS106" s="116" t="s">
        <v>4343</v>
      </c>
      <c r="BT106" s="116" t="s">
        <v>4343</v>
      </c>
      <c r="BU106" s="2"/>
      <c r="BV106" s="3"/>
      <c r="BW106" s="3"/>
      <c r="BX106" s="3"/>
      <c r="BY106" s="3"/>
    </row>
    <row r="107" spans="1:77" ht="15">
      <c r="A107" s="65" t="s">
        <v>316</v>
      </c>
      <c r="B107" s="66"/>
      <c r="C107" s="66" t="s">
        <v>64</v>
      </c>
      <c r="D107" s="67">
        <v>436.36979249265914</v>
      </c>
      <c r="E107" s="69"/>
      <c r="F107" s="104" t="str">
        <f>HYPERLINK("https://pbs.twimg.com/profile_images/1464337367402262528/i2-YNQ6G_normal.jpg")</f>
        <v>https://pbs.twimg.com/profile_images/1464337367402262528/i2-YNQ6G_normal.jpg</v>
      </c>
      <c r="G107" s="66"/>
      <c r="H107" s="70" t="s">
        <v>316</v>
      </c>
      <c r="I107" s="71" t="s">
        <v>4404</v>
      </c>
      <c r="J107" s="71" t="s">
        <v>73</v>
      </c>
      <c r="K107" s="70" t="s">
        <v>2245</v>
      </c>
      <c r="L107" s="74">
        <v>197.0392156862745</v>
      </c>
      <c r="M107" s="75">
        <v>8665.357421875</v>
      </c>
      <c r="N107" s="75">
        <v>5354.91455078125</v>
      </c>
      <c r="O107" s="76"/>
      <c r="P107" s="77"/>
      <c r="Q107" s="77"/>
      <c r="R107" s="90"/>
      <c r="S107" s="49">
        <v>2</v>
      </c>
      <c r="T107" s="49">
        <v>1</v>
      </c>
      <c r="U107" s="50">
        <v>0</v>
      </c>
      <c r="V107" s="50">
        <v>0.003636</v>
      </c>
      <c r="W107" s="50">
        <v>0</v>
      </c>
      <c r="X107" s="50">
        <v>0.003876</v>
      </c>
      <c r="Y107" s="50">
        <v>0</v>
      </c>
      <c r="Z107" s="50">
        <v>0</v>
      </c>
      <c r="AA107" s="72">
        <v>107</v>
      </c>
      <c r="AB107" s="72"/>
      <c r="AC107" s="73"/>
      <c r="AD107" s="80" t="s">
        <v>1338</v>
      </c>
      <c r="AE107" s="89" t="s">
        <v>1604</v>
      </c>
      <c r="AF107" s="80">
        <v>4432</v>
      </c>
      <c r="AG107" s="80">
        <v>4898</v>
      </c>
      <c r="AH107" s="80">
        <v>76260</v>
      </c>
      <c r="AI107" s="80">
        <v>64248</v>
      </c>
      <c r="AJ107" s="80"/>
      <c r="AK107" s="80" t="s">
        <v>1864</v>
      </c>
      <c r="AL107" s="80" t="s">
        <v>2082</v>
      </c>
      <c r="AM107" s="80"/>
      <c r="AN107" s="80"/>
      <c r="AO107" s="82">
        <v>40679.61341435185</v>
      </c>
      <c r="AP107" s="86" t="str">
        <f>HYPERLINK("https://pbs.twimg.com/profile_banners/299689283/1589884424")</f>
        <v>https://pbs.twimg.com/profile_banners/299689283/1589884424</v>
      </c>
      <c r="AQ107" s="80" t="b">
        <v>0</v>
      </c>
      <c r="AR107" s="80" t="b">
        <v>0</v>
      </c>
      <c r="AS107" s="80" t="b">
        <v>1</v>
      </c>
      <c r="AT107" s="80"/>
      <c r="AU107" s="80">
        <v>87</v>
      </c>
      <c r="AV107" s="86" t="str">
        <f>HYPERLINK("https://abs.twimg.com/images/themes/theme1/bg.png")</f>
        <v>https://abs.twimg.com/images/themes/theme1/bg.png</v>
      </c>
      <c r="AW107" s="80" t="b">
        <v>0</v>
      </c>
      <c r="AX107" s="80" t="s">
        <v>2141</v>
      </c>
      <c r="AY107" s="86" t="str">
        <f>HYPERLINK("https://twitter.com/hannuhynonen")</f>
        <v>https://twitter.com/hannuhynonen</v>
      </c>
      <c r="AZ107" s="80" t="s">
        <v>66</v>
      </c>
      <c r="BA107" s="80" t="str">
        <f>REPLACE(INDEX(GroupVertices[Group],MATCH(Vertices[[#This Row],[Vertex]],GroupVertices[Vertex],0)),1,1,"")</f>
        <v>16</v>
      </c>
      <c r="BB107" s="49">
        <v>0</v>
      </c>
      <c r="BC107" s="50">
        <v>0</v>
      </c>
      <c r="BD107" s="49">
        <v>0</v>
      </c>
      <c r="BE107" s="50">
        <v>0</v>
      </c>
      <c r="BF107" s="49">
        <v>0</v>
      </c>
      <c r="BG107" s="50">
        <v>0</v>
      </c>
      <c r="BH107" s="49">
        <v>4</v>
      </c>
      <c r="BI107" s="50">
        <v>100</v>
      </c>
      <c r="BJ107" s="49">
        <v>4</v>
      </c>
      <c r="BK107" s="49" t="s">
        <v>3990</v>
      </c>
      <c r="BL107" s="49" t="s">
        <v>3990</v>
      </c>
      <c r="BM107" s="49" t="s">
        <v>582</v>
      </c>
      <c r="BN107" s="49" t="s">
        <v>582</v>
      </c>
      <c r="BO107" s="49"/>
      <c r="BP107" s="49"/>
      <c r="BQ107" s="116" t="s">
        <v>4264</v>
      </c>
      <c r="BR107" s="116" t="s">
        <v>4264</v>
      </c>
      <c r="BS107" s="116" t="s">
        <v>4164</v>
      </c>
      <c r="BT107" s="116" t="s">
        <v>4164</v>
      </c>
      <c r="BU107" s="2"/>
      <c r="BV107" s="3"/>
      <c r="BW107" s="3"/>
      <c r="BX107" s="3"/>
      <c r="BY107" s="3"/>
    </row>
    <row r="108" spans="1:77" ht="15">
      <c r="A108" s="65" t="s">
        <v>317</v>
      </c>
      <c r="B108" s="66"/>
      <c r="C108" s="66" t="s">
        <v>64</v>
      </c>
      <c r="D108" s="67"/>
      <c r="E108" s="69"/>
      <c r="F108" s="104" t="str">
        <f>HYPERLINK("https://pbs.twimg.com/profile_images/1117825917420806145/_6AXDI8-_normal.jpg")</f>
        <v>https://pbs.twimg.com/profile_images/1117825917420806145/_6AXDI8-_normal.jpg</v>
      </c>
      <c r="G108" s="66"/>
      <c r="H108" s="70" t="s">
        <v>317</v>
      </c>
      <c r="I108" s="71" t="s">
        <v>4404</v>
      </c>
      <c r="J108" s="71" t="s">
        <v>73</v>
      </c>
      <c r="K108" s="70" t="s">
        <v>2246</v>
      </c>
      <c r="L108" s="74">
        <v>1</v>
      </c>
      <c r="M108" s="75">
        <v>8322.306640625</v>
      </c>
      <c r="N108" s="75">
        <v>5354.91455078125</v>
      </c>
      <c r="O108" s="76"/>
      <c r="P108" s="77"/>
      <c r="Q108" s="77"/>
      <c r="R108" s="90"/>
      <c r="S108" s="49">
        <v>0</v>
      </c>
      <c r="T108" s="49">
        <v>1</v>
      </c>
      <c r="U108" s="50">
        <v>0</v>
      </c>
      <c r="V108" s="50">
        <v>0.003636</v>
      </c>
      <c r="W108" s="50">
        <v>0</v>
      </c>
      <c r="X108" s="50">
        <v>0.00337</v>
      </c>
      <c r="Y108" s="50">
        <v>0</v>
      </c>
      <c r="Z108" s="50">
        <v>0</v>
      </c>
      <c r="AA108" s="72">
        <v>108</v>
      </c>
      <c r="AB108" s="72"/>
      <c r="AC108" s="73"/>
      <c r="AD108" s="80" t="s">
        <v>1339</v>
      </c>
      <c r="AE108" s="89" t="s">
        <v>1605</v>
      </c>
      <c r="AF108" s="80">
        <v>1546</v>
      </c>
      <c r="AG108" s="80">
        <v>2120</v>
      </c>
      <c r="AH108" s="80">
        <v>58976</v>
      </c>
      <c r="AI108" s="80">
        <v>48041</v>
      </c>
      <c r="AJ108" s="80"/>
      <c r="AK108" s="80" t="s">
        <v>1865</v>
      </c>
      <c r="AL108" s="80" t="s">
        <v>2083</v>
      </c>
      <c r="AM108" s="86" t="str">
        <f>HYPERLINK("https://t.co/a586f4wuQj")</f>
        <v>https://t.co/a586f4wuQj</v>
      </c>
      <c r="AN108" s="80"/>
      <c r="AO108" s="82">
        <v>40468.57708333333</v>
      </c>
      <c r="AP108" s="86" t="str">
        <f>HYPERLINK("https://pbs.twimg.com/profile_banners/203915421/1356034224")</f>
        <v>https://pbs.twimg.com/profile_banners/203915421/1356034224</v>
      </c>
      <c r="AQ108" s="80" t="b">
        <v>0</v>
      </c>
      <c r="AR108" s="80" t="b">
        <v>0</v>
      </c>
      <c r="AS108" s="80" t="b">
        <v>1</v>
      </c>
      <c r="AT108" s="80"/>
      <c r="AU108" s="80">
        <v>51</v>
      </c>
      <c r="AV108" s="86" t="str">
        <f>HYPERLINK("https://abs.twimg.com/images/themes/theme1/bg.png")</f>
        <v>https://abs.twimg.com/images/themes/theme1/bg.png</v>
      </c>
      <c r="AW108" s="80" t="b">
        <v>0</v>
      </c>
      <c r="AX108" s="80" t="s">
        <v>2141</v>
      </c>
      <c r="AY108" s="86" t="str">
        <f>HYPERLINK("https://twitter.com/teemu_lahtinen")</f>
        <v>https://twitter.com/teemu_lahtinen</v>
      </c>
      <c r="AZ108" s="80" t="s">
        <v>66</v>
      </c>
      <c r="BA108" s="80" t="str">
        <f>REPLACE(INDEX(GroupVertices[Group],MATCH(Vertices[[#This Row],[Vertex]],GroupVertices[Vertex],0)),1,1,"")</f>
        <v>16</v>
      </c>
      <c r="BB108" s="49">
        <v>0</v>
      </c>
      <c r="BC108" s="50">
        <v>0</v>
      </c>
      <c r="BD108" s="49">
        <v>0</v>
      </c>
      <c r="BE108" s="50">
        <v>0</v>
      </c>
      <c r="BF108" s="49">
        <v>0</v>
      </c>
      <c r="BG108" s="50">
        <v>0</v>
      </c>
      <c r="BH108" s="49">
        <v>4</v>
      </c>
      <c r="BI108" s="50">
        <v>100</v>
      </c>
      <c r="BJ108" s="49">
        <v>4</v>
      </c>
      <c r="BK108" s="49" t="s">
        <v>3990</v>
      </c>
      <c r="BL108" s="49" t="s">
        <v>3990</v>
      </c>
      <c r="BM108" s="49" t="s">
        <v>582</v>
      </c>
      <c r="BN108" s="49" t="s">
        <v>582</v>
      </c>
      <c r="BO108" s="49"/>
      <c r="BP108" s="49"/>
      <c r="BQ108" s="116" t="s">
        <v>4264</v>
      </c>
      <c r="BR108" s="116" t="s">
        <v>4264</v>
      </c>
      <c r="BS108" s="116" t="s">
        <v>4164</v>
      </c>
      <c r="BT108" s="116" t="s">
        <v>4164</v>
      </c>
      <c r="BU108" s="2"/>
      <c r="BV108" s="3"/>
      <c r="BW108" s="3"/>
      <c r="BX108" s="3"/>
      <c r="BY108" s="3"/>
    </row>
    <row r="109" spans="1:77" ht="15">
      <c r="A109" s="65" t="s">
        <v>318</v>
      </c>
      <c r="B109" s="66"/>
      <c r="C109" s="66" t="s">
        <v>64</v>
      </c>
      <c r="D109" s="67">
        <v>10</v>
      </c>
      <c r="E109" s="69"/>
      <c r="F109" s="104" t="str">
        <f>HYPERLINK("https://pbs.twimg.com/profile_images/851553343822606340/79dip-pq_normal.jpg")</f>
        <v>https://pbs.twimg.com/profile_images/851553343822606340/79dip-pq_normal.jpg</v>
      </c>
      <c r="G109" s="66"/>
      <c r="H109" s="70" t="s">
        <v>318</v>
      </c>
      <c r="I109" s="71" t="s">
        <v>4398</v>
      </c>
      <c r="J109" s="71" t="s">
        <v>73</v>
      </c>
      <c r="K109" s="70" t="s">
        <v>2247</v>
      </c>
      <c r="L109" s="74">
        <v>99.01960784313725</v>
      </c>
      <c r="M109" s="75"/>
      <c r="N109" s="75"/>
      <c r="O109" s="76"/>
      <c r="P109" s="77"/>
      <c r="Q109" s="77"/>
      <c r="R109" s="90"/>
      <c r="S109" s="49">
        <v>1</v>
      </c>
      <c r="T109" s="49">
        <v>1</v>
      </c>
      <c r="U109" s="50">
        <v>0</v>
      </c>
      <c r="V109" s="50">
        <v>0</v>
      </c>
      <c r="W109" s="50">
        <v>0</v>
      </c>
      <c r="X109" s="50">
        <v>0.003623</v>
      </c>
      <c r="Y109" s="50">
        <v>0</v>
      </c>
      <c r="Z109" s="50">
        <v>0</v>
      </c>
      <c r="AA109" s="72">
        <v>109</v>
      </c>
      <c r="AB109" s="72"/>
      <c r="AC109" s="73"/>
      <c r="AD109" s="80" t="s">
        <v>1340</v>
      </c>
      <c r="AE109" s="89" t="s">
        <v>1606</v>
      </c>
      <c r="AF109" s="80">
        <v>1307</v>
      </c>
      <c r="AG109" s="80">
        <v>603</v>
      </c>
      <c r="AH109" s="80">
        <v>4123</v>
      </c>
      <c r="AI109" s="80">
        <v>16538</v>
      </c>
      <c r="AJ109" s="80"/>
      <c r="AK109" s="80" t="s">
        <v>1866</v>
      </c>
      <c r="AL109" s="80"/>
      <c r="AM109" s="80"/>
      <c r="AN109" s="80"/>
      <c r="AO109" s="82">
        <v>39855.885046296295</v>
      </c>
      <c r="AP109" s="86" t="str">
        <f>HYPERLINK("https://pbs.twimg.com/profile_banners/20628631/1646726492")</f>
        <v>https://pbs.twimg.com/profile_banners/20628631/1646726492</v>
      </c>
      <c r="AQ109" s="80" t="b">
        <v>0</v>
      </c>
      <c r="AR109" s="80" t="b">
        <v>0</v>
      </c>
      <c r="AS109" s="80" t="b">
        <v>1</v>
      </c>
      <c r="AT109" s="80"/>
      <c r="AU109" s="80">
        <v>10</v>
      </c>
      <c r="AV109" s="86" t="str">
        <f>HYPERLINK("https://abs.twimg.com/images/themes/theme18/bg.gif")</f>
        <v>https://abs.twimg.com/images/themes/theme18/bg.gif</v>
      </c>
      <c r="AW109" s="80" t="b">
        <v>0</v>
      </c>
      <c r="AX109" s="80" t="s">
        <v>2141</v>
      </c>
      <c r="AY109" s="86" t="str">
        <f>HYPERLINK("https://twitter.com/teijalarikka")</f>
        <v>https://twitter.com/teijalarikka</v>
      </c>
      <c r="AZ109" s="80" t="s">
        <v>66</v>
      </c>
      <c r="BA109" s="80" t="str">
        <f>REPLACE(INDEX(GroupVertices[Group],MATCH(Vertices[[#This Row],[Vertex]],GroupVertices[Vertex],0)),1,1,"")</f>
        <v>3</v>
      </c>
      <c r="BB109" s="49">
        <v>0</v>
      </c>
      <c r="BC109" s="50">
        <v>0</v>
      </c>
      <c r="BD109" s="49">
        <v>0</v>
      </c>
      <c r="BE109" s="50">
        <v>0</v>
      </c>
      <c r="BF109" s="49">
        <v>0</v>
      </c>
      <c r="BG109" s="50">
        <v>0</v>
      </c>
      <c r="BH109" s="49">
        <v>7</v>
      </c>
      <c r="BI109" s="50">
        <v>100</v>
      </c>
      <c r="BJ109" s="49">
        <v>7</v>
      </c>
      <c r="BK109" s="49" t="s">
        <v>3992</v>
      </c>
      <c r="BL109" s="49" t="s">
        <v>3992</v>
      </c>
      <c r="BM109" s="49" t="s">
        <v>580</v>
      </c>
      <c r="BN109" s="49" t="s">
        <v>580</v>
      </c>
      <c r="BO109" s="49"/>
      <c r="BP109" s="49"/>
      <c r="BQ109" s="116" t="s">
        <v>4265</v>
      </c>
      <c r="BR109" s="116" t="s">
        <v>4265</v>
      </c>
      <c r="BS109" s="116" t="s">
        <v>4344</v>
      </c>
      <c r="BT109" s="116" t="s">
        <v>4344</v>
      </c>
      <c r="BU109" s="2"/>
      <c r="BV109" s="3"/>
      <c r="BW109" s="3"/>
      <c r="BX109" s="3"/>
      <c r="BY109" s="3"/>
    </row>
    <row r="110" spans="1:77" ht="15">
      <c r="A110" s="65" t="s">
        <v>319</v>
      </c>
      <c r="B110" s="66"/>
      <c r="C110" s="66" t="s">
        <v>64</v>
      </c>
      <c r="D110" s="67"/>
      <c r="E110" s="69"/>
      <c r="F110" s="104" t="str">
        <f>HYPERLINK("https://pbs.twimg.com/profile_images/1020996685659623429/kYDCqMfd_normal.jpg")</f>
        <v>https://pbs.twimg.com/profile_images/1020996685659623429/kYDCqMfd_normal.jpg</v>
      </c>
      <c r="G110" s="66"/>
      <c r="H110" s="70" t="s">
        <v>319</v>
      </c>
      <c r="I110" s="71" t="s">
        <v>4393</v>
      </c>
      <c r="J110" s="71" t="s">
        <v>73</v>
      </c>
      <c r="K110" s="70" t="s">
        <v>2248</v>
      </c>
      <c r="L110" s="74">
        <v>1</v>
      </c>
      <c r="M110" s="75">
        <v>6098.1201171875</v>
      </c>
      <c r="N110" s="75">
        <v>7313.33837890625</v>
      </c>
      <c r="O110" s="76"/>
      <c r="P110" s="77"/>
      <c r="Q110" s="77"/>
      <c r="R110" s="90"/>
      <c r="S110" s="49">
        <v>0</v>
      </c>
      <c r="T110" s="49">
        <v>1</v>
      </c>
      <c r="U110" s="50">
        <v>0</v>
      </c>
      <c r="V110" s="50">
        <v>0.239313</v>
      </c>
      <c r="W110" s="50">
        <v>0.067769</v>
      </c>
      <c r="X110" s="50">
        <v>0.003151</v>
      </c>
      <c r="Y110" s="50">
        <v>0</v>
      </c>
      <c r="Z110" s="50">
        <v>0</v>
      </c>
      <c r="AA110" s="72">
        <v>110</v>
      </c>
      <c r="AB110" s="72"/>
      <c r="AC110" s="73"/>
      <c r="AD110" s="80" t="s">
        <v>1341</v>
      </c>
      <c r="AE110" s="89" t="s">
        <v>1607</v>
      </c>
      <c r="AF110" s="80">
        <v>2337</v>
      </c>
      <c r="AG110" s="80">
        <v>1384</v>
      </c>
      <c r="AH110" s="80">
        <v>13589</v>
      </c>
      <c r="AI110" s="80">
        <v>26785</v>
      </c>
      <c r="AJ110" s="80"/>
      <c r="AK110" s="80" t="s">
        <v>1867</v>
      </c>
      <c r="AL110" s="80" t="s">
        <v>2084</v>
      </c>
      <c r="AM110" s="86" t="str">
        <f>HYPERLINK("https://t.co/n6v9QvfqMn")</f>
        <v>https://t.co/n6v9QvfqMn</v>
      </c>
      <c r="AN110" s="80"/>
      <c r="AO110" s="82">
        <v>43303.47876157407</v>
      </c>
      <c r="AP110" s="86" t="str">
        <f>HYPERLINK("https://pbs.twimg.com/profile_banners/1020994218758729728/1532260351")</f>
        <v>https://pbs.twimg.com/profile_banners/1020994218758729728/1532260351</v>
      </c>
      <c r="AQ110" s="80" t="b">
        <v>1</v>
      </c>
      <c r="AR110" s="80" t="b">
        <v>0</v>
      </c>
      <c r="AS110" s="80" t="b">
        <v>0</v>
      </c>
      <c r="AT110" s="80"/>
      <c r="AU110" s="80">
        <v>12</v>
      </c>
      <c r="AV110" s="80"/>
      <c r="AW110" s="80" t="b">
        <v>0</v>
      </c>
      <c r="AX110" s="80" t="s">
        <v>2141</v>
      </c>
      <c r="AY110" s="86" t="str">
        <f>HYPERLINK("https://twitter.com/anttivan")</f>
        <v>https://twitter.com/anttivan</v>
      </c>
      <c r="AZ110" s="80" t="s">
        <v>66</v>
      </c>
      <c r="BA110" s="80" t="str">
        <f>REPLACE(INDEX(GroupVertices[Group],MATCH(Vertices[[#This Row],[Vertex]],GroupVertices[Vertex],0)),1,1,"")</f>
        <v>1</v>
      </c>
      <c r="BB110" s="49">
        <v>0</v>
      </c>
      <c r="BC110" s="50">
        <v>0</v>
      </c>
      <c r="BD110" s="49">
        <v>0</v>
      </c>
      <c r="BE110" s="50">
        <v>0</v>
      </c>
      <c r="BF110" s="49">
        <v>0</v>
      </c>
      <c r="BG110" s="50">
        <v>0</v>
      </c>
      <c r="BH110" s="49">
        <v>5</v>
      </c>
      <c r="BI110" s="50">
        <v>100</v>
      </c>
      <c r="BJ110" s="49">
        <v>5</v>
      </c>
      <c r="BK110" s="49"/>
      <c r="BL110" s="49"/>
      <c r="BM110" s="49"/>
      <c r="BN110" s="49"/>
      <c r="BO110" s="49"/>
      <c r="BP110" s="49"/>
      <c r="BQ110" s="116" t="s">
        <v>4266</v>
      </c>
      <c r="BR110" s="116" t="s">
        <v>4266</v>
      </c>
      <c r="BS110" s="116" t="s">
        <v>4345</v>
      </c>
      <c r="BT110" s="116" t="s">
        <v>4345</v>
      </c>
      <c r="BU110" s="2"/>
      <c r="BV110" s="3"/>
      <c r="BW110" s="3"/>
      <c r="BX110" s="3"/>
      <c r="BY110" s="3"/>
    </row>
    <row r="111" spans="1:77" ht="15">
      <c r="A111" s="65" t="s">
        <v>479</v>
      </c>
      <c r="B111" s="66"/>
      <c r="C111" s="66" t="s">
        <v>64</v>
      </c>
      <c r="D111" s="67">
        <v>1000</v>
      </c>
      <c r="E111" s="69"/>
      <c r="F111" s="104" t="str">
        <f>HYPERLINK("https://pbs.twimg.com/profile_images/1260447350994227200/L6VCGuqB_normal.jpg")</f>
        <v>https://pbs.twimg.com/profile_images/1260447350994227200/L6VCGuqB_normal.jpg</v>
      </c>
      <c r="G111" s="66"/>
      <c r="H111" s="70" t="s">
        <v>479</v>
      </c>
      <c r="I111" s="71" t="s">
        <v>4393</v>
      </c>
      <c r="J111" s="71" t="s">
        <v>73</v>
      </c>
      <c r="K111" s="70" t="s">
        <v>2249</v>
      </c>
      <c r="L111" s="74">
        <v>9999</v>
      </c>
      <c r="M111" s="75">
        <v>5035.51025390625</v>
      </c>
      <c r="N111" s="75">
        <v>6831.041015625</v>
      </c>
      <c r="O111" s="76"/>
      <c r="P111" s="77"/>
      <c r="Q111" s="77"/>
      <c r="R111" s="90"/>
      <c r="S111" s="49">
        <v>102</v>
      </c>
      <c r="T111" s="49">
        <v>1</v>
      </c>
      <c r="U111" s="50">
        <v>31519</v>
      </c>
      <c r="V111" s="50">
        <v>0.362168</v>
      </c>
      <c r="W111" s="50">
        <v>0.719423</v>
      </c>
      <c r="X111" s="50">
        <v>0.048304</v>
      </c>
      <c r="Y111" s="50">
        <v>0.000297029702970297</v>
      </c>
      <c r="Z111" s="50">
        <v>0</v>
      </c>
      <c r="AA111" s="72">
        <v>111</v>
      </c>
      <c r="AB111" s="72"/>
      <c r="AC111" s="73"/>
      <c r="AD111" s="80" t="s">
        <v>1342</v>
      </c>
      <c r="AE111" s="89" t="s">
        <v>1168</v>
      </c>
      <c r="AF111" s="80">
        <v>579</v>
      </c>
      <c r="AG111" s="80">
        <v>2424</v>
      </c>
      <c r="AH111" s="80">
        <v>1566</v>
      </c>
      <c r="AI111" s="80">
        <v>5076</v>
      </c>
      <c r="AJ111" s="80"/>
      <c r="AK111" s="80" t="s">
        <v>1868</v>
      </c>
      <c r="AL111" s="80"/>
      <c r="AM111" s="80"/>
      <c r="AN111" s="80"/>
      <c r="AO111" s="82">
        <v>41351.697905092595</v>
      </c>
      <c r="AP111" s="86" t="str">
        <f>HYPERLINK("https://pbs.twimg.com/profile_banners/1278205890/1413127073")</f>
        <v>https://pbs.twimg.com/profile_banners/1278205890/1413127073</v>
      </c>
      <c r="AQ111" s="80" t="b">
        <v>1</v>
      </c>
      <c r="AR111" s="80" t="b">
        <v>0</v>
      </c>
      <c r="AS111" s="80" t="b">
        <v>0</v>
      </c>
      <c r="AT111" s="80"/>
      <c r="AU111" s="80">
        <v>15</v>
      </c>
      <c r="AV111" s="86" t="str">
        <f>HYPERLINK("https://abs.twimg.com/images/themes/theme1/bg.png")</f>
        <v>https://abs.twimg.com/images/themes/theme1/bg.png</v>
      </c>
      <c r="AW111" s="80" t="b">
        <v>0</v>
      </c>
      <c r="AX111" s="80" t="s">
        <v>2141</v>
      </c>
      <c r="AY111" s="86" t="str">
        <f>HYPERLINK("https://twitter.com/almaonali")</f>
        <v>https://twitter.com/almaonali</v>
      </c>
      <c r="AZ111" s="80" t="s">
        <v>66</v>
      </c>
      <c r="BA111" s="80" t="str">
        <f>REPLACE(INDEX(GroupVertices[Group],MATCH(Vertices[[#This Row],[Vertex]],GroupVertices[Vertex],0)),1,1,"")</f>
        <v>1</v>
      </c>
      <c r="BB111" s="49">
        <v>0</v>
      </c>
      <c r="BC111" s="50">
        <v>0</v>
      </c>
      <c r="BD111" s="49">
        <v>0</v>
      </c>
      <c r="BE111" s="50">
        <v>0</v>
      </c>
      <c r="BF111" s="49">
        <v>0</v>
      </c>
      <c r="BG111" s="50">
        <v>0</v>
      </c>
      <c r="BH111" s="49">
        <v>33</v>
      </c>
      <c r="BI111" s="50">
        <v>100</v>
      </c>
      <c r="BJ111" s="49">
        <v>33</v>
      </c>
      <c r="BK111" s="49" t="s">
        <v>3990</v>
      </c>
      <c r="BL111" s="49" t="s">
        <v>3990</v>
      </c>
      <c r="BM111" s="49" t="s">
        <v>582</v>
      </c>
      <c r="BN111" s="49" t="s">
        <v>582</v>
      </c>
      <c r="BO111" s="49"/>
      <c r="BP111" s="49"/>
      <c r="BQ111" s="116" t="s">
        <v>4267</v>
      </c>
      <c r="BR111" s="116" t="s">
        <v>4267</v>
      </c>
      <c r="BS111" s="116" t="s">
        <v>4346</v>
      </c>
      <c r="BT111" s="116" t="s">
        <v>4346</v>
      </c>
      <c r="BU111" s="2"/>
      <c r="BV111" s="3"/>
      <c r="BW111" s="3"/>
      <c r="BX111" s="3"/>
      <c r="BY111" s="3"/>
    </row>
    <row r="112" spans="1:77" ht="15">
      <c r="A112" s="65" t="s">
        <v>320</v>
      </c>
      <c r="B112" s="66"/>
      <c r="C112" s="66" t="s">
        <v>64</v>
      </c>
      <c r="D112" s="67"/>
      <c r="E112" s="69"/>
      <c r="F112" s="104" t="str">
        <f>HYPERLINK("https://pbs.twimg.com/profile_images/2920717158/53cd3c9ba217a78536b7f2797bcc5d6f_normal.jpeg")</f>
        <v>https://pbs.twimg.com/profile_images/2920717158/53cd3c9ba217a78536b7f2797bcc5d6f_normal.jpeg</v>
      </c>
      <c r="G112" s="66"/>
      <c r="H112" s="70" t="s">
        <v>320</v>
      </c>
      <c r="I112" s="71" t="s">
        <v>4393</v>
      </c>
      <c r="J112" s="71" t="s">
        <v>73</v>
      </c>
      <c r="K112" s="70" t="s">
        <v>2250</v>
      </c>
      <c r="L112" s="74">
        <v>1</v>
      </c>
      <c r="M112" s="75">
        <v>3499.219970703125</v>
      </c>
      <c r="N112" s="75">
        <v>4992.5380859375</v>
      </c>
      <c r="O112" s="76"/>
      <c r="P112" s="77"/>
      <c r="Q112" s="77"/>
      <c r="R112" s="90"/>
      <c r="S112" s="49">
        <v>0</v>
      </c>
      <c r="T112" s="49">
        <v>1</v>
      </c>
      <c r="U112" s="50">
        <v>0</v>
      </c>
      <c r="V112" s="50">
        <v>0.239313</v>
      </c>
      <c r="W112" s="50">
        <v>0.067769</v>
      </c>
      <c r="X112" s="50">
        <v>0.003151</v>
      </c>
      <c r="Y112" s="50">
        <v>0</v>
      </c>
      <c r="Z112" s="50">
        <v>0</v>
      </c>
      <c r="AA112" s="72">
        <v>112</v>
      </c>
      <c r="AB112" s="72"/>
      <c r="AC112" s="73"/>
      <c r="AD112" s="80" t="s">
        <v>1343</v>
      </c>
      <c r="AE112" s="89" t="s">
        <v>1608</v>
      </c>
      <c r="AF112" s="80">
        <v>1111</v>
      </c>
      <c r="AG112" s="80">
        <v>74</v>
      </c>
      <c r="AH112" s="80">
        <v>373</v>
      </c>
      <c r="AI112" s="80">
        <v>455</v>
      </c>
      <c r="AJ112" s="80"/>
      <c r="AK112" s="80" t="s">
        <v>1869</v>
      </c>
      <c r="AL112" s="80"/>
      <c r="AM112" s="80"/>
      <c r="AN112" s="80"/>
      <c r="AO112" s="82">
        <v>41244.97930555556</v>
      </c>
      <c r="AP112" s="80"/>
      <c r="AQ112" s="80" t="b">
        <v>1</v>
      </c>
      <c r="AR112" s="80" t="b">
        <v>0</v>
      </c>
      <c r="AS112" s="80" t="b">
        <v>0</v>
      </c>
      <c r="AT112" s="80"/>
      <c r="AU112" s="80">
        <v>3</v>
      </c>
      <c r="AV112" s="86" t="str">
        <f>HYPERLINK("https://abs.twimg.com/images/themes/theme1/bg.png")</f>
        <v>https://abs.twimg.com/images/themes/theme1/bg.png</v>
      </c>
      <c r="AW112" s="80" t="b">
        <v>0</v>
      </c>
      <c r="AX112" s="80" t="s">
        <v>2141</v>
      </c>
      <c r="AY112" s="86" t="str">
        <f>HYPERLINK("https://twitter.com/mikkostenlund")</f>
        <v>https://twitter.com/mikkostenlund</v>
      </c>
      <c r="AZ112" s="80" t="s">
        <v>66</v>
      </c>
      <c r="BA112" s="80" t="str">
        <f>REPLACE(INDEX(GroupVertices[Group],MATCH(Vertices[[#This Row],[Vertex]],GroupVertices[Vertex],0)),1,1,"")</f>
        <v>1</v>
      </c>
      <c r="BB112" s="49">
        <v>0</v>
      </c>
      <c r="BC112" s="50">
        <v>0</v>
      </c>
      <c r="BD112" s="49">
        <v>0</v>
      </c>
      <c r="BE112" s="50">
        <v>0</v>
      </c>
      <c r="BF112" s="49">
        <v>0</v>
      </c>
      <c r="BG112" s="50">
        <v>0</v>
      </c>
      <c r="BH112" s="49">
        <v>13</v>
      </c>
      <c r="BI112" s="50">
        <v>100</v>
      </c>
      <c r="BJ112" s="49">
        <v>13</v>
      </c>
      <c r="BK112" s="49"/>
      <c r="BL112" s="49"/>
      <c r="BM112" s="49"/>
      <c r="BN112" s="49"/>
      <c r="BO112" s="49"/>
      <c r="BP112" s="49"/>
      <c r="BQ112" s="116" t="s">
        <v>4268</v>
      </c>
      <c r="BR112" s="116" t="s">
        <v>4268</v>
      </c>
      <c r="BS112" s="116" t="s">
        <v>4347</v>
      </c>
      <c r="BT112" s="116" t="s">
        <v>4347</v>
      </c>
      <c r="BU112" s="2"/>
      <c r="BV112" s="3"/>
      <c r="BW112" s="3"/>
      <c r="BX112" s="3"/>
      <c r="BY112" s="3"/>
    </row>
    <row r="113" spans="1:77" ht="15">
      <c r="A113" s="65" t="s">
        <v>321</v>
      </c>
      <c r="B113" s="66"/>
      <c r="C113" s="66" t="s">
        <v>64</v>
      </c>
      <c r="D113" s="67"/>
      <c r="E113" s="69"/>
      <c r="F113" s="104" t="str">
        <f>HYPERLINK("https://pbs.twimg.com/profile_images/1297247892374249472/GUejHBBh_normal.jpg")</f>
        <v>https://pbs.twimg.com/profile_images/1297247892374249472/GUejHBBh_normal.jpg</v>
      </c>
      <c r="G113" s="66"/>
      <c r="H113" s="70" t="s">
        <v>321</v>
      </c>
      <c r="I113" s="71" t="s">
        <v>4401</v>
      </c>
      <c r="J113" s="71" t="s">
        <v>73</v>
      </c>
      <c r="K113" s="70" t="s">
        <v>2251</v>
      </c>
      <c r="L113" s="74">
        <v>1</v>
      </c>
      <c r="M113" s="75">
        <v>9049.0419921875</v>
      </c>
      <c r="N113" s="75">
        <v>8932.755859375</v>
      </c>
      <c r="O113" s="76"/>
      <c r="P113" s="77"/>
      <c r="Q113" s="77"/>
      <c r="R113" s="90"/>
      <c r="S113" s="49">
        <v>0</v>
      </c>
      <c r="T113" s="49">
        <v>1</v>
      </c>
      <c r="U113" s="50">
        <v>0</v>
      </c>
      <c r="V113" s="50">
        <v>0.008312</v>
      </c>
      <c r="W113" s="50">
        <v>0</v>
      </c>
      <c r="X113" s="50">
        <v>0.003235</v>
      </c>
      <c r="Y113" s="50">
        <v>0</v>
      </c>
      <c r="Z113" s="50">
        <v>0</v>
      </c>
      <c r="AA113" s="72">
        <v>113</v>
      </c>
      <c r="AB113" s="72"/>
      <c r="AC113" s="73"/>
      <c r="AD113" s="80" t="s">
        <v>1344</v>
      </c>
      <c r="AE113" s="89" t="s">
        <v>1609</v>
      </c>
      <c r="AF113" s="80">
        <v>129</v>
      </c>
      <c r="AG113" s="80">
        <v>441</v>
      </c>
      <c r="AH113" s="80">
        <v>15265</v>
      </c>
      <c r="AI113" s="80">
        <v>12944</v>
      </c>
      <c r="AJ113" s="80"/>
      <c r="AK113" s="80" t="s">
        <v>1870</v>
      </c>
      <c r="AL113" s="80" t="s">
        <v>2038</v>
      </c>
      <c r="AM113" s="86" t="str">
        <f>HYPERLINK("https://t.co/u1vyHr7kan")</f>
        <v>https://t.co/u1vyHr7kan</v>
      </c>
      <c r="AN113" s="80"/>
      <c r="AO113" s="82">
        <v>41058.26119212963</v>
      </c>
      <c r="AP113" s="86" t="str">
        <f>HYPERLINK("https://pbs.twimg.com/profile_banners/593421539/1598123144")</f>
        <v>https://pbs.twimg.com/profile_banners/593421539/1598123144</v>
      </c>
      <c r="AQ113" s="80" t="b">
        <v>0</v>
      </c>
      <c r="AR113" s="80" t="b">
        <v>0</v>
      </c>
      <c r="AS113" s="80" t="b">
        <v>0</v>
      </c>
      <c r="AT113" s="80"/>
      <c r="AU113" s="80">
        <v>3</v>
      </c>
      <c r="AV113" s="86" t="str">
        <f>HYPERLINK("https://abs.twimg.com/images/themes/theme2/bg.gif")</f>
        <v>https://abs.twimg.com/images/themes/theme2/bg.gif</v>
      </c>
      <c r="AW113" s="80" t="b">
        <v>0</v>
      </c>
      <c r="AX113" s="80" t="s">
        <v>2141</v>
      </c>
      <c r="AY113" s="86" t="str">
        <f>HYPERLINK("https://twitter.com/elina_hjr")</f>
        <v>https://twitter.com/elina_hjr</v>
      </c>
      <c r="AZ113" s="80" t="s">
        <v>66</v>
      </c>
      <c r="BA113" s="80" t="str">
        <f>REPLACE(INDEX(GroupVertices[Group],MATCH(Vertices[[#This Row],[Vertex]],GroupVertices[Vertex],0)),1,1,"")</f>
        <v>5</v>
      </c>
      <c r="BB113" s="49">
        <v>0</v>
      </c>
      <c r="BC113" s="50">
        <v>0</v>
      </c>
      <c r="BD113" s="49">
        <v>0</v>
      </c>
      <c r="BE113" s="50">
        <v>0</v>
      </c>
      <c r="BF113" s="49">
        <v>0</v>
      </c>
      <c r="BG113" s="50">
        <v>0</v>
      </c>
      <c r="BH113" s="49">
        <v>16</v>
      </c>
      <c r="BI113" s="50">
        <v>100</v>
      </c>
      <c r="BJ113" s="49">
        <v>16</v>
      </c>
      <c r="BK113" s="49" t="s">
        <v>3990</v>
      </c>
      <c r="BL113" s="49" t="s">
        <v>3990</v>
      </c>
      <c r="BM113" s="49" t="s">
        <v>582</v>
      </c>
      <c r="BN113" s="49" t="s">
        <v>582</v>
      </c>
      <c r="BO113" s="49"/>
      <c r="BP113" s="49"/>
      <c r="BQ113" s="116" t="s">
        <v>4257</v>
      </c>
      <c r="BR113" s="116" t="s">
        <v>4257</v>
      </c>
      <c r="BS113" s="116" t="s">
        <v>4158</v>
      </c>
      <c r="BT113" s="116" t="s">
        <v>4158</v>
      </c>
      <c r="BU113" s="2"/>
      <c r="BV113" s="3"/>
      <c r="BW113" s="3"/>
      <c r="BX113" s="3"/>
      <c r="BY113" s="3"/>
    </row>
    <row r="114" spans="1:77" ht="15">
      <c r="A114" s="65" t="s">
        <v>322</v>
      </c>
      <c r="B114" s="66"/>
      <c r="C114" s="66" t="s">
        <v>64</v>
      </c>
      <c r="D114" s="67">
        <v>10</v>
      </c>
      <c r="E114" s="69"/>
      <c r="F114" s="104" t="str">
        <f>HYPERLINK("https://pbs.twimg.com/profile_images/1494409752721432583/pEaCO6qJ_normal.jpg")</f>
        <v>https://pbs.twimg.com/profile_images/1494409752721432583/pEaCO6qJ_normal.jpg</v>
      </c>
      <c r="G114" s="66"/>
      <c r="H114" s="70" t="s">
        <v>322</v>
      </c>
      <c r="I114" s="71" t="s">
        <v>4398</v>
      </c>
      <c r="J114" s="71" t="s">
        <v>73</v>
      </c>
      <c r="K114" s="70" t="s">
        <v>2252</v>
      </c>
      <c r="L114" s="74">
        <v>99.01960784313725</v>
      </c>
      <c r="M114" s="75"/>
      <c r="N114" s="75"/>
      <c r="O114" s="76"/>
      <c r="P114" s="77"/>
      <c r="Q114" s="77"/>
      <c r="R114" s="90"/>
      <c r="S114" s="49">
        <v>1</v>
      </c>
      <c r="T114" s="49">
        <v>1</v>
      </c>
      <c r="U114" s="50">
        <v>0</v>
      </c>
      <c r="V114" s="50">
        <v>0</v>
      </c>
      <c r="W114" s="50">
        <v>0</v>
      </c>
      <c r="X114" s="50">
        <v>0.003623</v>
      </c>
      <c r="Y114" s="50">
        <v>0</v>
      </c>
      <c r="Z114" s="50">
        <v>0</v>
      </c>
      <c r="AA114" s="72">
        <v>114</v>
      </c>
      <c r="AB114" s="72"/>
      <c r="AC114" s="73"/>
      <c r="AD114" s="80" t="s">
        <v>1345</v>
      </c>
      <c r="AE114" s="89" t="s">
        <v>1610</v>
      </c>
      <c r="AF114" s="80">
        <v>51</v>
      </c>
      <c r="AG114" s="80">
        <v>92</v>
      </c>
      <c r="AH114" s="80">
        <v>943</v>
      </c>
      <c r="AI114" s="80">
        <v>775</v>
      </c>
      <c r="AJ114" s="80"/>
      <c r="AK114" s="80" t="s">
        <v>1871</v>
      </c>
      <c r="AL114" s="80"/>
      <c r="AM114" s="86" t="str">
        <f>HYPERLINK("https://t.co/DcfMWPZAvx")</f>
        <v>https://t.co/DcfMWPZAvx</v>
      </c>
      <c r="AN114" s="80"/>
      <c r="AO114" s="82">
        <v>39959.79462962963</v>
      </c>
      <c r="AP114" s="86" t="str">
        <f>HYPERLINK("https://pbs.twimg.com/profile_banners/42692865/1633422346")</f>
        <v>https://pbs.twimg.com/profile_banners/42692865/1633422346</v>
      </c>
      <c r="AQ114" s="80" t="b">
        <v>1</v>
      </c>
      <c r="AR114" s="80" t="b">
        <v>0</v>
      </c>
      <c r="AS114" s="80" t="b">
        <v>0</v>
      </c>
      <c r="AT114" s="80"/>
      <c r="AU114" s="80">
        <v>0</v>
      </c>
      <c r="AV114" s="86" t="str">
        <f>HYPERLINK("https://abs.twimg.com/images/themes/theme1/bg.png")</f>
        <v>https://abs.twimg.com/images/themes/theme1/bg.png</v>
      </c>
      <c r="AW114" s="80" t="b">
        <v>0</v>
      </c>
      <c r="AX114" s="80" t="s">
        <v>2141</v>
      </c>
      <c r="AY114" s="86" t="str">
        <f>HYPERLINK("https://twitter.com/timopennanen")</f>
        <v>https://twitter.com/timopennanen</v>
      </c>
      <c r="AZ114" s="80" t="s">
        <v>66</v>
      </c>
      <c r="BA114" s="80" t="str">
        <f>REPLACE(INDEX(GroupVertices[Group],MATCH(Vertices[[#This Row],[Vertex]],GroupVertices[Vertex],0)),1,1,"")</f>
        <v>3</v>
      </c>
      <c r="BB114" s="49">
        <v>0</v>
      </c>
      <c r="BC114" s="50">
        <v>0</v>
      </c>
      <c r="BD114" s="49">
        <v>0</v>
      </c>
      <c r="BE114" s="50">
        <v>0</v>
      </c>
      <c r="BF114" s="49">
        <v>0</v>
      </c>
      <c r="BG114" s="50">
        <v>0</v>
      </c>
      <c r="BH114" s="49">
        <v>16</v>
      </c>
      <c r="BI114" s="50">
        <v>100</v>
      </c>
      <c r="BJ114" s="49">
        <v>16</v>
      </c>
      <c r="BK114" s="49"/>
      <c r="BL114" s="49"/>
      <c r="BM114" s="49"/>
      <c r="BN114" s="49"/>
      <c r="BO114" s="49"/>
      <c r="BP114" s="49"/>
      <c r="BQ114" s="116" t="s">
        <v>4269</v>
      </c>
      <c r="BR114" s="116" t="s">
        <v>4269</v>
      </c>
      <c r="BS114" s="116" t="s">
        <v>4348</v>
      </c>
      <c r="BT114" s="116" t="s">
        <v>4348</v>
      </c>
      <c r="BU114" s="2"/>
      <c r="BV114" s="3"/>
      <c r="BW114" s="3"/>
      <c r="BX114" s="3"/>
      <c r="BY114" s="3"/>
    </row>
    <row r="115" spans="1:77" ht="15">
      <c r="A115" s="65" t="s">
        <v>323</v>
      </c>
      <c r="B115" s="66"/>
      <c r="C115" s="66" t="s">
        <v>64</v>
      </c>
      <c r="D115" s="67"/>
      <c r="E115" s="69"/>
      <c r="F115" s="104" t="str">
        <f>HYPERLINK("https://pbs.twimg.com/profile_images/1355447288580206594/Xq21nWwY_normal.jpg")</f>
        <v>https://pbs.twimg.com/profile_images/1355447288580206594/Xq21nWwY_normal.jpg</v>
      </c>
      <c r="G115" s="66"/>
      <c r="H115" s="70" t="s">
        <v>323</v>
      </c>
      <c r="I115" s="71" t="s">
        <v>4399</v>
      </c>
      <c r="J115" s="71" t="s">
        <v>73</v>
      </c>
      <c r="K115" s="70" t="s">
        <v>2253</v>
      </c>
      <c r="L115" s="74">
        <v>1</v>
      </c>
      <c r="M115" s="75">
        <v>4491.89453125</v>
      </c>
      <c r="N115" s="75">
        <v>397.4907531738281</v>
      </c>
      <c r="O115" s="76"/>
      <c r="P115" s="77"/>
      <c r="Q115" s="77"/>
      <c r="R115" s="90"/>
      <c r="S115" s="49">
        <v>0</v>
      </c>
      <c r="T115" s="49">
        <v>2</v>
      </c>
      <c r="U115" s="50">
        <v>5538.666667</v>
      </c>
      <c r="V115" s="50">
        <v>0.313544</v>
      </c>
      <c r="W115" s="50">
        <v>0.073913</v>
      </c>
      <c r="X115" s="50">
        <v>0.003226</v>
      </c>
      <c r="Y115" s="50">
        <v>0</v>
      </c>
      <c r="Z115" s="50">
        <v>0</v>
      </c>
      <c r="AA115" s="72">
        <v>115</v>
      </c>
      <c r="AB115" s="72"/>
      <c r="AC115" s="73"/>
      <c r="AD115" s="80" t="s">
        <v>1346</v>
      </c>
      <c r="AE115" s="89" t="s">
        <v>1611</v>
      </c>
      <c r="AF115" s="80">
        <v>1161</v>
      </c>
      <c r="AG115" s="80">
        <v>23718</v>
      </c>
      <c r="AH115" s="80">
        <v>126405</v>
      </c>
      <c r="AI115" s="80">
        <v>161469</v>
      </c>
      <c r="AJ115" s="80"/>
      <c r="AK115" s="80" t="s">
        <v>1872</v>
      </c>
      <c r="AL115" s="80" t="s">
        <v>2065</v>
      </c>
      <c r="AM115" s="86" t="str">
        <f>HYPERLINK("https://t.co/EejpaOzeyT")</f>
        <v>https://t.co/EejpaOzeyT</v>
      </c>
      <c r="AN115" s="80"/>
      <c r="AO115" s="82">
        <v>41443.33924768519</v>
      </c>
      <c r="AP115" s="86" t="str">
        <f>HYPERLINK("https://pbs.twimg.com/profile_banners/1527117008/1510083918")</f>
        <v>https://pbs.twimg.com/profile_banners/1527117008/1510083918</v>
      </c>
      <c r="AQ115" s="80" t="b">
        <v>1</v>
      </c>
      <c r="AR115" s="80" t="b">
        <v>0</v>
      </c>
      <c r="AS115" s="80" t="b">
        <v>1</v>
      </c>
      <c r="AT115" s="80"/>
      <c r="AU115" s="80">
        <v>45</v>
      </c>
      <c r="AV115" s="86" t="str">
        <f>HYPERLINK("https://abs.twimg.com/images/themes/theme1/bg.png")</f>
        <v>https://abs.twimg.com/images/themes/theme1/bg.png</v>
      </c>
      <c r="AW115" s="80" t="b">
        <v>0</v>
      </c>
      <c r="AX115" s="80" t="s">
        <v>2141</v>
      </c>
      <c r="AY115" s="86" t="str">
        <f>HYPERLINK("https://twitter.com/koomikkokivi")</f>
        <v>https://twitter.com/koomikkokivi</v>
      </c>
      <c r="AZ115" s="80" t="s">
        <v>66</v>
      </c>
      <c r="BA115" s="80" t="str">
        <f>REPLACE(INDEX(GroupVertices[Group],MATCH(Vertices[[#This Row],[Vertex]],GroupVertices[Vertex],0)),1,1,"")</f>
        <v>2</v>
      </c>
      <c r="BB115" s="49">
        <v>0</v>
      </c>
      <c r="BC115" s="50">
        <v>0</v>
      </c>
      <c r="BD115" s="49">
        <v>0</v>
      </c>
      <c r="BE115" s="50">
        <v>0</v>
      </c>
      <c r="BF115" s="49">
        <v>0</v>
      </c>
      <c r="BG115" s="50">
        <v>0</v>
      </c>
      <c r="BH115" s="49">
        <v>39</v>
      </c>
      <c r="BI115" s="50">
        <v>100</v>
      </c>
      <c r="BJ115" s="49">
        <v>39</v>
      </c>
      <c r="BK115" s="49" t="s">
        <v>3990</v>
      </c>
      <c r="BL115" s="49" t="s">
        <v>3990</v>
      </c>
      <c r="BM115" s="49" t="s">
        <v>582</v>
      </c>
      <c r="BN115" s="49" t="s">
        <v>582</v>
      </c>
      <c r="BO115" s="49"/>
      <c r="BP115" s="49"/>
      <c r="BQ115" s="116" t="s">
        <v>4270</v>
      </c>
      <c r="BR115" s="116" t="s">
        <v>4311</v>
      </c>
      <c r="BS115" s="116" t="s">
        <v>4346</v>
      </c>
      <c r="BT115" s="116" t="s">
        <v>4389</v>
      </c>
      <c r="BU115" s="2"/>
      <c r="BV115" s="3"/>
      <c r="BW115" s="3"/>
      <c r="BX115" s="3"/>
      <c r="BY115" s="3"/>
    </row>
    <row r="116" spans="1:77" ht="15">
      <c r="A116" s="65" t="s">
        <v>324</v>
      </c>
      <c r="B116" s="66"/>
      <c r="C116" s="66" t="s">
        <v>64</v>
      </c>
      <c r="D116" s="67"/>
      <c r="E116" s="69"/>
      <c r="F116" s="104" t="str">
        <f>HYPERLINK("https://pbs.twimg.com/profile_images/1421916259051053062/_KIUh0wL_normal.jpg")</f>
        <v>https://pbs.twimg.com/profile_images/1421916259051053062/_KIUh0wL_normal.jpg</v>
      </c>
      <c r="G116" s="66"/>
      <c r="H116" s="70" t="s">
        <v>324</v>
      </c>
      <c r="I116" s="71" t="s">
        <v>4393</v>
      </c>
      <c r="J116" s="71" t="s">
        <v>73</v>
      </c>
      <c r="K116" s="70" t="s">
        <v>2254</v>
      </c>
      <c r="L116" s="74">
        <v>1</v>
      </c>
      <c r="M116" s="75">
        <v>6885.40478515625</v>
      </c>
      <c r="N116" s="75">
        <v>4626.64111328125</v>
      </c>
      <c r="O116" s="76"/>
      <c r="P116" s="77"/>
      <c r="Q116" s="77"/>
      <c r="R116" s="90"/>
      <c r="S116" s="49">
        <v>0</v>
      </c>
      <c r="T116" s="49">
        <v>1</v>
      </c>
      <c r="U116" s="50">
        <v>0</v>
      </c>
      <c r="V116" s="50">
        <v>0.239313</v>
      </c>
      <c r="W116" s="50">
        <v>0.067769</v>
      </c>
      <c r="X116" s="50">
        <v>0.003151</v>
      </c>
      <c r="Y116" s="50">
        <v>0</v>
      </c>
      <c r="Z116" s="50">
        <v>0</v>
      </c>
      <c r="AA116" s="72">
        <v>116</v>
      </c>
      <c r="AB116" s="72"/>
      <c r="AC116" s="73"/>
      <c r="AD116" s="80" t="s">
        <v>1347</v>
      </c>
      <c r="AE116" s="89" t="s">
        <v>1612</v>
      </c>
      <c r="AF116" s="80">
        <v>1294</v>
      </c>
      <c r="AG116" s="80">
        <v>1794</v>
      </c>
      <c r="AH116" s="80">
        <v>13499</v>
      </c>
      <c r="AI116" s="80">
        <v>24936</v>
      </c>
      <c r="AJ116" s="80"/>
      <c r="AK116" s="80" t="s">
        <v>1873</v>
      </c>
      <c r="AL116" s="80" t="s">
        <v>2058</v>
      </c>
      <c r="AM116" s="86" t="str">
        <f>HYPERLINK("https://t.co/Czpt6IcaIY")</f>
        <v>https://t.co/Czpt6IcaIY</v>
      </c>
      <c r="AN116" s="80"/>
      <c r="AO116" s="82">
        <v>41527.24402777778</v>
      </c>
      <c r="AP116" s="86" t="str">
        <f>HYPERLINK("https://pbs.twimg.com/profile_banners/1850466546/1567320108")</f>
        <v>https://pbs.twimg.com/profile_banners/1850466546/1567320108</v>
      </c>
      <c r="AQ116" s="80" t="b">
        <v>1</v>
      </c>
      <c r="AR116" s="80" t="b">
        <v>0</v>
      </c>
      <c r="AS116" s="80" t="b">
        <v>1</v>
      </c>
      <c r="AT116" s="80"/>
      <c r="AU116" s="80">
        <v>13</v>
      </c>
      <c r="AV116" s="86" t="str">
        <f>HYPERLINK("https://abs.twimg.com/images/themes/theme1/bg.png")</f>
        <v>https://abs.twimg.com/images/themes/theme1/bg.png</v>
      </c>
      <c r="AW116" s="80" t="b">
        <v>0</v>
      </c>
      <c r="AX116" s="80" t="s">
        <v>2141</v>
      </c>
      <c r="AY116" s="86" t="str">
        <f>HYPERLINK("https://twitter.com/symbaaliapina")</f>
        <v>https://twitter.com/symbaaliapina</v>
      </c>
      <c r="AZ116" s="80" t="s">
        <v>66</v>
      </c>
      <c r="BA116" s="80" t="str">
        <f>REPLACE(INDEX(GroupVertices[Group],MATCH(Vertices[[#This Row],[Vertex]],GroupVertices[Vertex],0)),1,1,"")</f>
        <v>1</v>
      </c>
      <c r="BB116" s="49">
        <v>0</v>
      </c>
      <c r="BC116" s="50">
        <v>0</v>
      </c>
      <c r="BD116" s="49">
        <v>0</v>
      </c>
      <c r="BE116" s="50">
        <v>0</v>
      </c>
      <c r="BF116" s="49">
        <v>0</v>
      </c>
      <c r="BG116" s="50">
        <v>0</v>
      </c>
      <c r="BH116" s="49">
        <v>33</v>
      </c>
      <c r="BI116" s="50">
        <v>100</v>
      </c>
      <c r="BJ116" s="49">
        <v>33</v>
      </c>
      <c r="BK116" s="49" t="s">
        <v>3990</v>
      </c>
      <c r="BL116" s="49" t="s">
        <v>3990</v>
      </c>
      <c r="BM116" s="49" t="s">
        <v>582</v>
      </c>
      <c r="BN116" s="49" t="s">
        <v>582</v>
      </c>
      <c r="BO116" s="49"/>
      <c r="BP116" s="49"/>
      <c r="BQ116" s="116" t="s">
        <v>4267</v>
      </c>
      <c r="BR116" s="116" t="s">
        <v>4267</v>
      </c>
      <c r="BS116" s="116" t="s">
        <v>4346</v>
      </c>
      <c r="BT116" s="116" t="s">
        <v>4346</v>
      </c>
      <c r="BU116" s="2"/>
      <c r="BV116" s="3"/>
      <c r="BW116" s="3"/>
      <c r="BX116" s="3"/>
      <c r="BY116" s="3"/>
    </row>
    <row r="117" spans="1:77" ht="15">
      <c r="A117" s="65" t="s">
        <v>325</v>
      </c>
      <c r="B117" s="66"/>
      <c r="C117" s="66" t="s">
        <v>64</v>
      </c>
      <c r="D117" s="67"/>
      <c r="E117" s="69"/>
      <c r="F117" s="104" t="str">
        <f>HYPERLINK("https://pbs.twimg.com/profile_images/2261017610/twitter_vee_normal.jpg")</f>
        <v>https://pbs.twimg.com/profile_images/2261017610/twitter_vee_normal.jpg</v>
      </c>
      <c r="G117" s="66"/>
      <c r="H117" s="70" t="s">
        <v>325</v>
      </c>
      <c r="I117" s="71" t="s">
        <v>4401</v>
      </c>
      <c r="J117" s="71" t="s">
        <v>73</v>
      </c>
      <c r="K117" s="70" t="s">
        <v>2255</v>
      </c>
      <c r="L117" s="74">
        <v>1</v>
      </c>
      <c r="M117" s="75">
        <v>9866.0302734375</v>
      </c>
      <c r="N117" s="75">
        <v>9366.9345703125</v>
      </c>
      <c r="O117" s="76"/>
      <c r="P117" s="77"/>
      <c r="Q117" s="77"/>
      <c r="R117" s="90"/>
      <c r="S117" s="49">
        <v>0</v>
      </c>
      <c r="T117" s="49">
        <v>1</v>
      </c>
      <c r="U117" s="50">
        <v>0</v>
      </c>
      <c r="V117" s="50">
        <v>0.008312</v>
      </c>
      <c r="W117" s="50">
        <v>0</v>
      </c>
      <c r="X117" s="50">
        <v>0.003235</v>
      </c>
      <c r="Y117" s="50">
        <v>0</v>
      </c>
      <c r="Z117" s="50">
        <v>0</v>
      </c>
      <c r="AA117" s="72">
        <v>117</v>
      </c>
      <c r="AB117" s="72"/>
      <c r="AC117" s="73"/>
      <c r="AD117" s="80" t="s">
        <v>1348</v>
      </c>
      <c r="AE117" s="89" t="s">
        <v>1613</v>
      </c>
      <c r="AF117" s="80">
        <v>210</v>
      </c>
      <c r="AG117" s="80">
        <v>49</v>
      </c>
      <c r="AH117" s="80">
        <v>1432</v>
      </c>
      <c r="AI117" s="80">
        <v>1493</v>
      </c>
      <c r="AJ117" s="80"/>
      <c r="AK117" s="80" t="s">
        <v>1874</v>
      </c>
      <c r="AL117" s="80" t="s">
        <v>1201</v>
      </c>
      <c r="AM117" s="80"/>
      <c r="AN117" s="80"/>
      <c r="AO117" s="82">
        <v>40812.47969907407</v>
      </c>
      <c r="AP117" s="86" t="str">
        <f>HYPERLINK("https://pbs.twimg.com/profile_banners/380276751/1465814384")</f>
        <v>https://pbs.twimg.com/profile_banners/380276751/1465814384</v>
      </c>
      <c r="AQ117" s="80" t="b">
        <v>0</v>
      </c>
      <c r="AR117" s="80" t="b">
        <v>0</v>
      </c>
      <c r="AS117" s="80" t="b">
        <v>0</v>
      </c>
      <c r="AT117" s="80"/>
      <c r="AU117" s="80">
        <v>5</v>
      </c>
      <c r="AV117" s="86" t="str">
        <f>HYPERLINK("https://abs.twimg.com/images/themes/theme1/bg.png")</f>
        <v>https://abs.twimg.com/images/themes/theme1/bg.png</v>
      </c>
      <c r="AW117" s="80" t="b">
        <v>0</v>
      </c>
      <c r="AX117" s="80" t="s">
        <v>2141</v>
      </c>
      <c r="AY117" s="86" t="str">
        <f>HYPERLINK("https://twitter.com/vesavee")</f>
        <v>https://twitter.com/vesavee</v>
      </c>
      <c r="AZ117" s="80" t="s">
        <v>66</v>
      </c>
      <c r="BA117" s="80" t="str">
        <f>REPLACE(INDEX(GroupVertices[Group],MATCH(Vertices[[#This Row],[Vertex]],GroupVertices[Vertex],0)),1,1,"")</f>
        <v>5</v>
      </c>
      <c r="BB117" s="49">
        <v>0</v>
      </c>
      <c r="BC117" s="50">
        <v>0</v>
      </c>
      <c r="BD117" s="49">
        <v>0</v>
      </c>
      <c r="BE117" s="50">
        <v>0</v>
      </c>
      <c r="BF117" s="49">
        <v>0</v>
      </c>
      <c r="BG117" s="50">
        <v>0</v>
      </c>
      <c r="BH117" s="49">
        <v>16</v>
      </c>
      <c r="BI117" s="50">
        <v>100</v>
      </c>
      <c r="BJ117" s="49">
        <v>16</v>
      </c>
      <c r="BK117" s="49" t="s">
        <v>3990</v>
      </c>
      <c r="BL117" s="49" t="s">
        <v>3990</v>
      </c>
      <c r="BM117" s="49" t="s">
        <v>582</v>
      </c>
      <c r="BN117" s="49" t="s">
        <v>582</v>
      </c>
      <c r="BO117" s="49"/>
      <c r="BP117" s="49"/>
      <c r="BQ117" s="116" t="s">
        <v>4257</v>
      </c>
      <c r="BR117" s="116" t="s">
        <v>4257</v>
      </c>
      <c r="BS117" s="116" t="s">
        <v>4158</v>
      </c>
      <c r="BT117" s="116" t="s">
        <v>4158</v>
      </c>
      <c r="BU117" s="2"/>
      <c r="BV117" s="3"/>
      <c r="BW117" s="3"/>
      <c r="BX117" s="3"/>
      <c r="BY117" s="3"/>
    </row>
    <row r="118" spans="1:77" ht="15">
      <c r="A118" s="65" t="s">
        <v>326</v>
      </c>
      <c r="B118" s="66"/>
      <c r="C118" s="66" t="s">
        <v>64</v>
      </c>
      <c r="D118" s="67"/>
      <c r="E118" s="69"/>
      <c r="F118" s="104" t="str">
        <f>HYPERLINK("https://pbs.twimg.com/profile_images/795659865821761537/SANFbz2j_normal.jpg")</f>
        <v>https://pbs.twimg.com/profile_images/795659865821761537/SANFbz2j_normal.jpg</v>
      </c>
      <c r="G118" s="66"/>
      <c r="H118" s="70" t="s">
        <v>326</v>
      </c>
      <c r="I118" s="71" t="s">
        <v>4393</v>
      </c>
      <c r="J118" s="71" t="s">
        <v>73</v>
      </c>
      <c r="K118" s="70" t="s">
        <v>2256</v>
      </c>
      <c r="L118" s="74">
        <v>1</v>
      </c>
      <c r="M118" s="75">
        <v>2279.227783203125</v>
      </c>
      <c r="N118" s="75">
        <v>5637.78369140625</v>
      </c>
      <c r="O118" s="76"/>
      <c r="P118" s="77"/>
      <c r="Q118" s="77"/>
      <c r="R118" s="90"/>
      <c r="S118" s="49">
        <v>0</v>
      </c>
      <c r="T118" s="49">
        <v>1</v>
      </c>
      <c r="U118" s="50">
        <v>0</v>
      </c>
      <c r="V118" s="50">
        <v>0.239313</v>
      </c>
      <c r="W118" s="50">
        <v>0.067769</v>
      </c>
      <c r="X118" s="50">
        <v>0.003151</v>
      </c>
      <c r="Y118" s="50">
        <v>0</v>
      </c>
      <c r="Z118" s="50">
        <v>0</v>
      </c>
      <c r="AA118" s="72">
        <v>118</v>
      </c>
      <c r="AB118" s="72"/>
      <c r="AC118" s="73"/>
      <c r="AD118" s="80" t="s">
        <v>1349</v>
      </c>
      <c r="AE118" s="89" t="s">
        <v>1614</v>
      </c>
      <c r="AF118" s="80">
        <v>678</v>
      </c>
      <c r="AG118" s="80">
        <v>256</v>
      </c>
      <c r="AH118" s="80">
        <v>10827</v>
      </c>
      <c r="AI118" s="80">
        <v>11516</v>
      </c>
      <c r="AJ118" s="80"/>
      <c r="AK118" s="80" t="s">
        <v>1875</v>
      </c>
      <c r="AL118" s="80" t="s">
        <v>2085</v>
      </c>
      <c r="AM118" s="86" t="str">
        <f>HYPERLINK("http://t.co/zKsyrXWWYY")</f>
        <v>http://t.co/zKsyrXWWYY</v>
      </c>
      <c r="AN118" s="80"/>
      <c r="AO118" s="82">
        <v>40437.496875</v>
      </c>
      <c r="AP118" s="86" t="str">
        <f>HYPERLINK("https://pbs.twimg.com/profile_banners/191414048/1603676418")</f>
        <v>https://pbs.twimg.com/profile_banners/191414048/1603676418</v>
      </c>
      <c r="AQ118" s="80" t="b">
        <v>0</v>
      </c>
      <c r="AR118" s="80" t="b">
        <v>0</v>
      </c>
      <c r="AS118" s="80" t="b">
        <v>1</v>
      </c>
      <c r="AT118" s="80"/>
      <c r="AU118" s="80">
        <v>0</v>
      </c>
      <c r="AV118" s="86" t="str">
        <f>HYPERLINK("https://abs.twimg.com/images/themes/theme15/bg.png")</f>
        <v>https://abs.twimg.com/images/themes/theme15/bg.png</v>
      </c>
      <c r="AW118" s="80" t="b">
        <v>0</v>
      </c>
      <c r="AX118" s="80" t="s">
        <v>2141</v>
      </c>
      <c r="AY118" s="86" t="str">
        <f>HYPERLINK("https://twitter.com/walmerigaming")</f>
        <v>https://twitter.com/walmerigaming</v>
      </c>
      <c r="AZ118" s="80" t="s">
        <v>66</v>
      </c>
      <c r="BA118" s="80" t="str">
        <f>REPLACE(INDEX(GroupVertices[Group],MATCH(Vertices[[#This Row],[Vertex]],GroupVertices[Vertex],0)),1,1,"")</f>
        <v>1</v>
      </c>
      <c r="BB118" s="49">
        <v>0</v>
      </c>
      <c r="BC118" s="50">
        <v>0</v>
      </c>
      <c r="BD118" s="49">
        <v>0</v>
      </c>
      <c r="BE118" s="50">
        <v>0</v>
      </c>
      <c r="BF118" s="49">
        <v>0</v>
      </c>
      <c r="BG118" s="50">
        <v>0</v>
      </c>
      <c r="BH118" s="49">
        <v>33</v>
      </c>
      <c r="BI118" s="50">
        <v>100</v>
      </c>
      <c r="BJ118" s="49">
        <v>33</v>
      </c>
      <c r="BK118" s="49" t="s">
        <v>3990</v>
      </c>
      <c r="BL118" s="49" t="s">
        <v>3990</v>
      </c>
      <c r="BM118" s="49" t="s">
        <v>582</v>
      </c>
      <c r="BN118" s="49" t="s">
        <v>582</v>
      </c>
      <c r="BO118" s="49"/>
      <c r="BP118" s="49"/>
      <c r="BQ118" s="116" t="s">
        <v>4267</v>
      </c>
      <c r="BR118" s="116" t="s">
        <v>4267</v>
      </c>
      <c r="BS118" s="116" t="s">
        <v>4346</v>
      </c>
      <c r="BT118" s="116" t="s">
        <v>4346</v>
      </c>
      <c r="BU118" s="2"/>
      <c r="BV118" s="3"/>
      <c r="BW118" s="3"/>
      <c r="BX118" s="3"/>
      <c r="BY118" s="3"/>
    </row>
    <row r="119" spans="1:77" ht="15">
      <c r="A119" s="65" t="s">
        <v>327</v>
      </c>
      <c r="B119" s="66"/>
      <c r="C119" s="66" t="s">
        <v>64</v>
      </c>
      <c r="D119" s="67"/>
      <c r="E119" s="69"/>
      <c r="F119" s="104" t="str">
        <f>HYPERLINK("https://pbs.twimg.com/profile_images/1449816560592424961/pT47s1J7_normal.jpg")</f>
        <v>https://pbs.twimg.com/profile_images/1449816560592424961/pT47s1J7_normal.jpg</v>
      </c>
      <c r="G119" s="66"/>
      <c r="H119" s="70" t="s">
        <v>327</v>
      </c>
      <c r="I119" s="71" t="s">
        <v>4393</v>
      </c>
      <c r="J119" s="71" t="s">
        <v>73</v>
      </c>
      <c r="K119" s="70" t="s">
        <v>2257</v>
      </c>
      <c r="L119" s="74">
        <v>1</v>
      </c>
      <c r="M119" s="75">
        <v>4855.224609375</v>
      </c>
      <c r="N119" s="75">
        <v>4094.332275390625</v>
      </c>
      <c r="O119" s="76"/>
      <c r="P119" s="77"/>
      <c r="Q119" s="77"/>
      <c r="R119" s="90"/>
      <c r="S119" s="49">
        <v>0</v>
      </c>
      <c r="T119" s="49">
        <v>1</v>
      </c>
      <c r="U119" s="50">
        <v>0</v>
      </c>
      <c r="V119" s="50">
        <v>0.239313</v>
      </c>
      <c r="W119" s="50">
        <v>0.067769</v>
      </c>
      <c r="X119" s="50">
        <v>0.003151</v>
      </c>
      <c r="Y119" s="50">
        <v>0</v>
      </c>
      <c r="Z119" s="50">
        <v>0</v>
      </c>
      <c r="AA119" s="72">
        <v>119</v>
      </c>
      <c r="AB119" s="72"/>
      <c r="AC119" s="73"/>
      <c r="AD119" s="80" t="s">
        <v>1350</v>
      </c>
      <c r="AE119" s="89" t="s">
        <v>1615</v>
      </c>
      <c r="AF119" s="80">
        <v>1740</v>
      </c>
      <c r="AG119" s="80">
        <v>775</v>
      </c>
      <c r="AH119" s="80">
        <v>16398</v>
      </c>
      <c r="AI119" s="80">
        <v>25924</v>
      </c>
      <c r="AJ119" s="80"/>
      <c r="AK119" s="80" t="s">
        <v>1876</v>
      </c>
      <c r="AL119" s="80" t="s">
        <v>2086</v>
      </c>
      <c r="AM119" s="80"/>
      <c r="AN119" s="80"/>
      <c r="AO119" s="82">
        <v>42206.82350694444</v>
      </c>
      <c r="AP119" s="86" t="str">
        <f>HYPERLINK("https://pbs.twimg.com/profile_banners/3386269307/1623674661")</f>
        <v>https://pbs.twimg.com/profile_banners/3386269307/1623674661</v>
      </c>
      <c r="AQ119" s="80" t="b">
        <v>0</v>
      </c>
      <c r="AR119" s="80" t="b">
        <v>0</v>
      </c>
      <c r="AS119" s="80" t="b">
        <v>0</v>
      </c>
      <c r="AT119" s="80"/>
      <c r="AU119" s="80">
        <v>22</v>
      </c>
      <c r="AV119" s="86" t="str">
        <f>HYPERLINK("https://abs.twimg.com/images/themes/theme1/bg.png")</f>
        <v>https://abs.twimg.com/images/themes/theme1/bg.png</v>
      </c>
      <c r="AW119" s="80" t="b">
        <v>0</v>
      </c>
      <c r="AX119" s="80" t="s">
        <v>2141</v>
      </c>
      <c r="AY119" s="86" t="str">
        <f>HYPERLINK("https://twitter.com/salmusami")</f>
        <v>https://twitter.com/salmusami</v>
      </c>
      <c r="AZ119" s="80" t="s">
        <v>66</v>
      </c>
      <c r="BA119" s="80" t="str">
        <f>REPLACE(INDEX(GroupVertices[Group],MATCH(Vertices[[#This Row],[Vertex]],GroupVertices[Vertex],0)),1,1,"")</f>
        <v>1</v>
      </c>
      <c r="BB119" s="49">
        <v>0</v>
      </c>
      <c r="BC119" s="50">
        <v>0</v>
      </c>
      <c r="BD119" s="49">
        <v>0</v>
      </c>
      <c r="BE119" s="50">
        <v>0</v>
      </c>
      <c r="BF119" s="49">
        <v>0</v>
      </c>
      <c r="BG119" s="50">
        <v>0</v>
      </c>
      <c r="BH119" s="49">
        <v>33</v>
      </c>
      <c r="BI119" s="50">
        <v>100</v>
      </c>
      <c r="BJ119" s="49">
        <v>33</v>
      </c>
      <c r="BK119" s="49" t="s">
        <v>3990</v>
      </c>
      <c r="BL119" s="49" t="s">
        <v>3990</v>
      </c>
      <c r="BM119" s="49" t="s">
        <v>582</v>
      </c>
      <c r="BN119" s="49" t="s">
        <v>582</v>
      </c>
      <c r="BO119" s="49"/>
      <c r="BP119" s="49"/>
      <c r="BQ119" s="116" t="s">
        <v>4267</v>
      </c>
      <c r="BR119" s="116" t="s">
        <v>4267</v>
      </c>
      <c r="BS119" s="116" t="s">
        <v>4346</v>
      </c>
      <c r="BT119" s="116" t="s">
        <v>4346</v>
      </c>
      <c r="BU119" s="2"/>
      <c r="BV119" s="3"/>
      <c r="BW119" s="3"/>
      <c r="BX119" s="3"/>
      <c r="BY119" s="3"/>
    </row>
    <row r="120" spans="1:77" ht="15">
      <c r="A120" s="65" t="s">
        <v>328</v>
      </c>
      <c r="B120" s="66"/>
      <c r="C120" s="66" t="s">
        <v>64</v>
      </c>
      <c r="D120" s="67"/>
      <c r="E120" s="69"/>
      <c r="F120" s="104" t="str">
        <f>HYPERLINK("https://pbs.twimg.com/profile_images/1288772943045173249/IVB1O7-x_normal.jpg")</f>
        <v>https://pbs.twimg.com/profile_images/1288772943045173249/IVB1O7-x_normal.jpg</v>
      </c>
      <c r="G120" s="66"/>
      <c r="H120" s="70" t="s">
        <v>328</v>
      </c>
      <c r="I120" s="71" t="s">
        <v>4393</v>
      </c>
      <c r="J120" s="71" t="s">
        <v>73</v>
      </c>
      <c r="K120" s="70" t="s">
        <v>2258</v>
      </c>
      <c r="L120" s="74">
        <v>1</v>
      </c>
      <c r="M120" s="75">
        <v>1981.1839599609375</v>
      </c>
      <c r="N120" s="75">
        <v>7167.3203125</v>
      </c>
      <c r="O120" s="76"/>
      <c r="P120" s="77"/>
      <c r="Q120" s="77"/>
      <c r="R120" s="90"/>
      <c r="S120" s="49">
        <v>0</v>
      </c>
      <c r="T120" s="49">
        <v>1</v>
      </c>
      <c r="U120" s="50">
        <v>0</v>
      </c>
      <c r="V120" s="50">
        <v>0.239313</v>
      </c>
      <c r="W120" s="50">
        <v>0.067769</v>
      </c>
      <c r="X120" s="50">
        <v>0.003151</v>
      </c>
      <c r="Y120" s="50">
        <v>0</v>
      </c>
      <c r="Z120" s="50">
        <v>0</v>
      </c>
      <c r="AA120" s="72">
        <v>120</v>
      </c>
      <c r="AB120" s="72"/>
      <c r="AC120" s="73"/>
      <c r="AD120" s="80" t="s">
        <v>1351</v>
      </c>
      <c r="AE120" s="89" t="s">
        <v>1616</v>
      </c>
      <c r="AF120" s="80">
        <v>16664</v>
      </c>
      <c r="AG120" s="80">
        <v>18485</v>
      </c>
      <c r="AH120" s="80">
        <v>96417</v>
      </c>
      <c r="AI120" s="80">
        <v>205314</v>
      </c>
      <c r="AJ120" s="80"/>
      <c r="AK120" s="80" t="s">
        <v>1877</v>
      </c>
      <c r="AL120" s="80" t="s">
        <v>1201</v>
      </c>
      <c r="AM120" s="86" t="str">
        <f>HYPERLINK("https://t.co/P0DseilGnm")</f>
        <v>https://t.co/P0DseilGnm</v>
      </c>
      <c r="AN120" s="80"/>
      <c r="AO120" s="82">
        <v>39539.31607638889</v>
      </c>
      <c r="AP120" s="86" t="str">
        <f>HYPERLINK("https://pbs.twimg.com/profile_banners/14273044/1611902088")</f>
        <v>https://pbs.twimg.com/profile_banners/14273044/1611902088</v>
      </c>
      <c r="AQ120" s="80" t="b">
        <v>0</v>
      </c>
      <c r="AR120" s="80" t="b">
        <v>0</v>
      </c>
      <c r="AS120" s="80" t="b">
        <v>1</v>
      </c>
      <c r="AT120" s="80"/>
      <c r="AU120" s="80">
        <v>379</v>
      </c>
      <c r="AV120" s="86" t="str">
        <f>HYPERLINK("https://abs.twimg.com/images/themes/theme8/bg.gif")</f>
        <v>https://abs.twimg.com/images/themes/theme8/bg.gif</v>
      </c>
      <c r="AW120" s="80" t="b">
        <v>0</v>
      </c>
      <c r="AX120" s="80" t="s">
        <v>2141</v>
      </c>
      <c r="AY120" s="86" t="str">
        <f>HYPERLINK("https://twitter.com/markosuomi")</f>
        <v>https://twitter.com/markosuomi</v>
      </c>
      <c r="AZ120" s="80" t="s">
        <v>66</v>
      </c>
      <c r="BA120" s="80" t="str">
        <f>REPLACE(INDEX(GroupVertices[Group],MATCH(Vertices[[#This Row],[Vertex]],GroupVertices[Vertex],0)),1,1,"")</f>
        <v>1</v>
      </c>
      <c r="BB120" s="49">
        <v>0</v>
      </c>
      <c r="BC120" s="50">
        <v>0</v>
      </c>
      <c r="BD120" s="49">
        <v>0</v>
      </c>
      <c r="BE120" s="50">
        <v>0</v>
      </c>
      <c r="BF120" s="49">
        <v>0</v>
      </c>
      <c r="BG120" s="50">
        <v>0</v>
      </c>
      <c r="BH120" s="49">
        <v>33</v>
      </c>
      <c r="BI120" s="50">
        <v>100</v>
      </c>
      <c r="BJ120" s="49">
        <v>33</v>
      </c>
      <c r="BK120" s="49" t="s">
        <v>3990</v>
      </c>
      <c r="BL120" s="49" t="s">
        <v>3990</v>
      </c>
      <c r="BM120" s="49" t="s">
        <v>582</v>
      </c>
      <c r="BN120" s="49" t="s">
        <v>582</v>
      </c>
      <c r="BO120" s="49"/>
      <c r="BP120" s="49"/>
      <c r="BQ120" s="116" t="s">
        <v>4267</v>
      </c>
      <c r="BR120" s="116" t="s">
        <v>4267</v>
      </c>
      <c r="BS120" s="116" t="s">
        <v>4346</v>
      </c>
      <c r="BT120" s="116" t="s">
        <v>4346</v>
      </c>
      <c r="BU120" s="2"/>
      <c r="BV120" s="3"/>
      <c r="BW120" s="3"/>
      <c r="BX120" s="3"/>
      <c r="BY120" s="3"/>
    </row>
    <row r="121" spans="1:77" ht="15">
      <c r="A121" s="65" t="s">
        <v>329</v>
      </c>
      <c r="B121" s="66"/>
      <c r="C121" s="66" t="s">
        <v>64</v>
      </c>
      <c r="D121" s="67"/>
      <c r="E121" s="69"/>
      <c r="F121" s="104" t="str">
        <f>HYPERLINK("https://pbs.twimg.com/profile_images/1408147253940916225/MciR2uR7_normal.jpg")</f>
        <v>https://pbs.twimg.com/profile_images/1408147253940916225/MciR2uR7_normal.jpg</v>
      </c>
      <c r="G121" s="66"/>
      <c r="H121" s="70" t="s">
        <v>329</v>
      </c>
      <c r="I121" s="71" t="s">
        <v>4393</v>
      </c>
      <c r="J121" s="71" t="s">
        <v>73</v>
      </c>
      <c r="K121" s="70" t="s">
        <v>2259</v>
      </c>
      <c r="L121" s="74">
        <v>1</v>
      </c>
      <c r="M121" s="75">
        <v>6943.6923828125</v>
      </c>
      <c r="N121" s="75">
        <v>6143.203125</v>
      </c>
      <c r="O121" s="76"/>
      <c r="P121" s="77"/>
      <c r="Q121" s="77"/>
      <c r="R121" s="90"/>
      <c r="S121" s="49">
        <v>0</v>
      </c>
      <c r="T121" s="49">
        <v>1</v>
      </c>
      <c r="U121" s="50">
        <v>0</v>
      </c>
      <c r="V121" s="50">
        <v>0.239313</v>
      </c>
      <c r="W121" s="50">
        <v>0.067769</v>
      </c>
      <c r="X121" s="50">
        <v>0.003151</v>
      </c>
      <c r="Y121" s="50">
        <v>0</v>
      </c>
      <c r="Z121" s="50">
        <v>0</v>
      </c>
      <c r="AA121" s="72">
        <v>121</v>
      </c>
      <c r="AB121" s="72"/>
      <c r="AC121" s="73"/>
      <c r="AD121" s="80" t="s">
        <v>1352</v>
      </c>
      <c r="AE121" s="89" t="s">
        <v>1617</v>
      </c>
      <c r="AF121" s="80">
        <v>833</v>
      </c>
      <c r="AG121" s="80">
        <v>175</v>
      </c>
      <c r="AH121" s="80">
        <v>540</v>
      </c>
      <c r="AI121" s="80">
        <v>15305</v>
      </c>
      <c r="AJ121" s="80"/>
      <c r="AK121" s="80" t="s">
        <v>1878</v>
      </c>
      <c r="AL121" s="80"/>
      <c r="AM121" s="80"/>
      <c r="AN121" s="80"/>
      <c r="AO121" s="82">
        <v>41617.348761574074</v>
      </c>
      <c r="AP121" s="80"/>
      <c r="AQ121" s="80" t="b">
        <v>0</v>
      </c>
      <c r="AR121" s="80" t="b">
        <v>0</v>
      </c>
      <c r="AS121" s="80" t="b">
        <v>0</v>
      </c>
      <c r="AT121" s="80"/>
      <c r="AU121" s="80">
        <v>1</v>
      </c>
      <c r="AV121" s="86" t="str">
        <f>HYPERLINK("https://abs.twimg.com/images/themes/theme1/bg.png")</f>
        <v>https://abs.twimg.com/images/themes/theme1/bg.png</v>
      </c>
      <c r="AW121" s="80" t="b">
        <v>0</v>
      </c>
      <c r="AX121" s="80" t="s">
        <v>2141</v>
      </c>
      <c r="AY121" s="86" t="str">
        <f>HYPERLINK("https://twitter.com/makaliok")</f>
        <v>https://twitter.com/makaliok</v>
      </c>
      <c r="AZ121" s="80" t="s">
        <v>66</v>
      </c>
      <c r="BA121" s="80" t="str">
        <f>REPLACE(INDEX(GroupVertices[Group],MATCH(Vertices[[#This Row],[Vertex]],GroupVertices[Vertex],0)),1,1,"")</f>
        <v>1</v>
      </c>
      <c r="BB121" s="49">
        <v>0</v>
      </c>
      <c r="BC121" s="50">
        <v>0</v>
      </c>
      <c r="BD121" s="49">
        <v>0</v>
      </c>
      <c r="BE121" s="50">
        <v>0</v>
      </c>
      <c r="BF121" s="49">
        <v>0</v>
      </c>
      <c r="BG121" s="50">
        <v>0</v>
      </c>
      <c r="BH121" s="49">
        <v>33</v>
      </c>
      <c r="BI121" s="50">
        <v>100</v>
      </c>
      <c r="BJ121" s="49">
        <v>33</v>
      </c>
      <c r="BK121" s="49" t="s">
        <v>3990</v>
      </c>
      <c r="BL121" s="49" t="s">
        <v>3990</v>
      </c>
      <c r="BM121" s="49" t="s">
        <v>582</v>
      </c>
      <c r="BN121" s="49" t="s">
        <v>582</v>
      </c>
      <c r="BO121" s="49"/>
      <c r="BP121" s="49"/>
      <c r="BQ121" s="116" t="s">
        <v>4267</v>
      </c>
      <c r="BR121" s="116" t="s">
        <v>4267</v>
      </c>
      <c r="BS121" s="116" t="s">
        <v>4346</v>
      </c>
      <c r="BT121" s="116" t="s">
        <v>4346</v>
      </c>
      <c r="BU121" s="2"/>
      <c r="BV121" s="3"/>
      <c r="BW121" s="3"/>
      <c r="BX121" s="3"/>
      <c r="BY121" s="3"/>
    </row>
    <row r="122" spans="1:77" ht="15">
      <c r="A122" s="65" t="s">
        <v>330</v>
      </c>
      <c r="B122" s="66"/>
      <c r="C122" s="66" t="s">
        <v>64</v>
      </c>
      <c r="D122" s="67"/>
      <c r="E122" s="69"/>
      <c r="F122" s="104" t="str">
        <f>HYPERLINK("https://pbs.twimg.com/profile_images/1505157450332266497/dwvNgS4M_normal.jpg")</f>
        <v>https://pbs.twimg.com/profile_images/1505157450332266497/dwvNgS4M_normal.jpg</v>
      </c>
      <c r="G122" s="66"/>
      <c r="H122" s="70" t="s">
        <v>330</v>
      </c>
      <c r="I122" s="71" t="s">
        <v>4393</v>
      </c>
      <c r="J122" s="71" t="s">
        <v>73</v>
      </c>
      <c r="K122" s="70" t="s">
        <v>2260</v>
      </c>
      <c r="L122" s="74">
        <v>1</v>
      </c>
      <c r="M122" s="75">
        <v>3935.154541015625</v>
      </c>
      <c r="N122" s="75">
        <v>5431.875</v>
      </c>
      <c r="O122" s="76"/>
      <c r="P122" s="77"/>
      <c r="Q122" s="77"/>
      <c r="R122" s="90"/>
      <c r="S122" s="49">
        <v>0</v>
      </c>
      <c r="T122" s="49">
        <v>1</v>
      </c>
      <c r="U122" s="50">
        <v>0</v>
      </c>
      <c r="V122" s="50">
        <v>0.239313</v>
      </c>
      <c r="W122" s="50">
        <v>0.067769</v>
      </c>
      <c r="X122" s="50">
        <v>0.003151</v>
      </c>
      <c r="Y122" s="50">
        <v>0</v>
      </c>
      <c r="Z122" s="50">
        <v>0</v>
      </c>
      <c r="AA122" s="72">
        <v>122</v>
      </c>
      <c r="AB122" s="72"/>
      <c r="AC122" s="73"/>
      <c r="AD122" s="80" t="s">
        <v>1353</v>
      </c>
      <c r="AE122" s="89" t="s">
        <v>1618</v>
      </c>
      <c r="AF122" s="80">
        <v>688</v>
      </c>
      <c r="AG122" s="80">
        <v>431</v>
      </c>
      <c r="AH122" s="80">
        <v>607</v>
      </c>
      <c r="AI122" s="80">
        <v>7349</v>
      </c>
      <c r="AJ122" s="80"/>
      <c r="AK122" s="80" t="s">
        <v>1879</v>
      </c>
      <c r="AL122" s="80" t="s">
        <v>2087</v>
      </c>
      <c r="AM122" s="86" t="str">
        <f>HYPERLINK("https://t.co/6ezlCdhLxa")</f>
        <v>https://t.co/6ezlCdhLxa</v>
      </c>
      <c r="AN122" s="80"/>
      <c r="AO122" s="82">
        <v>42177.404814814814</v>
      </c>
      <c r="AP122" s="86" t="str">
        <f>HYPERLINK("https://pbs.twimg.com/profile_banners/3340893363/1552305583")</f>
        <v>https://pbs.twimg.com/profile_banners/3340893363/1552305583</v>
      </c>
      <c r="AQ122" s="80" t="b">
        <v>0</v>
      </c>
      <c r="AR122" s="80" t="b">
        <v>0</v>
      </c>
      <c r="AS122" s="80" t="b">
        <v>1</v>
      </c>
      <c r="AT122" s="80"/>
      <c r="AU122" s="80">
        <v>10</v>
      </c>
      <c r="AV122" s="86" t="str">
        <f>HYPERLINK("https://abs.twimg.com/images/themes/theme1/bg.png")</f>
        <v>https://abs.twimg.com/images/themes/theme1/bg.png</v>
      </c>
      <c r="AW122" s="80" t="b">
        <v>0</v>
      </c>
      <c r="AX122" s="80" t="s">
        <v>2141</v>
      </c>
      <c r="AY122" s="86" t="str">
        <f>HYPERLINK("https://twitter.com/jarnaerika")</f>
        <v>https://twitter.com/jarnaerika</v>
      </c>
      <c r="AZ122" s="80" t="s">
        <v>66</v>
      </c>
      <c r="BA122" s="80" t="str">
        <f>REPLACE(INDEX(GroupVertices[Group],MATCH(Vertices[[#This Row],[Vertex]],GroupVertices[Vertex],0)),1,1,"")</f>
        <v>1</v>
      </c>
      <c r="BB122" s="49">
        <v>0</v>
      </c>
      <c r="BC122" s="50">
        <v>0</v>
      </c>
      <c r="BD122" s="49">
        <v>0</v>
      </c>
      <c r="BE122" s="50">
        <v>0</v>
      </c>
      <c r="BF122" s="49">
        <v>0</v>
      </c>
      <c r="BG122" s="50">
        <v>0</v>
      </c>
      <c r="BH122" s="49">
        <v>33</v>
      </c>
      <c r="BI122" s="50">
        <v>100</v>
      </c>
      <c r="BJ122" s="49">
        <v>33</v>
      </c>
      <c r="BK122" s="49" t="s">
        <v>3990</v>
      </c>
      <c r="BL122" s="49" t="s">
        <v>3990</v>
      </c>
      <c r="BM122" s="49" t="s">
        <v>582</v>
      </c>
      <c r="BN122" s="49" t="s">
        <v>582</v>
      </c>
      <c r="BO122" s="49"/>
      <c r="BP122" s="49"/>
      <c r="BQ122" s="116" t="s">
        <v>4267</v>
      </c>
      <c r="BR122" s="116" t="s">
        <v>4267</v>
      </c>
      <c r="BS122" s="116" t="s">
        <v>4346</v>
      </c>
      <c r="BT122" s="116" t="s">
        <v>4346</v>
      </c>
      <c r="BU122" s="2"/>
      <c r="BV122" s="3"/>
      <c r="BW122" s="3"/>
      <c r="BX122" s="3"/>
      <c r="BY122" s="3"/>
    </row>
    <row r="123" spans="1:77" ht="15">
      <c r="A123" s="65" t="s">
        <v>331</v>
      </c>
      <c r="B123" s="66"/>
      <c r="C123" s="66" t="s">
        <v>64</v>
      </c>
      <c r="D123" s="67">
        <v>10</v>
      </c>
      <c r="E123" s="69"/>
      <c r="F123" s="104" t="str">
        <f>HYPERLINK("https://pbs.twimg.com/profile_images/1504717554413101077/QanGRUQ-_normal.jpg")</f>
        <v>https://pbs.twimg.com/profile_images/1504717554413101077/QanGRUQ-_normal.jpg</v>
      </c>
      <c r="G123" s="66"/>
      <c r="H123" s="70" t="s">
        <v>331</v>
      </c>
      <c r="I123" s="71" t="s">
        <v>4398</v>
      </c>
      <c r="J123" s="71" t="s">
        <v>73</v>
      </c>
      <c r="K123" s="70" t="s">
        <v>2261</v>
      </c>
      <c r="L123" s="74">
        <v>99.01960784313725</v>
      </c>
      <c r="M123" s="75"/>
      <c r="N123" s="75"/>
      <c r="O123" s="76"/>
      <c r="P123" s="77"/>
      <c r="Q123" s="77"/>
      <c r="R123" s="90"/>
      <c r="S123" s="49">
        <v>1</v>
      </c>
      <c r="T123" s="49">
        <v>1</v>
      </c>
      <c r="U123" s="50">
        <v>0</v>
      </c>
      <c r="V123" s="50">
        <v>0</v>
      </c>
      <c r="W123" s="50">
        <v>0</v>
      </c>
      <c r="X123" s="50">
        <v>0.003623</v>
      </c>
      <c r="Y123" s="50">
        <v>0</v>
      </c>
      <c r="Z123" s="50">
        <v>0</v>
      </c>
      <c r="AA123" s="72">
        <v>123</v>
      </c>
      <c r="AB123" s="72"/>
      <c r="AC123" s="73"/>
      <c r="AD123" s="80" t="s">
        <v>1354</v>
      </c>
      <c r="AE123" s="89" t="s">
        <v>1619</v>
      </c>
      <c r="AF123" s="80">
        <v>1140</v>
      </c>
      <c r="AG123" s="80">
        <v>1248</v>
      </c>
      <c r="AH123" s="80">
        <v>11601</v>
      </c>
      <c r="AI123" s="80">
        <v>46341</v>
      </c>
      <c r="AJ123" s="80"/>
      <c r="AK123" s="80" t="s">
        <v>1880</v>
      </c>
      <c r="AL123" s="80"/>
      <c r="AM123" s="80"/>
      <c r="AN123" s="80"/>
      <c r="AO123" s="82">
        <v>43634.65346064815</v>
      </c>
      <c r="AP123" s="86" t="str">
        <f>HYPERLINK("https://pbs.twimg.com/profile_banners/1141007911780573186/1647587596")</f>
        <v>https://pbs.twimg.com/profile_banners/1141007911780573186/1647587596</v>
      </c>
      <c r="AQ123" s="80" t="b">
        <v>1</v>
      </c>
      <c r="AR123" s="80" t="b">
        <v>0</v>
      </c>
      <c r="AS123" s="80" t="b">
        <v>1</v>
      </c>
      <c r="AT123" s="80"/>
      <c r="AU123" s="80">
        <v>2</v>
      </c>
      <c r="AV123" s="80"/>
      <c r="AW123" s="80" t="b">
        <v>0</v>
      </c>
      <c r="AX123" s="80" t="s">
        <v>2141</v>
      </c>
      <c r="AY123" s="86" t="str">
        <f>HYPERLINK("https://twitter.com/johannahellste2")</f>
        <v>https://twitter.com/johannahellste2</v>
      </c>
      <c r="AZ123" s="80" t="s">
        <v>66</v>
      </c>
      <c r="BA123" s="80" t="str">
        <f>REPLACE(INDEX(GroupVertices[Group],MATCH(Vertices[[#This Row],[Vertex]],GroupVertices[Vertex],0)),1,1,"")</f>
        <v>3</v>
      </c>
      <c r="BB123" s="49">
        <v>0</v>
      </c>
      <c r="BC123" s="50">
        <v>0</v>
      </c>
      <c r="BD123" s="49">
        <v>0</v>
      </c>
      <c r="BE123" s="50">
        <v>0</v>
      </c>
      <c r="BF123" s="49">
        <v>0</v>
      </c>
      <c r="BG123" s="50">
        <v>0</v>
      </c>
      <c r="BH123" s="49">
        <v>14</v>
      </c>
      <c r="BI123" s="50">
        <v>100</v>
      </c>
      <c r="BJ123" s="49">
        <v>14</v>
      </c>
      <c r="BK123" s="49" t="s">
        <v>3998</v>
      </c>
      <c r="BL123" s="49" t="s">
        <v>3998</v>
      </c>
      <c r="BM123" s="49" t="s">
        <v>580</v>
      </c>
      <c r="BN123" s="49" t="s">
        <v>580</v>
      </c>
      <c r="BO123" s="49" t="s">
        <v>594</v>
      </c>
      <c r="BP123" s="49" t="s">
        <v>594</v>
      </c>
      <c r="BQ123" s="116" t="s">
        <v>4271</v>
      </c>
      <c r="BR123" s="116" t="s">
        <v>4271</v>
      </c>
      <c r="BS123" s="116" t="s">
        <v>4349</v>
      </c>
      <c r="BT123" s="116" t="s">
        <v>4349</v>
      </c>
      <c r="BU123" s="2"/>
      <c r="BV123" s="3"/>
      <c r="BW123" s="3"/>
      <c r="BX123" s="3"/>
      <c r="BY123" s="3"/>
    </row>
    <row r="124" spans="1:77" ht="15">
      <c r="A124" s="65" t="s">
        <v>332</v>
      </c>
      <c r="B124" s="66"/>
      <c r="C124" s="66" t="s">
        <v>64</v>
      </c>
      <c r="D124" s="67"/>
      <c r="E124" s="69"/>
      <c r="F124" s="104" t="str">
        <f>HYPERLINK("https://pbs.twimg.com/profile_images/378800000698478296/27138dc011933ad9370a9f55e90e1840_normal.jpeg")</f>
        <v>https://pbs.twimg.com/profile_images/378800000698478296/27138dc011933ad9370a9f55e90e1840_normal.jpeg</v>
      </c>
      <c r="G124" s="66"/>
      <c r="H124" s="70" t="s">
        <v>332</v>
      </c>
      <c r="I124" s="71" t="s">
        <v>4399</v>
      </c>
      <c r="J124" s="71" t="s">
        <v>73</v>
      </c>
      <c r="K124" s="70" t="s">
        <v>2262</v>
      </c>
      <c r="L124" s="74">
        <v>1</v>
      </c>
      <c r="M124" s="75">
        <v>1985.6502685546875</v>
      </c>
      <c r="N124" s="75">
        <v>2059.87744140625</v>
      </c>
      <c r="O124" s="76"/>
      <c r="P124" s="77"/>
      <c r="Q124" s="77"/>
      <c r="R124" s="90"/>
      <c r="S124" s="49">
        <v>0</v>
      </c>
      <c r="T124" s="49">
        <v>1</v>
      </c>
      <c r="U124" s="50">
        <v>0</v>
      </c>
      <c r="V124" s="50">
        <v>0.199193</v>
      </c>
      <c r="W124" s="50">
        <v>0.006144</v>
      </c>
      <c r="X124" s="50">
        <v>0.003155</v>
      </c>
      <c r="Y124" s="50">
        <v>0</v>
      </c>
      <c r="Z124" s="50">
        <v>0</v>
      </c>
      <c r="AA124" s="72">
        <v>124</v>
      </c>
      <c r="AB124" s="72"/>
      <c r="AC124" s="73"/>
      <c r="AD124" s="80" t="s">
        <v>1355</v>
      </c>
      <c r="AE124" s="89" t="s">
        <v>1620</v>
      </c>
      <c r="AF124" s="80">
        <v>42</v>
      </c>
      <c r="AG124" s="80">
        <v>2</v>
      </c>
      <c r="AH124" s="80">
        <v>28</v>
      </c>
      <c r="AI124" s="80">
        <v>303</v>
      </c>
      <c r="AJ124" s="80"/>
      <c r="AK124" s="80"/>
      <c r="AL124" s="80" t="s">
        <v>2088</v>
      </c>
      <c r="AM124" s="80"/>
      <c r="AN124" s="80"/>
      <c r="AO124" s="82">
        <v>41583.604317129626</v>
      </c>
      <c r="AP124" s="86" t="str">
        <f>HYPERLINK("https://pbs.twimg.com/profile_banners/2169468448/1383662496")</f>
        <v>https://pbs.twimg.com/profile_banners/2169468448/1383662496</v>
      </c>
      <c r="AQ124" s="80" t="b">
        <v>1</v>
      </c>
      <c r="AR124" s="80" t="b">
        <v>0</v>
      </c>
      <c r="AS124" s="80" t="b">
        <v>0</v>
      </c>
      <c r="AT124" s="80"/>
      <c r="AU124" s="80">
        <v>0</v>
      </c>
      <c r="AV124" s="86" t="str">
        <f>HYPERLINK("https://abs.twimg.com/images/themes/theme1/bg.png")</f>
        <v>https://abs.twimg.com/images/themes/theme1/bg.png</v>
      </c>
      <c r="AW124" s="80" t="b">
        <v>0</v>
      </c>
      <c r="AX124" s="80" t="s">
        <v>2141</v>
      </c>
      <c r="AY124" s="86" t="str">
        <f>HYPERLINK("https://twitter.com/tiinanev")</f>
        <v>https://twitter.com/tiinanev</v>
      </c>
      <c r="AZ124" s="80" t="s">
        <v>66</v>
      </c>
      <c r="BA124" s="80" t="str">
        <f>REPLACE(INDEX(GroupVertices[Group],MATCH(Vertices[[#This Row],[Vertex]],GroupVertices[Vertex],0)),1,1,"")</f>
        <v>2</v>
      </c>
      <c r="BB124" s="49">
        <v>0</v>
      </c>
      <c r="BC124" s="50">
        <v>0</v>
      </c>
      <c r="BD124" s="49">
        <v>0</v>
      </c>
      <c r="BE124" s="50">
        <v>0</v>
      </c>
      <c r="BF124" s="49">
        <v>0</v>
      </c>
      <c r="BG124" s="50">
        <v>0</v>
      </c>
      <c r="BH124" s="49">
        <v>6</v>
      </c>
      <c r="BI124" s="50">
        <v>100</v>
      </c>
      <c r="BJ124" s="49">
        <v>6</v>
      </c>
      <c r="BK124" s="49"/>
      <c r="BL124" s="49"/>
      <c r="BM124" s="49"/>
      <c r="BN124" s="49"/>
      <c r="BO124" s="49"/>
      <c r="BP124" s="49"/>
      <c r="BQ124" s="116" t="s">
        <v>4241</v>
      </c>
      <c r="BR124" s="116" t="s">
        <v>4241</v>
      </c>
      <c r="BS124" s="116" t="s">
        <v>4322</v>
      </c>
      <c r="BT124" s="116" t="s">
        <v>4322</v>
      </c>
      <c r="BU124" s="2"/>
      <c r="BV124" s="3"/>
      <c r="BW124" s="3"/>
      <c r="BX124" s="3"/>
      <c r="BY124" s="3"/>
    </row>
    <row r="125" spans="1:77" ht="15">
      <c r="A125" s="65" t="s">
        <v>333</v>
      </c>
      <c r="B125" s="66"/>
      <c r="C125" s="66" t="s">
        <v>64</v>
      </c>
      <c r="D125" s="67"/>
      <c r="E125" s="69"/>
      <c r="F125" s="104" t="str">
        <f>HYPERLINK("https://pbs.twimg.com/profile_images/1474689887894966273/yB2wWP7U_normal.jpg")</f>
        <v>https://pbs.twimg.com/profile_images/1474689887894966273/yB2wWP7U_normal.jpg</v>
      </c>
      <c r="G125" s="66"/>
      <c r="H125" s="70" t="s">
        <v>333</v>
      </c>
      <c r="I125" s="71" t="s">
        <v>4393</v>
      </c>
      <c r="J125" s="71" t="s">
        <v>73</v>
      </c>
      <c r="K125" s="70" t="s">
        <v>2263</v>
      </c>
      <c r="L125" s="74">
        <v>1</v>
      </c>
      <c r="M125" s="75">
        <v>6152.53466796875</v>
      </c>
      <c r="N125" s="75">
        <v>4598.8173828125</v>
      </c>
      <c r="O125" s="76"/>
      <c r="P125" s="77"/>
      <c r="Q125" s="77"/>
      <c r="R125" s="90"/>
      <c r="S125" s="49">
        <v>0</v>
      </c>
      <c r="T125" s="49">
        <v>1</v>
      </c>
      <c r="U125" s="50">
        <v>0</v>
      </c>
      <c r="V125" s="50">
        <v>0.239313</v>
      </c>
      <c r="W125" s="50">
        <v>0.067769</v>
      </c>
      <c r="X125" s="50">
        <v>0.003151</v>
      </c>
      <c r="Y125" s="50">
        <v>0</v>
      </c>
      <c r="Z125" s="50">
        <v>0</v>
      </c>
      <c r="AA125" s="72">
        <v>125</v>
      </c>
      <c r="AB125" s="72"/>
      <c r="AC125" s="73"/>
      <c r="AD125" s="80" t="s">
        <v>1356</v>
      </c>
      <c r="AE125" s="89" t="s">
        <v>1621</v>
      </c>
      <c r="AF125" s="80">
        <v>950</v>
      </c>
      <c r="AG125" s="80">
        <v>154</v>
      </c>
      <c r="AH125" s="80">
        <v>906</v>
      </c>
      <c r="AI125" s="80">
        <v>15557</v>
      </c>
      <c r="AJ125" s="80"/>
      <c r="AK125" s="80" t="s">
        <v>1881</v>
      </c>
      <c r="AL125" s="80"/>
      <c r="AM125" s="80"/>
      <c r="AN125" s="80"/>
      <c r="AO125" s="82">
        <v>41618.709861111114</v>
      </c>
      <c r="AP125" s="86" t="str">
        <f>HYPERLINK("https://pbs.twimg.com/profile_banners/2239482270/1647023863")</f>
        <v>https://pbs.twimg.com/profile_banners/2239482270/1647023863</v>
      </c>
      <c r="AQ125" s="80" t="b">
        <v>0</v>
      </c>
      <c r="AR125" s="80" t="b">
        <v>0</v>
      </c>
      <c r="AS125" s="80" t="b">
        <v>1</v>
      </c>
      <c r="AT125" s="80"/>
      <c r="AU125" s="80">
        <v>1</v>
      </c>
      <c r="AV125" s="86" t="str">
        <f>HYPERLINK("https://abs.twimg.com/images/themes/theme9/bg.gif")</f>
        <v>https://abs.twimg.com/images/themes/theme9/bg.gif</v>
      </c>
      <c r="AW125" s="80" t="b">
        <v>0</v>
      </c>
      <c r="AX125" s="80" t="s">
        <v>2141</v>
      </c>
      <c r="AY125" s="86" t="str">
        <f>HYPERLINK("https://twitter.com/mitanaitanyon")</f>
        <v>https://twitter.com/mitanaitanyon</v>
      </c>
      <c r="AZ125" s="80" t="s">
        <v>66</v>
      </c>
      <c r="BA125" s="80" t="str">
        <f>REPLACE(INDEX(GroupVertices[Group],MATCH(Vertices[[#This Row],[Vertex]],GroupVertices[Vertex],0)),1,1,"")</f>
        <v>1</v>
      </c>
      <c r="BB125" s="49">
        <v>0</v>
      </c>
      <c r="BC125" s="50">
        <v>0</v>
      </c>
      <c r="BD125" s="49">
        <v>0</v>
      </c>
      <c r="BE125" s="50">
        <v>0</v>
      </c>
      <c r="BF125" s="49">
        <v>0</v>
      </c>
      <c r="BG125" s="50">
        <v>0</v>
      </c>
      <c r="BH125" s="49">
        <v>33</v>
      </c>
      <c r="BI125" s="50">
        <v>100</v>
      </c>
      <c r="BJ125" s="49">
        <v>33</v>
      </c>
      <c r="BK125" s="49" t="s">
        <v>3990</v>
      </c>
      <c r="BL125" s="49" t="s">
        <v>3990</v>
      </c>
      <c r="BM125" s="49" t="s">
        <v>582</v>
      </c>
      <c r="BN125" s="49" t="s">
        <v>582</v>
      </c>
      <c r="BO125" s="49"/>
      <c r="BP125" s="49"/>
      <c r="BQ125" s="116" t="s">
        <v>4267</v>
      </c>
      <c r="BR125" s="116" t="s">
        <v>4267</v>
      </c>
      <c r="BS125" s="116" t="s">
        <v>4346</v>
      </c>
      <c r="BT125" s="116" t="s">
        <v>4346</v>
      </c>
      <c r="BU125" s="2"/>
      <c r="BV125" s="3"/>
      <c r="BW125" s="3"/>
      <c r="BX125" s="3"/>
      <c r="BY125" s="3"/>
    </row>
    <row r="126" spans="1:77" ht="15">
      <c r="A126" s="65" t="s">
        <v>334</v>
      </c>
      <c r="B126" s="66"/>
      <c r="C126" s="66" t="s">
        <v>64</v>
      </c>
      <c r="D126" s="67"/>
      <c r="E126" s="69"/>
      <c r="F126" s="104" t="str">
        <f>HYPERLINK("https://pbs.twimg.com/profile_images/1329710196650876930/-EQiaNUL_normal.jpg")</f>
        <v>https://pbs.twimg.com/profile_images/1329710196650876930/-EQiaNUL_normal.jpg</v>
      </c>
      <c r="G126" s="66"/>
      <c r="H126" s="70" t="s">
        <v>334</v>
      </c>
      <c r="I126" s="71" t="s">
        <v>4399</v>
      </c>
      <c r="J126" s="71" t="s">
        <v>73</v>
      </c>
      <c r="K126" s="70" t="s">
        <v>2264</v>
      </c>
      <c r="L126" s="74">
        <v>1</v>
      </c>
      <c r="M126" s="75">
        <v>2301.666259765625</v>
      </c>
      <c r="N126" s="75">
        <v>1207.542236328125</v>
      </c>
      <c r="O126" s="76"/>
      <c r="P126" s="77"/>
      <c r="Q126" s="77"/>
      <c r="R126" s="90"/>
      <c r="S126" s="49">
        <v>0</v>
      </c>
      <c r="T126" s="49">
        <v>2</v>
      </c>
      <c r="U126" s="50">
        <v>5538.666667</v>
      </c>
      <c r="V126" s="50">
        <v>0.313544</v>
      </c>
      <c r="W126" s="50">
        <v>0.073913</v>
      </c>
      <c r="X126" s="50">
        <v>0.003226</v>
      </c>
      <c r="Y126" s="50">
        <v>0</v>
      </c>
      <c r="Z126" s="50">
        <v>0</v>
      </c>
      <c r="AA126" s="72">
        <v>126</v>
      </c>
      <c r="AB126" s="72"/>
      <c r="AC126" s="73"/>
      <c r="AD126" s="80" t="s">
        <v>1357</v>
      </c>
      <c r="AE126" s="89" t="s">
        <v>1622</v>
      </c>
      <c r="AF126" s="80">
        <v>593</v>
      </c>
      <c r="AG126" s="80">
        <v>245</v>
      </c>
      <c r="AH126" s="80">
        <v>13927</v>
      </c>
      <c r="AI126" s="80">
        <v>52834</v>
      </c>
      <c r="AJ126" s="80"/>
      <c r="AK126" s="80" t="s">
        <v>1882</v>
      </c>
      <c r="AL126" s="80" t="s">
        <v>2089</v>
      </c>
      <c r="AM126" s="80"/>
      <c r="AN126" s="80"/>
      <c r="AO126" s="82">
        <v>44105.62614583333</v>
      </c>
      <c r="AP126" s="86" t="str">
        <f>HYPERLINK("https://pbs.twimg.com/profile_banners/1311682453367554049/1647691316")</f>
        <v>https://pbs.twimg.com/profile_banners/1311682453367554049/1647691316</v>
      </c>
      <c r="AQ126" s="80" t="b">
        <v>1</v>
      </c>
      <c r="AR126" s="80" t="b">
        <v>0</v>
      </c>
      <c r="AS126" s="80" t="b">
        <v>0</v>
      </c>
      <c r="AT126" s="80"/>
      <c r="AU126" s="80">
        <v>0</v>
      </c>
      <c r="AV126" s="80"/>
      <c r="AW126" s="80" t="b">
        <v>0</v>
      </c>
      <c r="AX126" s="80" t="s">
        <v>2141</v>
      </c>
      <c r="AY126" s="86" t="str">
        <f>HYPERLINK("https://twitter.com/halereeni")</f>
        <v>https://twitter.com/halereeni</v>
      </c>
      <c r="AZ126" s="80" t="s">
        <v>66</v>
      </c>
      <c r="BA126" s="80" t="str">
        <f>REPLACE(INDEX(GroupVertices[Group],MATCH(Vertices[[#This Row],[Vertex]],GroupVertices[Vertex],0)),1,1,"")</f>
        <v>2</v>
      </c>
      <c r="BB126" s="49">
        <v>0</v>
      </c>
      <c r="BC126" s="50">
        <v>0</v>
      </c>
      <c r="BD126" s="49">
        <v>0</v>
      </c>
      <c r="BE126" s="50">
        <v>0</v>
      </c>
      <c r="BF126" s="49">
        <v>0</v>
      </c>
      <c r="BG126" s="50">
        <v>0</v>
      </c>
      <c r="BH126" s="49">
        <v>39</v>
      </c>
      <c r="BI126" s="50">
        <v>100</v>
      </c>
      <c r="BJ126" s="49">
        <v>39</v>
      </c>
      <c r="BK126" s="49" t="s">
        <v>3990</v>
      </c>
      <c r="BL126" s="49" t="s">
        <v>3990</v>
      </c>
      <c r="BM126" s="49" t="s">
        <v>582</v>
      </c>
      <c r="BN126" s="49" t="s">
        <v>582</v>
      </c>
      <c r="BO126" s="49"/>
      <c r="BP126" s="49"/>
      <c r="BQ126" s="116" t="s">
        <v>4270</v>
      </c>
      <c r="BR126" s="116" t="s">
        <v>4311</v>
      </c>
      <c r="BS126" s="116" t="s">
        <v>4346</v>
      </c>
      <c r="BT126" s="116" t="s">
        <v>4389</v>
      </c>
      <c r="BU126" s="2"/>
      <c r="BV126" s="3"/>
      <c r="BW126" s="3"/>
      <c r="BX126" s="3"/>
      <c r="BY126" s="3"/>
    </row>
    <row r="127" spans="1:77" ht="15">
      <c r="A127" s="65" t="s">
        <v>335</v>
      </c>
      <c r="B127" s="66"/>
      <c r="C127" s="66" t="s">
        <v>64</v>
      </c>
      <c r="D127" s="67">
        <v>436.36979249265914</v>
      </c>
      <c r="E127" s="69"/>
      <c r="F127" s="104" t="str">
        <f>HYPERLINK("https://pbs.twimg.com/profile_images/710551846138548226/ZgGmG3Sy_normal.jpg")</f>
        <v>https://pbs.twimg.com/profile_images/710551846138548226/ZgGmG3Sy_normal.jpg</v>
      </c>
      <c r="G127" s="66"/>
      <c r="H127" s="70" t="s">
        <v>335</v>
      </c>
      <c r="I127" s="71" t="s">
        <v>4404</v>
      </c>
      <c r="J127" s="71" t="s">
        <v>73</v>
      </c>
      <c r="K127" s="70" t="s">
        <v>2265</v>
      </c>
      <c r="L127" s="74">
        <v>197.0392156862745</v>
      </c>
      <c r="M127" s="75">
        <v>647.5416259765625</v>
      </c>
      <c r="N127" s="75">
        <v>402.8033142089844</v>
      </c>
      <c r="O127" s="76"/>
      <c r="P127" s="77"/>
      <c r="Q127" s="77"/>
      <c r="R127" s="90"/>
      <c r="S127" s="49">
        <v>2</v>
      </c>
      <c r="T127" s="49">
        <v>1</v>
      </c>
      <c r="U127" s="50">
        <v>0</v>
      </c>
      <c r="V127" s="50">
        <v>0.003636</v>
      </c>
      <c r="W127" s="50">
        <v>0</v>
      </c>
      <c r="X127" s="50">
        <v>0.003876</v>
      </c>
      <c r="Y127" s="50">
        <v>0</v>
      </c>
      <c r="Z127" s="50">
        <v>0</v>
      </c>
      <c r="AA127" s="72">
        <v>127</v>
      </c>
      <c r="AB127" s="72"/>
      <c r="AC127" s="73"/>
      <c r="AD127" s="80" t="s">
        <v>1358</v>
      </c>
      <c r="AE127" s="89" t="s">
        <v>1623</v>
      </c>
      <c r="AF127" s="80">
        <v>752</v>
      </c>
      <c r="AG127" s="80">
        <v>500</v>
      </c>
      <c r="AH127" s="80">
        <v>2684</v>
      </c>
      <c r="AI127" s="80">
        <v>5430</v>
      </c>
      <c r="AJ127" s="80"/>
      <c r="AK127" s="80" t="s">
        <v>1883</v>
      </c>
      <c r="AL127" s="80"/>
      <c r="AM127" s="80"/>
      <c r="AN127" s="80"/>
      <c r="AO127" s="82">
        <v>41664.48792824074</v>
      </c>
      <c r="AP127" s="86" t="str">
        <f>HYPERLINK("https://pbs.twimg.com/profile_banners/2303375091/1492364649")</f>
        <v>https://pbs.twimg.com/profile_banners/2303375091/1492364649</v>
      </c>
      <c r="AQ127" s="80" t="b">
        <v>0</v>
      </c>
      <c r="AR127" s="80" t="b">
        <v>0</v>
      </c>
      <c r="AS127" s="80" t="b">
        <v>0</v>
      </c>
      <c r="AT127" s="80"/>
      <c r="AU127" s="80">
        <v>14</v>
      </c>
      <c r="AV127" s="86" t="str">
        <f>HYPERLINK("https://abs.twimg.com/images/themes/theme13/bg.gif")</f>
        <v>https://abs.twimg.com/images/themes/theme13/bg.gif</v>
      </c>
      <c r="AW127" s="80" t="b">
        <v>0</v>
      </c>
      <c r="AX127" s="80" t="s">
        <v>2141</v>
      </c>
      <c r="AY127" s="86" t="str">
        <f>HYPERLINK("https://twitter.com/timokoivisto_")</f>
        <v>https://twitter.com/timokoivisto_</v>
      </c>
      <c r="AZ127" s="80" t="s">
        <v>66</v>
      </c>
      <c r="BA127" s="80" t="str">
        <f>REPLACE(INDEX(GroupVertices[Group],MATCH(Vertices[[#This Row],[Vertex]],GroupVertices[Vertex],0)),1,1,"")</f>
        <v>15</v>
      </c>
      <c r="BB127" s="49">
        <v>0</v>
      </c>
      <c r="BC127" s="50">
        <v>0</v>
      </c>
      <c r="BD127" s="49">
        <v>0</v>
      </c>
      <c r="BE127" s="50">
        <v>0</v>
      </c>
      <c r="BF127" s="49">
        <v>0</v>
      </c>
      <c r="BG127" s="50">
        <v>0</v>
      </c>
      <c r="BH127" s="49">
        <v>11</v>
      </c>
      <c r="BI127" s="50">
        <v>100</v>
      </c>
      <c r="BJ127" s="49">
        <v>11</v>
      </c>
      <c r="BK127" s="49"/>
      <c r="BL127" s="49"/>
      <c r="BM127" s="49"/>
      <c r="BN127" s="49"/>
      <c r="BO127" s="49"/>
      <c r="BP127" s="49"/>
      <c r="BQ127" s="116" t="s">
        <v>4272</v>
      </c>
      <c r="BR127" s="116" t="s">
        <v>4272</v>
      </c>
      <c r="BS127" s="116" t="s">
        <v>4350</v>
      </c>
      <c r="BT127" s="116" t="s">
        <v>4350</v>
      </c>
      <c r="BU127" s="2"/>
      <c r="BV127" s="3"/>
      <c r="BW127" s="3"/>
      <c r="BX127" s="3"/>
      <c r="BY127" s="3"/>
    </row>
    <row r="128" spans="1:77" ht="15">
      <c r="A128" s="65" t="s">
        <v>336</v>
      </c>
      <c r="B128" s="66"/>
      <c r="C128" s="66" t="s">
        <v>64</v>
      </c>
      <c r="D128" s="67"/>
      <c r="E128" s="69"/>
      <c r="F128" s="104" t="str">
        <f>HYPERLINK("https://pbs.twimg.com/profile_images/1173465090093473792/xZD9Z7Ko_normal.jpg")</f>
        <v>https://pbs.twimg.com/profile_images/1173465090093473792/xZD9Z7Ko_normal.jpg</v>
      </c>
      <c r="G128" s="66"/>
      <c r="H128" s="70" t="s">
        <v>336</v>
      </c>
      <c r="I128" s="71" t="s">
        <v>4404</v>
      </c>
      <c r="J128" s="71" t="s">
        <v>73</v>
      </c>
      <c r="K128" s="70" t="s">
        <v>2266</v>
      </c>
      <c r="L128" s="74">
        <v>1</v>
      </c>
      <c r="M128" s="75">
        <v>304.4908142089844</v>
      </c>
      <c r="N128" s="75">
        <v>402.8033142089844</v>
      </c>
      <c r="O128" s="76"/>
      <c r="P128" s="77"/>
      <c r="Q128" s="77"/>
      <c r="R128" s="90"/>
      <c r="S128" s="49">
        <v>0</v>
      </c>
      <c r="T128" s="49">
        <v>1</v>
      </c>
      <c r="U128" s="50">
        <v>0</v>
      </c>
      <c r="V128" s="50">
        <v>0.003636</v>
      </c>
      <c r="W128" s="50">
        <v>0</v>
      </c>
      <c r="X128" s="50">
        <v>0.00337</v>
      </c>
      <c r="Y128" s="50">
        <v>0</v>
      </c>
      <c r="Z128" s="50">
        <v>0</v>
      </c>
      <c r="AA128" s="72">
        <v>128</v>
      </c>
      <c r="AB128" s="72"/>
      <c r="AC128" s="73"/>
      <c r="AD128" s="80" t="s">
        <v>1359</v>
      </c>
      <c r="AE128" s="89" t="s">
        <v>1624</v>
      </c>
      <c r="AF128" s="80">
        <v>3053</v>
      </c>
      <c r="AG128" s="80">
        <v>1754</v>
      </c>
      <c r="AH128" s="80">
        <v>44698</v>
      </c>
      <c r="AI128" s="80">
        <v>74605</v>
      </c>
      <c r="AJ128" s="80"/>
      <c r="AK128" s="80" t="s">
        <v>1884</v>
      </c>
      <c r="AL128" s="80"/>
      <c r="AM128" s="80"/>
      <c r="AN128" s="80"/>
      <c r="AO128" s="82">
        <v>43616.635196759256</v>
      </c>
      <c r="AP128" s="86" t="str">
        <f>HYPERLINK("https://pbs.twimg.com/profile_banners/1134478310820499457/1568648101")</f>
        <v>https://pbs.twimg.com/profile_banners/1134478310820499457/1568648101</v>
      </c>
      <c r="AQ128" s="80" t="b">
        <v>0</v>
      </c>
      <c r="AR128" s="80" t="b">
        <v>0</v>
      </c>
      <c r="AS128" s="80" t="b">
        <v>0</v>
      </c>
      <c r="AT128" s="80"/>
      <c r="AU128" s="80">
        <v>1</v>
      </c>
      <c r="AV128" s="86" t="str">
        <f>HYPERLINK("https://abs.twimg.com/images/themes/theme1/bg.png")</f>
        <v>https://abs.twimg.com/images/themes/theme1/bg.png</v>
      </c>
      <c r="AW128" s="80" t="b">
        <v>0</v>
      </c>
      <c r="AX128" s="80" t="s">
        <v>2141</v>
      </c>
      <c r="AY128" s="86" t="str">
        <f>HYPERLINK("https://twitter.com/joutsenikko")</f>
        <v>https://twitter.com/joutsenikko</v>
      </c>
      <c r="AZ128" s="80" t="s">
        <v>66</v>
      </c>
      <c r="BA128" s="80" t="str">
        <f>REPLACE(INDEX(GroupVertices[Group],MATCH(Vertices[[#This Row],[Vertex]],GroupVertices[Vertex],0)),1,1,"")</f>
        <v>15</v>
      </c>
      <c r="BB128" s="49">
        <v>0</v>
      </c>
      <c r="BC128" s="50">
        <v>0</v>
      </c>
      <c r="BD128" s="49">
        <v>0</v>
      </c>
      <c r="BE128" s="50">
        <v>0</v>
      </c>
      <c r="BF128" s="49">
        <v>0</v>
      </c>
      <c r="BG128" s="50">
        <v>0</v>
      </c>
      <c r="BH128" s="49">
        <v>11</v>
      </c>
      <c r="BI128" s="50">
        <v>100</v>
      </c>
      <c r="BJ128" s="49">
        <v>11</v>
      </c>
      <c r="BK128" s="49"/>
      <c r="BL128" s="49"/>
      <c r="BM128" s="49"/>
      <c r="BN128" s="49"/>
      <c r="BO128" s="49"/>
      <c r="BP128" s="49"/>
      <c r="BQ128" s="116" t="s">
        <v>4272</v>
      </c>
      <c r="BR128" s="116" t="s">
        <v>4272</v>
      </c>
      <c r="BS128" s="116" t="s">
        <v>4350</v>
      </c>
      <c r="BT128" s="116" t="s">
        <v>4350</v>
      </c>
      <c r="BU128" s="2"/>
      <c r="BV128" s="3"/>
      <c r="BW128" s="3"/>
      <c r="BX128" s="3"/>
      <c r="BY128" s="3"/>
    </row>
    <row r="129" spans="1:77" ht="15">
      <c r="A129" s="65" t="s">
        <v>337</v>
      </c>
      <c r="B129" s="66"/>
      <c r="C129" s="66" t="s">
        <v>64</v>
      </c>
      <c r="D129" s="67"/>
      <c r="E129" s="69"/>
      <c r="F129" s="104" t="str">
        <f>HYPERLINK("https://pbs.twimg.com/profile_images/899307955593646081/PqN27n0g_normal.jpg")</f>
        <v>https://pbs.twimg.com/profile_images/899307955593646081/PqN27n0g_normal.jpg</v>
      </c>
      <c r="G129" s="66"/>
      <c r="H129" s="70" t="s">
        <v>337</v>
      </c>
      <c r="I129" s="71" t="s">
        <v>4393</v>
      </c>
      <c r="J129" s="71" t="s">
        <v>73</v>
      </c>
      <c r="K129" s="70" t="s">
        <v>2267</v>
      </c>
      <c r="L129" s="74">
        <v>1</v>
      </c>
      <c r="M129" s="75">
        <v>4856.6689453125</v>
      </c>
      <c r="N129" s="75">
        <v>8726.91796875</v>
      </c>
      <c r="O129" s="76"/>
      <c r="P129" s="77"/>
      <c r="Q129" s="77"/>
      <c r="R129" s="90"/>
      <c r="S129" s="49">
        <v>0</v>
      </c>
      <c r="T129" s="49">
        <v>1</v>
      </c>
      <c r="U129" s="50">
        <v>0</v>
      </c>
      <c r="V129" s="50">
        <v>0.239313</v>
      </c>
      <c r="W129" s="50">
        <v>0.067769</v>
      </c>
      <c r="X129" s="50">
        <v>0.003151</v>
      </c>
      <c r="Y129" s="50">
        <v>0</v>
      </c>
      <c r="Z129" s="50">
        <v>0</v>
      </c>
      <c r="AA129" s="72">
        <v>129</v>
      </c>
      <c r="AB129" s="72"/>
      <c r="AC129" s="73"/>
      <c r="AD129" s="80" t="s">
        <v>1360</v>
      </c>
      <c r="AE129" s="89" t="s">
        <v>1625</v>
      </c>
      <c r="AF129" s="80">
        <v>5901</v>
      </c>
      <c r="AG129" s="80">
        <v>6269</v>
      </c>
      <c r="AH129" s="80">
        <v>6320</v>
      </c>
      <c r="AI129" s="80">
        <v>6995</v>
      </c>
      <c r="AJ129" s="80"/>
      <c r="AK129" s="80" t="s">
        <v>1885</v>
      </c>
      <c r="AL129" s="80" t="s">
        <v>2041</v>
      </c>
      <c r="AM129" s="86" t="str">
        <f>HYPERLINK("https://t.co/0aUCPA5VEc")</f>
        <v>https://t.co/0aUCPA5VEc</v>
      </c>
      <c r="AN129" s="80"/>
      <c r="AO129" s="82">
        <v>39922.76917824074</v>
      </c>
      <c r="AP129" s="86" t="str">
        <f>HYPERLINK("https://pbs.twimg.com/profile_banners/33271475/1644400866")</f>
        <v>https://pbs.twimg.com/profile_banners/33271475/1644400866</v>
      </c>
      <c r="AQ129" s="80" t="b">
        <v>1</v>
      </c>
      <c r="AR129" s="80" t="b">
        <v>0</v>
      </c>
      <c r="AS129" s="80" t="b">
        <v>1</v>
      </c>
      <c r="AT129" s="80"/>
      <c r="AU129" s="80">
        <v>81</v>
      </c>
      <c r="AV129" s="86" t="str">
        <f>HYPERLINK("https://abs.twimg.com/images/themes/theme1/bg.png")</f>
        <v>https://abs.twimg.com/images/themes/theme1/bg.png</v>
      </c>
      <c r="AW129" s="80" t="b">
        <v>0</v>
      </c>
      <c r="AX129" s="80" t="s">
        <v>2141</v>
      </c>
      <c r="AY129" s="86" t="str">
        <f>HYPERLINK("https://twitter.com/pasikivioja")</f>
        <v>https://twitter.com/pasikivioja</v>
      </c>
      <c r="AZ129" s="80" t="s">
        <v>66</v>
      </c>
      <c r="BA129" s="80" t="str">
        <f>REPLACE(INDEX(GroupVertices[Group],MATCH(Vertices[[#This Row],[Vertex]],GroupVertices[Vertex],0)),1,1,"")</f>
        <v>1</v>
      </c>
      <c r="BB129" s="49">
        <v>0</v>
      </c>
      <c r="BC129" s="50">
        <v>0</v>
      </c>
      <c r="BD129" s="49">
        <v>0</v>
      </c>
      <c r="BE129" s="50">
        <v>0</v>
      </c>
      <c r="BF129" s="49">
        <v>0</v>
      </c>
      <c r="BG129" s="50">
        <v>0</v>
      </c>
      <c r="BH129" s="49">
        <v>33</v>
      </c>
      <c r="BI129" s="50">
        <v>100</v>
      </c>
      <c r="BJ129" s="49">
        <v>33</v>
      </c>
      <c r="BK129" s="49" t="s">
        <v>3990</v>
      </c>
      <c r="BL129" s="49" t="s">
        <v>3990</v>
      </c>
      <c r="BM129" s="49" t="s">
        <v>582</v>
      </c>
      <c r="BN129" s="49" t="s">
        <v>582</v>
      </c>
      <c r="BO129" s="49"/>
      <c r="BP129" s="49"/>
      <c r="BQ129" s="116" t="s">
        <v>4267</v>
      </c>
      <c r="BR129" s="116" t="s">
        <v>4267</v>
      </c>
      <c r="BS129" s="116" t="s">
        <v>4346</v>
      </c>
      <c r="BT129" s="116" t="s">
        <v>4346</v>
      </c>
      <c r="BU129" s="2"/>
      <c r="BV129" s="3"/>
      <c r="BW129" s="3"/>
      <c r="BX129" s="3"/>
      <c r="BY129" s="3"/>
    </row>
    <row r="130" spans="1:77" ht="15">
      <c r="A130" s="65" t="s">
        <v>338</v>
      </c>
      <c r="B130" s="66"/>
      <c r="C130" s="66" t="s">
        <v>64</v>
      </c>
      <c r="D130" s="67"/>
      <c r="E130" s="69"/>
      <c r="F130" s="104" t="str">
        <f>HYPERLINK("https://pbs.twimg.com/profile_images/1491914880018006028/4cFROacA_normal.jpg")</f>
        <v>https://pbs.twimg.com/profile_images/1491914880018006028/4cFROacA_normal.jpg</v>
      </c>
      <c r="G130" s="66"/>
      <c r="H130" s="70" t="s">
        <v>338</v>
      </c>
      <c r="I130" s="71" t="s">
        <v>4393</v>
      </c>
      <c r="J130" s="71" t="s">
        <v>73</v>
      </c>
      <c r="K130" s="70" t="s">
        <v>2268</v>
      </c>
      <c r="L130" s="74">
        <v>1</v>
      </c>
      <c r="M130" s="75">
        <v>6561.791015625</v>
      </c>
      <c r="N130" s="75">
        <v>4303.75830078125</v>
      </c>
      <c r="O130" s="76"/>
      <c r="P130" s="77"/>
      <c r="Q130" s="77"/>
      <c r="R130" s="90"/>
      <c r="S130" s="49">
        <v>0</v>
      </c>
      <c r="T130" s="49">
        <v>1</v>
      </c>
      <c r="U130" s="50">
        <v>0</v>
      </c>
      <c r="V130" s="50">
        <v>0.239313</v>
      </c>
      <c r="W130" s="50">
        <v>0.067769</v>
      </c>
      <c r="X130" s="50">
        <v>0.003151</v>
      </c>
      <c r="Y130" s="50">
        <v>0</v>
      </c>
      <c r="Z130" s="50">
        <v>0</v>
      </c>
      <c r="AA130" s="72">
        <v>130</v>
      </c>
      <c r="AB130" s="72"/>
      <c r="AC130" s="73"/>
      <c r="AD130" s="80" t="s">
        <v>1361</v>
      </c>
      <c r="AE130" s="89" t="s">
        <v>1626</v>
      </c>
      <c r="AF130" s="80">
        <v>998</v>
      </c>
      <c r="AG130" s="80">
        <v>1586</v>
      </c>
      <c r="AH130" s="80">
        <v>1354</v>
      </c>
      <c r="AI130" s="80">
        <v>7134</v>
      </c>
      <c r="AJ130" s="80"/>
      <c r="AK130" s="80" t="s">
        <v>1886</v>
      </c>
      <c r="AL130" s="80" t="s">
        <v>2039</v>
      </c>
      <c r="AM130" s="86" t="str">
        <f>HYPERLINK("https://t.co/GoKu9ryTik")</f>
        <v>https://t.co/GoKu9ryTik</v>
      </c>
      <c r="AN130" s="80"/>
      <c r="AO130" s="82">
        <v>41429.65831018519</v>
      </c>
      <c r="AP130" s="86" t="str">
        <f>HYPERLINK("https://pbs.twimg.com/profile_banners/1482617737/1644535201")</f>
        <v>https://pbs.twimg.com/profile_banners/1482617737/1644535201</v>
      </c>
      <c r="AQ130" s="80" t="b">
        <v>0</v>
      </c>
      <c r="AR130" s="80" t="b">
        <v>0</v>
      </c>
      <c r="AS130" s="80" t="b">
        <v>1</v>
      </c>
      <c r="AT130" s="80"/>
      <c r="AU130" s="80">
        <v>2</v>
      </c>
      <c r="AV130" s="86" t="str">
        <f>HYPERLINK("https://abs.twimg.com/images/themes/theme1/bg.png")</f>
        <v>https://abs.twimg.com/images/themes/theme1/bg.png</v>
      </c>
      <c r="AW130" s="80" t="b">
        <v>0</v>
      </c>
      <c r="AX130" s="80" t="s">
        <v>2141</v>
      </c>
      <c r="AY130" s="86" t="str">
        <f>HYPERLINK("https://twitter.com/jennijanakka")</f>
        <v>https://twitter.com/jennijanakka</v>
      </c>
      <c r="AZ130" s="80" t="s">
        <v>66</v>
      </c>
      <c r="BA130" s="80" t="str">
        <f>REPLACE(INDEX(GroupVertices[Group],MATCH(Vertices[[#This Row],[Vertex]],GroupVertices[Vertex],0)),1,1,"")</f>
        <v>1</v>
      </c>
      <c r="BB130" s="49">
        <v>0</v>
      </c>
      <c r="BC130" s="50">
        <v>0</v>
      </c>
      <c r="BD130" s="49">
        <v>0</v>
      </c>
      <c r="BE130" s="50">
        <v>0</v>
      </c>
      <c r="BF130" s="49">
        <v>0</v>
      </c>
      <c r="BG130" s="50">
        <v>0</v>
      </c>
      <c r="BH130" s="49">
        <v>33</v>
      </c>
      <c r="BI130" s="50">
        <v>100</v>
      </c>
      <c r="BJ130" s="49">
        <v>33</v>
      </c>
      <c r="BK130" s="49" t="s">
        <v>3990</v>
      </c>
      <c r="BL130" s="49" t="s">
        <v>3990</v>
      </c>
      <c r="BM130" s="49" t="s">
        <v>582</v>
      </c>
      <c r="BN130" s="49" t="s">
        <v>582</v>
      </c>
      <c r="BO130" s="49"/>
      <c r="BP130" s="49"/>
      <c r="BQ130" s="116" t="s">
        <v>4267</v>
      </c>
      <c r="BR130" s="116" t="s">
        <v>4267</v>
      </c>
      <c r="BS130" s="116" t="s">
        <v>4346</v>
      </c>
      <c r="BT130" s="116" t="s">
        <v>4346</v>
      </c>
      <c r="BU130" s="2"/>
      <c r="BV130" s="3"/>
      <c r="BW130" s="3"/>
      <c r="BX130" s="3"/>
      <c r="BY130" s="3"/>
    </row>
    <row r="131" spans="1:77" ht="15">
      <c r="A131" s="65" t="s">
        <v>339</v>
      </c>
      <c r="B131" s="66"/>
      <c r="C131" s="66" t="s">
        <v>64</v>
      </c>
      <c r="D131" s="67"/>
      <c r="E131" s="69"/>
      <c r="F131" s="104" t="str">
        <f>HYPERLINK("https://pbs.twimg.com/profile_images/1180431249401434112/67i0iQx6_normal.jpg")</f>
        <v>https://pbs.twimg.com/profile_images/1180431249401434112/67i0iQx6_normal.jpg</v>
      </c>
      <c r="G131" s="66"/>
      <c r="H131" s="70" t="s">
        <v>339</v>
      </c>
      <c r="I131" s="71" t="s">
        <v>4393</v>
      </c>
      <c r="J131" s="71" t="s">
        <v>73</v>
      </c>
      <c r="K131" s="70" t="s">
        <v>2269</v>
      </c>
      <c r="L131" s="74">
        <v>1</v>
      </c>
      <c r="M131" s="75">
        <v>6570.39111328125</v>
      </c>
      <c r="N131" s="75">
        <v>7968.94384765625</v>
      </c>
      <c r="O131" s="76"/>
      <c r="P131" s="77"/>
      <c r="Q131" s="77"/>
      <c r="R131" s="90"/>
      <c r="S131" s="49">
        <v>0</v>
      </c>
      <c r="T131" s="49">
        <v>1</v>
      </c>
      <c r="U131" s="50">
        <v>0</v>
      </c>
      <c r="V131" s="50">
        <v>0.239313</v>
      </c>
      <c r="W131" s="50">
        <v>0.067769</v>
      </c>
      <c r="X131" s="50">
        <v>0.003151</v>
      </c>
      <c r="Y131" s="50">
        <v>0</v>
      </c>
      <c r="Z131" s="50">
        <v>0</v>
      </c>
      <c r="AA131" s="72">
        <v>131</v>
      </c>
      <c r="AB131" s="72"/>
      <c r="AC131" s="73"/>
      <c r="AD131" s="80" t="s">
        <v>1362</v>
      </c>
      <c r="AE131" s="89" t="s">
        <v>1627</v>
      </c>
      <c r="AF131" s="80">
        <v>371</v>
      </c>
      <c r="AG131" s="80">
        <v>442</v>
      </c>
      <c r="AH131" s="80">
        <v>15522</v>
      </c>
      <c r="AI131" s="80">
        <v>86667</v>
      </c>
      <c r="AJ131" s="80"/>
      <c r="AK131" s="80" t="s">
        <v>1887</v>
      </c>
      <c r="AL131" s="80"/>
      <c r="AM131" s="80"/>
      <c r="AN131" s="80"/>
      <c r="AO131" s="82">
        <v>42185.76305555556</v>
      </c>
      <c r="AP131" s="86" t="str">
        <f>HYPERLINK("https://pbs.twimg.com/profile_banners/3352136417/1620726949")</f>
        <v>https://pbs.twimg.com/profile_banners/3352136417/1620726949</v>
      </c>
      <c r="AQ131" s="80" t="b">
        <v>0</v>
      </c>
      <c r="AR131" s="80" t="b">
        <v>0</v>
      </c>
      <c r="AS131" s="80" t="b">
        <v>0</v>
      </c>
      <c r="AT131" s="80"/>
      <c r="AU131" s="80">
        <v>2</v>
      </c>
      <c r="AV131" s="86" t="str">
        <f>HYPERLINK("https://abs.twimg.com/images/themes/theme3/bg.gif")</f>
        <v>https://abs.twimg.com/images/themes/theme3/bg.gif</v>
      </c>
      <c r="AW131" s="80" t="b">
        <v>0</v>
      </c>
      <c r="AX131" s="80" t="s">
        <v>2141</v>
      </c>
      <c r="AY131" s="86" t="str">
        <f>HYPERLINK("https://twitter.com/mikaelhoo")</f>
        <v>https://twitter.com/mikaelhoo</v>
      </c>
      <c r="AZ131" s="80" t="s">
        <v>66</v>
      </c>
      <c r="BA131" s="80" t="str">
        <f>REPLACE(INDEX(GroupVertices[Group],MATCH(Vertices[[#This Row],[Vertex]],GroupVertices[Vertex],0)),1,1,"")</f>
        <v>1</v>
      </c>
      <c r="BB131" s="49">
        <v>0</v>
      </c>
      <c r="BC131" s="50">
        <v>0</v>
      </c>
      <c r="BD131" s="49">
        <v>0</v>
      </c>
      <c r="BE131" s="50">
        <v>0</v>
      </c>
      <c r="BF131" s="49">
        <v>0</v>
      </c>
      <c r="BG131" s="50">
        <v>0</v>
      </c>
      <c r="BH131" s="49">
        <v>33</v>
      </c>
      <c r="BI131" s="50">
        <v>100</v>
      </c>
      <c r="BJ131" s="49">
        <v>33</v>
      </c>
      <c r="BK131" s="49" t="s">
        <v>3990</v>
      </c>
      <c r="BL131" s="49" t="s">
        <v>3990</v>
      </c>
      <c r="BM131" s="49" t="s">
        <v>582</v>
      </c>
      <c r="BN131" s="49" t="s">
        <v>582</v>
      </c>
      <c r="BO131" s="49"/>
      <c r="BP131" s="49"/>
      <c r="BQ131" s="116" t="s">
        <v>4267</v>
      </c>
      <c r="BR131" s="116" t="s">
        <v>4267</v>
      </c>
      <c r="BS131" s="116" t="s">
        <v>4346</v>
      </c>
      <c r="BT131" s="116" t="s">
        <v>4346</v>
      </c>
      <c r="BU131" s="2"/>
      <c r="BV131" s="3"/>
      <c r="BW131" s="3"/>
      <c r="BX131" s="3"/>
      <c r="BY131" s="3"/>
    </row>
    <row r="132" spans="1:77" ht="15">
      <c r="A132" s="65" t="s">
        <v>340</v>
      </c>
      <c r="B132" s="66"/>
      <c r="C132" s="66" t="s">
        <v>64</v>
      </c>
      <c r="D132" s="67"/>
      <c r="E132" s="69"/>
      <c r="F132" s="104" t="str">
        <f>HYPERLINK("https://pbs.twimg.com/profile_images/1250333053412507650/w7Pbw0n4_normal.jpg")</f>
        <v>https://pbs.twimg.com/profile_images/1250333053412507650/w7Pbw0n4_normal.jpg</v>
      </c>
      <c r="G132" s="66"/>
      <c r="H132" s="70" t="s">
        <v>340</v>
      </c>
      <c r="I132" s="71" t="s">
        <v>4393</v>
      </c>
      <c r="J132" s="71" t="s">
        <v>73</v>
      </c>
      <c r="K132" s="70" t="s">
        <v>2270</v>
      </c>
      <c r="L132" s="74">
        <v>1</v>
      </c>
      <c r="M132" s="75">
        <v>3986.5439453125</v>
      </c>
      <c r="N132" s="75">
        <v>4751.92724609375</v>
      </c>
      <c r="O132" s="76"/>
      <c r="P132" s="77"/>
      <c r="Q132" s="77"/>
      <c r="R132" s="90"/>
      <c r="S132" s="49">
        <v>0</v>
      </c>
      <c r="T132" s="49">
        <v>1</v>
      </c>
      <c r="U132" s="50">
        <v>0</v>
      </c>
      <c r="V132" s="50">
        <v>0.239313</v>
      </c>
      <c r="W132" s="50">
        <v>0.067769</v>
      </c>
      <c r="X132" s="50">
        <v>0.003151</v>
      </c>
      <c r="Y132" s="50">
        <v>0</v>
      </c>
      <c r="Z132" s="50">
        <v>0</v>
      </c>
      <c r="AA132" s="72">
        <v>132</v>
      </c>
      <c r="AB132" s="72"/>
      <c r="AC132" s="73"/>
      <c r="AD132" s="80" t="s">
        <v>1363</v>
      </c>
      <c r="AE132" s="89" t="s">
        <v>1628</v>
      </c>
      <c r="AF132" s="80">
        <v>1557</v>
      </c>
      <c r="AG132" s="80">
        <v>319</v>
      </c>
      <c r="AH132" s="80">
        <v>2715</v>
      </c>
      <c r="AI132" s="80">
        <v>31151</v>
      </c>
      <c r="AJ132" s="80"/>
      <c r="AK132" s="80" t="s">
        <v>1888</v>
      </c>
      <c r="AL132" s="80" t="s">
        <v>2090</v>
      </c>
      <c r="AM132" s="80"/>
      <c r="AN132" s="80"/>
      <c r="AO132" s="82">
        <v>39978.99238425926</v>
      </c>
      <c r="AP132" s="80"/>
      <c r="AQ132" s="80" t="b">
        <v>1</v>
      </c>
      <c r="AR132" s="80" t="b">
        <v>0</v>
      </c>
      <c r="AS132" s="80" t="b">
        <v>1</v>
      </c>
      <c r="AT132" s="80"/>
      <c r="AU132" s="80">
        <v>2</v>
      </c>
      <c r="AV132" s="86" t="str">
        <f>HYPERLINK("https://abs.twimg.com/images/themes/theme1/bg.png")</f>
        <v>https://abs.twimg.com/images/themes/theme1/bg.png</v>
      </c>
      <c r="AW132" s="80" t="b">
        <v>0</v>
      </c>
      <c r="AX132" s="80" t="s">
        <v>2141</v>
      </c>
      <c r="AY132" s="86" t="str">
        <f>HYPERLINK("https://twitter.com/lassi_ylikojola")</f>
        <v>https://twitter.com/lassi_ylikojola</v>
      </c>
      <c r="AZ132" s="80" t="s">
        <v>66</v>
      </c>
      <c r="BA132" s="80" t="str">
        <f>REPLACE(INDEX(GroupVertices[Group],MATCH(Vertices[[#This Row],[Vertex]],GroupVertices[Vertex],0)),1,1,"")</f>
        <v>1</v>
      </c>
      <c r="BB132" s="49">
        <v>0</v>
      </c>
      <c r="BC132" s="50">
        <v>0</v>
      </c>
      <c r="BD132" s="49">
        <v>0</v>
      </c>
      <c r="BE132" s="50">
        <v>0</v>
      </c>
      <c r="BF132" s="49">
        <v>0</v>
      </c>
      <c r="BG132" s="50">
        <v>0</v>
      </c>
      <c r="BH132" s="49">
        <v>33</v>
      </c>
      <c r="BI132" s="50">
        <v>100</v>
      </c>
      <c r="BJ132" s="49">
        <v>33</v>
      </c>
      <c r="BK132" s="49" t="s">
        <v>3990</v>
      </c>
      <c r="BL132" s="49" t="s">
        <v>3990</v>
      </c>
      <c r="BM132" s="49" t="s">
        <v>582</v>
      </c>
      <c r="BN132" s="49" t="s">
        <v>582</v>
      </c>
      <c r="BO132" s="49"/>
      <c r="BP132" s="49"/>
      <c r="BQ132" s="116" t="s">
        <v>4267</v>
      </c>
      <c r="BR132" s="116" t="s">
        <v>4267</v>
      </c>
      <c r="BS132" s="116" t="s">
        <v>4346</v>
      </c>
      <c r="BT132" s="116" t="s">
        <v>4346</v>
      </c>
      <c r="BU132" s="2"/>
      <c r="BV132" s="3"/>
      <c r="BW132" s="3"/>
      <c r="BX132" s="3"/>
      <c r="BY132" s="3"/>
    </row>
    <row r="133" spans="1:77" ht="15">
      <c r="A133" s="65" t="s">
        <v>341</v>
      </c>
      <c r="B133" s="66"/>
      <c r="C133" s="66" t="s">
        <v>64</v>
      </c>
      <c r="D133" s="67">
        <v>10</v>
      </c>
      <c r="E133" s="69"/>
      <c r="F133" s="104" t="str">
        <f>HYPERLINK("https://pbs.twimg.com/profile_images/1316066161096904706/DX5tPYPc_normal.jpg")</f>
        <v>https://pbs.twimg.com/profile_images/1316066161096904706/DX5tPYPc_normal.jpg</v>
      </c>
      <c r="G133" s="66"/>
      <c r="H133" s="70" t="s">
        <v>341</v>
      </c>
      <c r="I133" s="71" t="s">
        <v>4398</v>
      </c>
      <c r="J133" s="71" t="s">
        <v>73</v>
      </c>
      <c r="K133" s="70" t="s">
        <v>2271</v>
      </c>
      <c r="L133" s="74">
        <v>99.01960784313725</v>
      </c>
      <c r="M133" s="75"/>
      <c r="N133" s="75"/>
      <c r="O133" s="76"/>
      <c r="P133" s="77"/>
      <c r="Q133" s="77"/>
      <c r="R133" s="90"/>
      <c r="S133" s="49">
        <v>1</v>
      </c>
      <c r="T133" s="49">
        <v>1</v>
      </c>
      <c r="U133" s="50">
        <v>0</v>
      </c>
      <c r="V133" s="50">
        <v>0</v>
      </c>
      <c r="W133" s="50">
        <v>0</v>
      </c>
      <c r="X133" s="50">
        <v>0.003623</v>
      </c>
      <c r="Y133" s="50">
        <v>0</v>
      </c>
      <c r="Z133" s="50">
        <v>0</v>
      </c>
      <c r="AA133" s="72">
        <v>133</v>
      </c>
      <c r="AB133" s="72"/>
      <c r="AC133" s="73"/>
      <c r="AD133" s="80" t="s">
        <v>1364</v>
      </c>
      <c r="AE133" s="89" t="s">
        <v>1629</v>
      </c>
      <c r="AF133" s="80">
        <v>40</v>
      </c>
      <c r="AG133" s="80">
        <v>10</v>
      </c>
      <c r="AH133" s="80">
        <v>1348</v>
      </c>
      <c r="AI133" s="80">
        <v>10016</v>
      </c>
      <c r="AJ133" s="80"/>
      <c r="AK133" s="80" t="s">
        <v>1889</v>
      </c>
      <c r="AL133" s="80" t="s">
        <v>2051</v>
      </c>
      <c r="AM133" s="80"/>
      <c r="AN133" s="80"/>
      <c r="AO133" s="82">
        <v>42837.3090625</v>
      </c>
      <c r="AP133" s="86" t="str">
        <f>HYPERLINK("https://pbs.twimg.com/profile_banners/852059974004027392/1602609809")</f>
        <v>https://pbs.twimg.com/profile_banners/852059974004027392/1602609809</v>
      </c>
      <c r="AQ133" s="80" t="b">
        <v>1</v>
      </c>
      <c r="AR133" s="80" t="b">
        <v>0</v>
      </c>
      <c r="AS133" s="80" t="b">
        <v>0</v>
      </c>
      <c r="AT133" s="80"/>
      <c r="AU133" s="80">
        <v>0</v>
      </c>
      <c r="AV133" s="80"/>
      <c r="AW133" s="80" t="b">
        <v>0</v>
      </c>
      <c r="AX133" s="80" t="s">
        <v>2141</v>
      </c>
      <c r="AY133" s="86" t="str">
        <f>HYPERLINK("https://twitter.com/turhaporu")</f>
        <v>https://twitter.com/turhaporu</v>
      </c>
      <c r="AZ133" s="80" t="s">
        <v>66</v>
      </c>
      <c r="BA133" s="80" t="str">
        <f>REPLACE(INDEX(GroupVertices[Group],MATCH(Vertices[[#This Row],[Vertex]],GroupVertices[Vertex],0)),1,1,"")</f>
        <v>3</v>
      </c>
      <c r="BB133" s="49">
        <v>0</v>
      </c>
      <c r="BC133" s="50">
        <v>0</v>
      </c>
      <c r="BD133" s="49">
        <v>0</v>
      </c>
      <c r="BE133" s="50">
        <v>0</v>
      </c>
      <c r="BF133" s="49">
        <v>0</v>
      </c>
      <c r="BG133" s="50">
        <v>0</v>
      </c>
      <c r="BH133" s="49">
        <v>16</v>
      </c>
      <c r="BI133" s="50">
        <v>100</v>
      </c>
      <c r="BJ133" s="49">
        <v>16</v>
      </c>
      <c r="BK133" s="49"/>
      <c r="BL133" s="49"/>
      <c r="BM133" s="49"/>
      <c r="BN133" s="49"/>
      <c r="BO133" s="49" t="s">
        <v>595</v>
      </c>
      <c r="BP133" s="49" t="s">
        <v>595</v>
      </c>
      <c r="BQ133" s="116" t="s">
        <v>4273</v>
      </c>
      <c r="BR133" s="116" t="s">
        <v>4273</v>
      </c>
      <c r="BS133" s="116" t="s">
        <v>4351</v>
      </c>
      <c r="BT133" s="116" t="s">
        <v>4351</v>
      </c>
      <c r="BU133" s="2"/>
      <c r="BV133" s="3"/>
      <c r="BW133" s="3"/>
      <c r="BX133" s="3"/>
      <c r="BY133" s="3"/>
    </row>
    <row r="134" spans="1:77" ht="15">
      <c r="A134" s="65" t="s">
        <v>342</v>
      </c>
      <c r="B134" s="66"/>
      <c r="C134" s="66" t="s">
        <v>64</v>
      </c>
      <c r="D134" s="67">
        <v>10</v>
      </c>
      <c r="E134" s="69"/>
      <c r="F134" s="104" t="str">
        <f>HYPERLINK("https://pbs.twimg.com/profile_images/378800000612874771/acdbe9bc3f8cd87b3d0869cd969c4c79_normal.jpeg")</f>
        <v>https://pbs.twimg.com/profile_images/378800000612874771/acdbe9bc3f8cd87b3d0869cd969c4c79_normal.jpeg</v>
      </c>
      <c r="G134" s="66"/>
      <c r="H134" s="70" t="s">
        <v>342</v>
      </c>
      <c r="I134" s="71" t="s">
        <v>4398</v>
      </c>
      <c r="J134" s="71" t="s">
        <v>73</v>
      </c>
      <c r="K134" s="70" t="s">
        <v>2272</v>
      </c>
      <c r="L134" s="74">
        <v>99.01960784313725</v>
      </c>
      <c r="M134" s="75"/>
      <c r="N134" s="75"/>
      <c r="O134" s="76"/>
      <c r="P134" s="77"/>
      <c r="Q134" s="77"/>
      <c r="R134" s="90"/>
      <c r="S134" s="49">
        <v>1</v>
      </c>
      <c r="T134" s="49">
        <v>1</v>
      </c>
      <c r="U134" s="50">
        <v>0</v>
      </c>
      <c r="V134" s="50">
        <v>0</v>
      </c>
      <c r="W134" s="50">
        <v>0</v>
      </c>
      <c r="X134" s="50">
        <v>0.003623</v>
      </c>
      <c r="Y134" s="50">
        <v>0</v>
      </c>
      <c r="Z134" s="50">
        <v>0</v>
      </c>
      <c r="AA134" s="72">
        <v>134</v>
      </c>
      <c r="AB134" s="72"/>
      <c r="AC134" s="73"/>
      <c r="AD134" s="80" t="s">
        <v>1365</v>
      </c>
      <c r="AE134" s="89" t="s">
        <v>1630</v>
      </c>
      <c r="AF134" s="80">
        <v>1326</v>
      </c>
      <c r="AG134" s="80">
        <v>21849</v>
      </c>
      <c r="AH134" s="80">
        <v>23947</v>
      </c>
      <c r="AI134" s="80">
        <v>20046</v>
      </c>
      <c r="AJ134" s="80"/>
      <c r="AK134" s="80" t="s">
        <v>1890</v>
      </c>
      <c r="AL134" s="80" t="s">
        <v>2039</v>
      </c>
      <c r="AM134" s="86" t="str">
        <f>HYPERLINK("http://t.co/SwE5pOcq5Y")</f>
        <v>http://t.co/SwE5pOcq5Y</v>
      </c>
      <c r="AN134" s="80"/>
      <c r="AO134" s="82">
        <v>40871.777650462966</v>
      </c>
      <c r="AP134" s="80"/>
      <c r="AQ134" s="80" t="b">
        <v>0</v>
      </c>
      <c r="AR134" s="80" t="b">
        <v>0</v>
      </c>
      <c r="AS134" s="80" t="b">
        <v>1</v>
      </c>
      <c r="AT134" s="80"/>
      <c r="AU134" s="80">
        <v>126</v>
      </c>
      <c r="AV134" s="86" t="str">
        <f>HYPERLINK("https://abs.twimg.com/images/themes/theme15/bg.png")</f>
        <v>https://abs.twimg.com/images/themes/theme15/bg.png</v>
      </c>
      <c r="AW134" s="80" t="b">
        <v>0</v>
      </c>
      <c r="AX134" s="80" t="s">
        <v>2141</v>
      </c>
      <c r="AY134" s="86" t="str">
        <f>HYPERLINK("https://twitter.com/iirorantala")</f>
        <v>https://twitter.com/iirorantala</v>
      </c>
      <c r="AZ134" s="80" t="s">
        <v>66</v>
      </c>
      <c r="BA134" s="80" t="str">
        <f>REPLACE(INDEX(GroupVertices[Group],MATCH(Vertices[[#This Row],[Vertex]],GroupVertices[Vertex],0)),1,1,"")</f>
        <v>3</v>
      </c>
      <c r="BB134" s="49">
        <v>0</v>
      </c>
      <c r="BC134" s="50">
        <v>0</v>
      </c>
      <c r="BD134" s="49">
        <v>0</v>
      </c>
      <c r="BE134" s="50">
        <v>0</v>
      </c>
      <c r="BF134" s="49">
        <v>0</v>
      </c>
      <c r="BG134" s="50">
        <v>0</v>
      </c>
      <c r="BH134" s="49">
        <v>5</v>
      </c>
      <c r="BI134" s="50">
        <v>100</v>
      </c>
      <c r="BJ134" s="49">
        <v>5</v>
      </c>
      <c r="BK134" s="49" t="s">
        <v>3995</v>
      </c>
      <c r="BL134" s="49" t="s">
        <v>3995</v>
      </c>
      <c r="BM134" s="49" t="s">
        <v>584</v>
      </c>
      <c r="BN134" s="49" t="s">
        <v>584</v>
      </c>
      <c r="BO134" s="49"/>
      <c r="BP134" s="49"/>
      <c r="BQ134" s="116" t="s">
        <v>4274</v>
      </c>
      <c r="BR134" s="116" t="s">
        <v>4274</v>
      </c>
      <c r="BS134" s="116" t="s">
        <v>4352</v>
      </c>
      <c r="BT134" s="116" t="s">
        <v>4352</v>
      </c>
      <c r="BU134" s="2"/>
      <c r="BV134" s="3"/>
      <c r="BW134" s="3"/>
      <c r="BX134" s="3"/>
      <c r="BY134" s="3"/>
    </row>
    <row r="135" spans="1:77" ht="15">
      <c r="A135" s="65" t="s">
        <v>343</v>
      </c>
      <c r="B135" s="66"/>
      <c r="C135" s="66" t="s">
        <v>64</v>
      </c>
      <c r="D135" s="67"/>
      <c r="E135" s="69"/>
      <c r="F135" s="104" t="str">
        <f>HYPERLINK("https://pbs.twimg.com/profile_images/864372109228822528/PF_nrzml_normal.jpg")</f>
        <v>https://pbs.twimg.com/profile_images/864372109228822528/PF_nrzml_normal.jpg</v>
      </c>
      <c r="G135" s="66"/>
      <c r="H135" s="70" t="s">
        <v>343</v>
      </c>
      <c r="I135" s="71" t="s">
        <v>4393</v>
      </c>
      <c r="J135" s="71" t="s">
        <v>73</v>
      </c>
      <c r="K135" s="70" t="s">
        <v>2273</v>
      </c>
      <c r="L135" s="74">
        <v>1</v>
      </c>
      <c r="M135" s="75">
        <v>6596.8857421875</v>
      </c>
      <c r="N135" s="75">
        <v>9368.4658203125</v>
      </c>
      <c r="O135" s="76"/>
      <c r="P135" s="77"/>
      <c r="Q135" s="77"/>
      <c r="R135" s="90"/>
      <c r="S135" s="49">
        <v>0</v>
      </c>
      <c r="T135" s="49">
        <v>1</v>
      </c>
      <c r="U135" s="50">
        <v>0</v>
      </c>
      <c r="V135" s="50">
        <v>0.239313</v>
      </c>
      <c r="W135" s="50">
        <v>0.067769</v>
      </c>
      <c r="X135" s="50">
        <v>0.003151</v>
      </c>
      <c r="Y135" s="50">
        <v>0</v>
      </c>
      <c r="Z135" s="50">
        <v>0</v>
      </c>
      <c r="AA135" s="72">
        <v>135</v>
      </c>
      <c r="AB135" s="72"/>
      <c r="AC135" s="73"/>
      <c r="AD135" s="80" t="s">
        <v>1366</v>
      </c>
      <c r="AE135" s="89" t="s">
        <v>1631</v>
      </c>
      <c r="AF135" s="80">
        <v>1701</v>
      </c>
      <c r="AG135" s="80">
        <v>1675</v>
      </c>
      <c r="AH135" s="80">
        <v>13601</v>
      </c>
      <c r="AI135" s="80">
        <v>7783</v>
      </c>
      <c r="AJ135" s="80"/>
      <c r="AK135" s="80" t="s">
        <v>1891</v>
      </c>
      <c r="AL135" s="80" t="s">
        <v>2091</v>
      </c>
      <c r="AM135" s="80"/>
      <c r="AN135" s="80"/>
      <c r="AO135" s="82">
        <v>39951.32016203704</v>
      </c>
      <c r="AP135" s="86" t="str">
        <f>HYPERLINK("https://pbs.twimg.com/profile_banners/40833868/1443167065")</f>
        <v>https://pbs.twimg.com/profile_banners/40833868/1443167065</v>
      </c>
      <c r="AQ135" s="80" t="b">
        <v>0</v>
      </c>
      <c r="AR135" s="80" t="b">
        <v>0</v>
      </c>
      <c r="AS135" s="80" t="b">
        <v>1</v>
      </c>
      <c r="AT135" s="80"/>
      <c r="AU135" s="80">
        <v>33</v>
      </c>
      <c r="AV135" s="86" t="str">
        <f>HYPERLINK("https://abs.twimg.com/images/themes/theme9/bg.gif")</f>
        <v>https://abs.twimg.com/images/themes/theme9/bg.gif</v>
      </c>
      <c r="AW135" s="80" t="b">
        <v>0</v>
      </c>
      <c r="AX135" s="80" t="s">
        <v>2141</v>
      </c>
      <c r="AY135" s="86" t="str">
        <f>HYPERLINK("https://twitter.com/juusojoo")</f>
        <v>https://twitter.com/juusojoo</v>
      </c>
      <c r="AZ135" s="80" t="s">
        <v>66</v>
      </c>
      <c r="BA135" s="80" t="str">
        <f>REPLACE(INDEX(GroupVertices[Group],MATCH(Vertices[[#This Row],[Vertex]],GroupVertices[Vertex],0)),1,1,"")</f>
        <v>1</v>
      </c>
      <c r="BB135" s="49">
        <v>0</v>
      </c>
      <c r="BC135" s="50">
        <v>0</v>
      </c>
      <c r="BD135" s="49">
        <v>0</v>
      </c>
      <c r="BE135" s="50">
        <v>0</v>
      </c>
      <c r="BF135" s="49">
        <v>0</v>
      </c>
      <c r="BG135" s="50">
        <v>0</v>
      </c>
      <c r="BH135" s="49">
        <v>33</v>
      </c>
      <c r="BI135" s="50">
        <v>100</v>
      </c>
      <c r="BJ135" s="49">
        <v>33</v>
      </c>
      <c r="BK135" s="49" t="s">
        <v>3990</v>
      </c>
      <c r="BL135" s="49" t="s">
        <v>3990</v>
      </c>
      <c r="BM135" s="49" t="s">
        <v>582</v>
      </c>
      <c r="BN135" s="49" t="s">
        <v>582</v>
      </c>
      <c r="BO135" s="49"/>
      <c r="BP135" s="49"/>
      <c r="BQ135" s="116" t="s">
        <v>4267</v>
      </c>
      <c r="BR135" s="116" t="s">
        <v>4267</v>
      </c>
      <c r="BS135" s="116" t="s">
        <v>4346</v>
      </c>
      <c r="BT135" s="116" t="s">
        <v>4346</v>
      </c>
      <c r="BU135" s="2"/>
      <c r="BV135" s="3"/>
      <c r="BW135" s="3"/>
      <c r="BX135" s="3"/>
      <c r="BY135" s="3"/>
    </row>
    <row r="136" spans="1:77" ht="15">
      <c r="A136" s="65" t="s">
        <v>344</v>
      </c>
      <c r="B136" s="66"/>
      <c r="C136" s="66" t="s">
        <v>64</v>
      </c>
      <c r="D136" s="67"/>
      <c r="E136" s="69"/>
      <c r="F136" s="104" t="str">
        <f>HYPERLINK("https://pbs.twimg.com/profile_images/1297911362384007174/-6CfOv6f_normal.jpg")</f>
        <v>https://pbs.twimg.com/profile_images/1297911362384007174/-6CfOv6f_normal.jpg</v>
      </c>
      <c r="G136" s="66"/>
      <c r="H136" s="70" t="s">
        <v>344</v>
      </c>
      <c r="I136" s="71" t="s">
        <v>4393</v>
      </c>
      <c r="J136" s="71" t="s">
        <v>73</v>
      </c>
      <c r="K136" s="70" t="s">
        <v>2274</v>
      </c>
      <c r="L136" s="74">
        <v>1</v>
      </c>
      <c r="M136" s="75">
        <v>3178.5927734375</v>
      </c>
      <c r="N136" s="75">
        <v>4518.22119140625</v>
      </c>
      <c r="O136" s="76"/>
      <c r="P136" s="77"/>
      <c r="Q136" s="77"/>
      <c r="R136" s="90"/>
      <c r="S136" s="49">
        <v>0</v>
      </c>
      <c r="T136" s="49">
        <v>1</v>
      </c>
      <c r="U136" s="50">
        <v>0</v>
      </c>
      <c r="V136" s="50">
        <v>0.239313</v>
      </c>
      <c r="W136" s="50">
        <v>0.067769</v>
      </c>
      <c r="X136" s="50">
        <v>0.003151</v>
      </c>
      <c r="Y136" s="50">
        <v>0</v>
      </c>
      <c r="Z136" s="50">
        <v>0</v>
      </c>
      <c r="AA136" s="72">
        <v>136</v>
      </c>
      <c r="AB136" s="72"/>
      <c r="AC136" s="73"/>
      <c r="AD136" s="80" t="s">
        <v>1367</v>
      </c>
      <c r="AE136" s="89" t="s">
        <v>1632</v>
      </c>
      <c r="AF136" s="80">
        <v>1233</v>
      </c>
      <c r="AG136" s="80">
        <v>755</v>
      </c>
      <c r="AH136" s="80">
        <v>24556</v>
      </c>
      <c r="AI136" s="80">
        <v>128224</v>
      </c>
      <c r="AJ136" s="80"/>
      <c r="AK136" s="80" t="s">
        <v>1892</v>
      </c>
      <c r="AL136" s="80"/>
      <c r="AM136" s="80"/>
      <c r="AN136" s="80"/>
      <c r="AO136" s="82">
        <v>42394.41936342593</v>
      </c>
      <c r="AP136" s="86" t="str">
        <f>HYPERLINK("https://pbs.twimg.com/profile_banners/4845022390/1645689218")</f>
        <v>https://pbs.twimg.com/profile_banners/4845022390/1645689218</v>
      </c>
      <c r="AQ136" s="80" t="b">
        <v>1</v>
      </c>
      <c r="AR136" s="80" t="b">
        <v>0</v>
      </c>
      <c r="AS136" s="80" t="b">
        <v>0</v>
      </c>
      <c r="AT136" s="80"/>
      <c r="AU136" s="80">
        <v>3</v>
      </c>
      <c r="AV136" s="80"/>
      <c r="AW136" s="80" t="b">
        <v>0</v>
      </c>
      <c r="AX136" s="80" t="s">
        <v>2141</v>
      </c>
      <c r="AY136" s="86" t="str">
        <f>HYPERLINK("https://twitter.com/nightisnotday45")</f>
        <v>https://twitter.com/nightisnotday45</v>
      </c>
      <c r="AZ136" s="80" t="s">
        <v>66</v>
      </c>
      <c r="BA136" s="80" t="str">
        <f>REPLACE(INDEX(GroupVertices[Group],MATCH(Vertices[[#This Row],[Vertex]],GroupVertices[Vertex],0)),1,1,"")</f>
        <v>1</v>
      </c>
      <c r="BB136" s="49">
        <v>0</v>
      </c>
      <c r="BC136" s="50">
        <v>0</v>
      </c>
      <c r="BD136" s="49">
        <v>0</v>
      </c>
      <c r="BE136" s="50">
        <v>0</v>
      </c>
      <c r="BF136" s="49">
        <v>0</v>
      </c>
      <c r="BG136" s="50">
        <v>0</v>
      </c>
      <c r="BH136" s="49">
        <v>33</v>
      </c>
      <c r="BI136" s="50">
        <v>100</v>
      </c>
      <c r="BJ136" s="49">
        <v>33</v>
      </c>
      <c r="BK136" s="49" t="s">
        <v>3990</v>
      </c>
      <c r="BL136" s="49" t="s">
        <v>3990</v>
      </c>
      <c r="BM136" s="49" t="s">
        <v>582</v>
      </c>
      <c r="BN136" s="49" t="s">
        <v>582</v>
      </c>
      <c r="BO136" s="49"/>
      <c r="BP136" s="49"/>
      <c r="BQ136" s="116" t="s">
        <v>4267</v>
      </c>
      <c r="BR136" s="116" t="s">
        <v>4267</v>
      </c>
      <c r="BS136" s="116" t="s">
        <v>4346</v>
      </c>
      <c r="BT136" s="116" t="s">
        <v>4346</v>
      </c>
      <c r="BU136" s="2"/>
      <c r="BV136" s="3"/>
      <c r="BW136" s="3"/>
      <c r="BX136" s="3"/>
      <c r="BY136" s="3"/>
    </row>
    <row r="137" spans="1:77" ht="15">
      <c r="A137" s="65" t="s">
        <v>345</v>
      </c>
      <c r="B137" s="66"/>
      <c r="C137" s="66" t="s">
        <v>64</v>
      </c>
      <c r="D137" s="67"/>
      <c r="E137" s="69"/>
      <c r="F137" s="104" t="str">
        <f>HYPERLINK("https://pbs.twimg.com/profile_images/1170731199700058113/YGS2N6-3_normal.jpg")</f>
        <v>https://pbs.twimg.com/profile_images/1170731199700058113/YGS2N6-3_normal.jpg</v>
      </c>
      <c r="G137" s="66"/>
      <c r="H137" s="70" t="s">
        <v>345</v>
      </c>
      <c r="I137" s="71" t="s">
        <v>4393</v>
      </c>
      <c r="J137" s="71" t="s">
        <v>73</v>
      </c>
      <c r="K137" s="70" t="s">
        <v>2275</v>
      </c>
      <c r="L137" s="74">
        <v>1</v>
      </c>
      <c r="M137" s="75">
        <v>3260.26806640625</v>
      </c>
      <c r="N137" s="75">
        <v>6582.6767578125</v>
      </c>
      <c r="O137" s="76"/>
      <c r="P137" s="77"/>
      <c r="Q137" s="77"/>
      <c r="R137" s="90"/>
      <c r="S137" s="49">
        <v>0</v>
      </c>
      <c r="T137" s="49">
        <v>1</v>
      </c>
      <c r="U137" s="50">
        <v>0</v>
      </c>
      <c r="V137" s="50">
        <v>0.239313</v>
      </c>
      <c r="W137" s="50">
        <v>0.067769</v>
      </c>
      <c r="X137" s="50">
        <v>0.003151</v>
      </c>
      <c r="Y137" s="50">
        <v>0</v>
      </c>
      <c r="Z137" s="50">
        <v>0</v>
      </c>
      <c r="AA137" s="72">
        <v>137</v>
      </c>
      <c r="AB137" s="72"/>
      <c r="AC137" s="73"/>
      <c r="AD137" s="80" t="s">
        <v>1368</v>
      </c>
      <c r="AE137" s="89" t="s">
        <v>1633</v>
      </c>
      <c r="AF137" s="80">
        <v>2423</v>
      </c>
      <c r="AG137" s="80">
        <v>2592</v>
      </c>
      <c r="AH137" s="80">
        <v>6177</v>
      </c>
      <c r="AI137" s="80">
        <v>7600</v>
      </c>
      <c r="AJ137" s="80"/>
      <c r="AK137" s="80" t="s">
        <v>1893</v>
      </c>
      <c r="AL137" s="80" t="s">
        <v>2092</v>
      </c>
      <c r="AM137" s="86" t="str">
        <f>HYPERLINK("https://t.co/3OndrTq5Qv")</f>
        <v>https://t.co/3OndrTq5Qv</v>
      </c>
      <c r="AN137" s="80"/>
      <c r="AO137" s="82">
        <v>39971.584340277775</v>
      </c>
      <c r="AP137" s="86" t="str">
        <f>HYPERLINK("https://pbs.twimg.com/profile_banners/45343200/1623228758")</f>
        <v>https://pbs.twimg.com/profile_banners/45343200/1623228758</v>
      </c>
      <c r="AQ137" s="80" t="b">
        <v>0</v>
      </c>
      <c r="AR137" s="80" t="b">
        <v>0</v>
      </c>
      <c r="AS137" s="80" t="b">
        <v>1</v>
      </c>
      <c r="AT137" s="80"/>
      <c r="AU137" s="80">
        <v>59</v>
      </c>
      <c r="AV137" s="86" t="str">
        <f>HYPERLINK("https://abs.twimg.com/images/themes/theme16/bg.gif")</f>
        <v>https://abs.twimg.com/images/themes/theme16/bg.gif</v>
      </c>
      <c r="AW137" s="80" t="b">
        <v>0</v>
      </c>
      <c r="AX137" s="80" t="s">
        <v>2141</v>
      </c>
      <c r="AY137" s="86" t="str">
        <f>HYPERLINK("https://twitter.com/piapihlaja")</f>
        <v>https://twitter.com/piapihlaja</v>
      </c>
      <c r="AZ137" s="80" t="s">
        <v>66</v>
      </c>
      <c r="BA137" s="80" t="str">
        <f>REPLACE(INDEX(GroupVertices[Group],MATCH(Vertices[[#This Row],[Vertex]],GroupVertices[Vertex],0)),1,1,"")</f>
        <v>1</v>
      </c>
      <c r="BB137" s="49">
        <v>0</v>
      </c>
      <c r="BC137" s="50">
        <v>0</v>
      </c>
      <c r="BD137" s="49">
        <v>0</v>
      </c>
      <c r="BE137" s="50">
        <v>0</v>
      </c>
      <c r="BF137" s="49">
        <v>0</v>
      </c>
      <c r="BG137" s="50">
        <v>0</v>
      </c>
      <c r="BH137" s="49">
        <v>33</v>
      </c>
      <c r="BI137" s="50">
        <v>100</v>
      </c>
      <c r="BJ137" s="49">
        <v>33</v>
      </c>
      <c r="BK137" s="49" t="s">
        <v>3990</v>
      </c>
      <c r="BL137" s="49" t="s">
        <v>3990</v>
      </c>
      <c r="BM137" s="49" t="s">
        <v>582</v>
      </c>
      <c r="BN137" s="49" t="s">
        <v>582</v>
      </c>
      <c r="BO137" s="49"/>
      <c r="BP137" s="49"/>
      <c r="BQ137" s="116" t="s">
        <v>4267</v>
      </c>
      <c r="BR137" s="116" t="s">
        <v>4267</v>
      </c>
      <c r="BS137" s="116" t="s">
        <v>4346</v>
      </c>
      <c r="BT137" s="116" t="s">
        <v>4346</v>
      </c>
      <c r="BU137" s="2"/>
      <c r="BV137" s="3"/>
      <c r="BW137" s="3"/>
      <c r="BX137" s="3"/>
      <c r="BY137" s="3"/>
    </row>
    <row r="138" spans="1:77" ht="15">
      <c r="A138" s="65" t="s">
        <v>346</v>
      </c>
      <c r="B138" s="66"/>
      <c r="C138" s="66" t="s">
        <v>64</v>
      </c>
      <c r="D138" s="67"/>
      <c r="E138" s="69"/>
      <c r="F138" s="104" t="str">
        <f>HYPERLINK("https://pbs.twimg.com/profile_images/1496821341332332547/3U9VPMhf_normal.jpg")</f>
        <v>https://pbs.twimg.com/profile_images/1496821341332332547/3U9VPMhf_normal.jpg</v>
      </c>
      <c r="G138" s="66"/>
      <c r="H138" s="70" t="s">
        <v>346</v>
      </c>
      <c r="I138" s="71" t="s">
        <v>4405</v>
      </c>
      <c r="J138" s="71" t="s">
        <v>73</v>
      </c>
      <c r="K138" s="70" t="s">
        <v>2276</v>
      </c>
      <c r="L138" s="74">
        <v>1</v>
      </c>
      <c r="M138" s="75">
        <v>776.1856689453125</v>
      </c>
      <c r="N138" s="75">
        <v>3637.076904296875</v>
      </c>
      <c r="O138" s="76"/>
      <c r="P138" s="77"/>
      <c r="Q138" s="77"/>
      <c r="R138" s="90"/>
      <c r="S138" s="49">
        <v>0</v>
      </c>
      <c r="T138" s="49">
        <v>1</v>
      </c>
      <c r="U138" s="50">
        <v>0</v>
      </c>
      <c r="V138" s="50">
        <v>0.006545</v>
      </c>
      <c r="W138" s="50">
        <v>0</v>
      </c>
      <c r="X138" s="50">
        <v>0.003308</v>
      </c>
      <c r="Y138" s="50">
        <v>0</v>
      </c>
      <c r="Z138" s="50">
        <v>0</v>
      </c>
      <c r="AA138" s="72">
        <v>138</v>
      </c>
      <c r="AB138" s="72"/>
      <c r="AC138" s="73"/>
      <c r="AD138" s="80" t="s">
        <v>1369</v>
      </c>
      <c r="AE138" s="89" t="s">
        <v>1634</v>
      </c>
      <c r="AF138" s="80">
        <v>75</v>
      </c>
      <c r="AG138" s="80">
        <v>4</v>
      </c>
      <c r="AH138" s="80">
        <v>37</v>
      </c>
      <c r="AI138" s="80">
        <v>1108</v>
      </c>
      <c r="AJ138" s="80"/>
      <c r="AK138" s="80" t="s">
        <v>1894</v>
      </c>
      <c r="AL138" s="80" t="s">
        <v>1201</v>
      </c>
      <c r="AM138" s="80"/>
      <c r="AN138" s="80"/>
      <c r="AO138" s="82">
        <v>44616.511469907404</v>
      </c>
      <c r="AP138" s="80"/>
      <c r="AQ138" s="80" t="b">
        <v>1</v>
      </c>
      <c r="AR138" s="80" t="b">
        <v>0</v>
      </c>
      <c r="AS138" s="80" t="b">
        <v>0</v>
      </c>
      <c r="AT138" s="80"/>
      <c r="AU138" s="80">
        <v>0</v>
      </c>
      <c r="AV138" s="80"/>
      <c r="AW138" s="80" t="b">
        <v>0</v>
      </c>
      <c r="AX138" s="80" t="s">
        <v>2141</v>
      </c>
      <c r="AY138" s="86" t="str">
        <f>HYPERLINK("https://twitter.com/pasiyliuntinen")</f>
        <v>https://twitter.com/pasiyliuntinen</v>
      </c>
      <c r="AZ138" s="80" t="s">
        <v>66</v>
      </c>
      <c r="BA138" s="80" t="str">
        <f>REPLACE(INDEX(GroupVertices[Group],MATCH(Vertices[[#This Row],[Vertex]],GroupVertices[Vertex],0)),1,1,"")</f>
        <v>6</v>
      </c>
      <c r="BB138" s="49">
        <v>0</v>
      </c>
      <c r="BC138" s="50">
        <v>0</v>
      </c>
      <c r="BD138" s="49">
        <v>0</v>
      </c>
      <c r="BE138" s="50">
        <v>0</v>
      </c>
      <c r="BF138" s="49">
        <v>0</v>
      </c>
      <c r="BG138" s="50">
        <v>0</v>
      </c>
      <c r="BH138" s="49">
        <v>13</v>
      </c>
      <c r="BI138" s="50">
        <v>100</v>
      </c>
      <c r="BJ138" s="49">
        <v>13</v>
      </c>
      <c r="BK138" s="49"/>
      <c r="BL138" s="49"/>
      <c r="BM138" s="49"/>
      <c r="BN138" s="49"/>
      <c r="BO138" s="49"/>
      <c r="BP138" s="49"/>
      <c r="BQ138" s="116" t="s">
        <v>4275</v>
      </c>
      <c r="BR138" s="116" t="s">
        <v>4275</v>
      </c>
      <c r="BS138" s="116" t="s">
        <v>4353</v>
      </c>
      <c r="BT138" s="116" t="s">
        <v>4353</v>
      </c>
      <c r="BU138" s="2"/>
      <c r="BV138" s="3"/>
      <c r="BW138" s="3"/>
      <c r="BX138" s="3"/>
      <c r="BY138" s="3"/>
    </row>
    <row r="139" spans="1:77" ht="15">
      <c r="A139" s="65" t="s">
        <v>495</v>
      </c>
      <c r="B139" s="66"/>
      <c r="C139" s="66" t="s">
        <v>64</v>
      </c>
      <c r="D139" s="67">
        <v>685.7801325411256</v>
      </c>
      <c r="E139" s="69"/>
      <c r="F139" s="104" t="str">
        <f>HYPERLINK("https://pbs.twimg.com/profile_images/1178195296351903744/sRFXvAZI_normal.jpg")</f>
        <v>https://pbs.twimg.com/profile_images/1178195296351903744/sRFXvAZI_normal.jpg</v>
      </c>
      <c r="G139" s="66"/>
      <c r="H139" s="70" t="s">
        <v>495</v>
      </c>
      <c r="I139" s="71" t="s">
        <v>4405</v>
      </c>
      <c r="J139" s="71" t="s">
        <v>75</v>
      </c>
      <c r="K139" s="70" t="s">
        <v>2277</v>
      </c>
      <c r="L139" s="74">
        <v>295.05882352941177</v>
      </c>
      <c r="M139" s="75">
        <v>1633.8126220703125</v>
      </c>
      <c r="N139" s="75">
        <v>3637.076904296875</v>
      </c>
      <c r="O139" s="76"/>
      <c r="P139" s="77"/>
      <c r="Q139" s="77"/>
      <c r="R139" s="90"/>
      <c r="S139" s="49">
        <v>3</v>
      </c>
      <c r="T139" s="49">
        <v>0</v>
      </c>
      <c r="U139" s="50">
        <v>6</v>
      </c>
      <c r="V139" s="50">
        <v>0.010909</v>
      </c>
      <c r="W139" s="50">
        <v>0</v>
      </c>
      <c r="X139" s="50">
        <v>0.004568</v>
      </c>
      <c r="Y139" s="50">
        <v>0</v>
      </c>
      <c r="Z139" s="50">
        <v>0</v>
      </c>
      <c r="AA139" s="72">
        <v>139</v>
      </c>
      <c r="AB139" s="72"/>
      <c r="AC139" s="73"/>
      <c r="AD139" s="80" t="s">
        <v>1370</v>
      </c>
      <c r="AE139" s="89" t="s">
        <v>1169</v>
      </c>
      <c r="AF139" s="80">
        <v>1665</v>
      </c>
      <c r="AG139" s="80">
        <v>8418</v>
      </c>
      <c r="AH139" s="80">
        <v>17184</v>
      </c>
      <c r="AI139" s="80">
        <v>32998</v>
      </c>
      <c r="AJ139" s="80"/>
      <c r="AK139" s="80" t="s">
        <v>1895</v>
      </c>
      <c r="AL139" s="80" t="s">
        <v>2038</v>
      </c>
      <c r="AM139" s="86" t="str">
        <f>HYPERLINK("https://t.co/KVXpi4FsaN")</f>
        <v>https://t.co/KVXpi4FsaN</v>
      </c>
      <c r="AN139" s="80"/>
      <c r="AO139" s="82">
        <v>42909.581782407404</v>
      </c>
      <c r="AP139" s="86" t="str">
        <f>HYPERLINK("https://pbs.twimg.com/profile_banners/878250730523701249/1498226662")</f>
        <v>https://pbs.twimg.com/profile_banners/878250730523701249/1498226662</v>
      </c>
      <c r="AQ139" s="80" t="b">
        <v>1</v>
      </c>
      <c r="AR139" s="80" t="b">
        <v>0</v>
      </c>
      <c r="AS139" s="80" t="b">
        <v>1</v>
      </c>
      <c r="AT139" s="80"/>
      <c r="AU139" s="80">
        <v>24</v>
      </c>
      <c r="AV139" s="80"/>
      <c r="AW139" s="80" t="b">
        <v>0</v>
      </c>
      <c r="AX139" s="80" t="s">
        <v>2141</v>
      </c>
      <c r="AY139" s="86" t="str">
        <f>HYPERLINK("https://twitter.com/joni_jaakkola")</f>
        <v>https://twitter.com/joni_jaakkola</v>
      </c>
      <c r="AZ139" s="80" t="s">
        <v>65</v>
      </c>
      <c r="BA139" s="80" t="str">
        <f>REPLACE(INDEX(GroupVertices[Group],MATCH(Vertices[[#This Row],[Vertex]],GroupVertices[Vertex],0)),1,1,"")</f>
        <v>6</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347</v>
      </c>
      <c r="B140" s="66"/>
      <c r="C140" s="66" t="s">
        <v>64</v>
      </c>
      <c r="D140" s="67"/>
      <c r="E140" s="69"/>
      <c r="F140" s="104" t="str">
        <f>HYPERLINK("https://pbs.twimg.com/profile_images/1405234555166941184/tgp1gF2k_normal.jpg")</f>
        <v>https://pbs.twimg.com/profile_images/1405234555166941184/tgp1gF2k_normal.jpg</v>
      </c>
      <c r="G140" s="66"/>
      <c r="H140" s="70" t="s">
        <v>347</v>
      </c>
      <c r="I140" s="71" t="s">
        <v>4393</v>
      </c>
      <c r="J140" s="71" t="s">
        <v>73</v>
      </c>
      <c r="K140" s="70" t="s">
        <v>2278</v>
      </c>
      <c r="L140" s="74">
        <v>1</v>
      </c>
      <c r="M140" s="75">
        <v>5852.62646484375</v>
      </c>
      <c r="N140" s="75">
        <v>7982.9306640625</v>
      </c>
      <c r="O140" s="76"/>
      <c r="P140" s="77"/>
      <c r="Q140" s="77"/>
      <c r="R140" s="90"/>
      <c r="S140" s="49">
        <v>0</v>
      </c>
      <c r="T140" s="49">
        <v>1</v>
      </c>
      <c r="U140" s="50">
        <v>0</v>
      </c>
      <c r="V140" s="50">
        <v>0.239313</v>
      </c>
      <c r="W140" s="50">
        <v>0.067769</v>
      </c>
      <c r="X140" s="50">
        <v>0.003151</v>
      </c>
      <c r="Y140" s="50">
        <v>0</v>
      </c>
      <c r="Z140" s="50">
        <v>0</v>
      </c>
      <c r="AA140" s="72">
        <v>140</v>
      </c>
      <c r="AB140" s="72"/>
      <c r="AC140" s="73"/>
      <c r="AD140" s="80" t="s">
        <v>1371</v>
      </c>
      <c r="AE140" s="89" t="s">
        <v>1635</v>
      </c>
      <c r="AF140" s="80">
        <v>3444</v>
      </c>
      <c r="AG140" s="80">
        <v>56884</v>
      </c>
      <c r="AH140" s="80">
        <v>63901</v>
      </c>
      <c r="AI140" s="80">
        <v>71608</v>
      </c>
      <c r="AJ140" s="80"/>
      <c r="AK140" s="80" t="s">
        <v>1896</v>
      </c>
      <c r="AL140" s="80" t="s">
        <v>1201</v>
      </c>
      <c r="AM140" s="86" t="str">
        <f>HYPERLINK("https://t.co/eow0sfElIM")</f>
        <v>https://t.co/eow0sfElIM</v>
      </c>
      <c r="AN140" s="80"/>
      <c r="AO140" s="82">
        <v>41077.67270833333</v>
      </c>
      <c r="AP140" s="86" t="str">
        <f>HYPERLINK("https://pbs.twimg.com/profile_banners/611004027/1623869039")</f>
        <v>https://pbs.twimg.com/profile_banners/611004027/1623869039</v>
      </c>
      <c r="AQ140" s="80" t="b">
        <v>0</v>
      </c>
      <c r="AR140" s="80" t="b">
        <v>0</v>
      </c>
      <c r="AS140" s="80" t="b">
        <v>1</v>
      </c>
      <c r="AT140" s="80"/>
      <c r="AU140" s="80">
        <v>204</v>
      </c>
      <c r="AV140" s="86" t="str">
        <f>HYPERLINK("https://abs.twimg.com/images/themes/theme1/bg.png")</f>
        <v>https://abs.twimg.com/images/themes/theme1/bg.png</v>
      </c>
      <c r="AW140" s="80" t="b">
        <v>0</v>
      </c>
      <c r="AX140" s="80" t="s">
        <v>2141</v>
      </c>
      <c r="AY140" s="86" t="str">
        <f>HYPERLINK("https://twitter.com/svuorikoski")</f>
        <v>https://twitter.com/svuorikoski</v>
      </c>
      <c r="AZ140" s="80" t="s">
        <v>66</v>
      </c>
      <c r="BA140" s="80" t="str">
        <f>REPLACE(INDEX(GroupVertices[Group],MATCH(Vertices[[#This Row],[Vertex]],GroupVertices[Vertex],0)),1,1,"")</f>
        <v>1</v>
      </c>
      <c r="BB140" s="49">
        <v>0</v>
      </c>
      <c r="BC140" s="50">
        <v>0</v>
      </c>
      <c r="BD140" s="49">
        <v>0</v>
      </c>
      <c r="BE140" s="50">
        <v>0</v>
      </c>
      <c r="BF140" s="49">
        <v>0</v>
      </c>
      <c r="BG140" s="50">
        <v>0</v>
      </c>
      <c r="BH140" s="49">
        <v>33</v>
      </c>
      <c r="BI140" s="50">
        <v>100</v>
      </c>
      <c r="BJ140" s="49">
        <v>33</v>
      </c>
      <c r="BK140" s="49" t="s">
        <v>3990</v>
      </c>
      <c r="BL140" s="49" t="s">
        <v>3990</v>
      </c>
      <c r="BM140" s="49" t="s">
        <v>582</v>
      </c>
      <c r="BN140" s="49" t="s">
        <v>582</v>
      </c>
      <c r="BO140" s="49"/>
      <c r="BP140" s="49"/>
      <c r="BQ140" s="116" t="s">
        <v>4267</v>
      </c>
      <c r="BR140" s="116" t="s">
        <v>4267</v>
      </c>
      <c r="BS140" s="116" t="s">
        <v>4346</v>
      </c>
      <c r="BT140" s="116" t="s">
        <v>4346</v>
      </c>
      <c r="BU140" s="2"/>
      <c r="BV140" s="3"/>
      <c r="BW140" s="3"/>
      <c r="BX140" s="3"/>
      <c r="BY140" s="3"/>
    </row>
    <row r="141" spans="1:77" ht="15">
      <c r="A141" s="65" t="s">
        <v>348</v>
      </c>
      <c r="B141" s="66"/>
      <c r="C141" s="66" t="s">
        <v>64</v>
      </c>
      <c r="D141" s="67"/>
      <c r="E141" s="69"/>
      <c r="F141" s="104" t="str">
        <f>HYPERLINK("https://pbs.twimg.com/profile_images/3357757241/b4b11b66cf67979d5026f306388366d1_normal.jpeg")</f>
        <v>https://pbs.twimg.com/profile_images/3357757241/b4b11b66cf67979d5026f306388366d1_normal.jpeg</v>
      </c>
      <c r="G141" s="66"/>
      <c r="H141" s="70" t="s">
        <v>348</v>
      </c>
      <c r="I141" s="71" t="s">
        <v>4393</v>
      </c>
      <c r="J141" s="71" t="s">
        <v>73</v>
      </c>
      <c r="K141" s="70" t="s">
        <v>2279</v>
      </c>
      <c r="L141" s="74">
        <v>1</v>
      </c>
      <c r="M141" s="75">
        <v>2975.454833984375</v>
      </c>
      <c r="N141" s="75">
        <v>6047.2021484375</v>
      </c>
      <c r="O141" s="76"/>
      <c r="P141" s="77"/>
      <c r="Q141" s="77"/>
      <c r="R141" s="90"/>
      <c r="S141" s="49">
        <v>0</v>
      </c>
      <c r="T141" s="49">
        <v>1</v>
      </c>
      <c r="U141" s="50">
        <v>0</v>
      </c>
      <c r="V141" s="50">
        <v>0.239313</v>
      </c>
      <c r="W141" s="50">
        <v>0.067769</v>
      </c>
      <c r="X141" s="50">
        <v>0.003151</v>
      </c>
      <c r="Y141" s="50">
        <v>0</v>
      </c>
      <c r="Z141" s="50">
        <v>0</v>
      </c>
      <c r="AA141" s="72">
        <v>141</v>
      </c>
      <c r="AB141" s="72"/>
      <c r="AC141" s="73"/>
      <c r="AD141" s="80" t="s">
        <v>1372</v>
      </c>
      <c r="AE141" s="89" t="s">
        <v>1636</v>
      </c>
      <c r="AF141" s="80">
        <v>1176</v>
      </c>
      <c r="AG141" s="80">
        <v>3179</v>
      </c>
      <c r="AH141" s="80">
        <v>73156</v>
      </c>
      <c r="AI141" s="80">
        <v>11284</v>
      </c>
      <c r="AJ141" s="80"/>
      <c r="AK141" s="80" t="s">
        <v>1897</v>
      </c>
      <c r="AL141" s="80"/>
      <c r="AM141" s="80"/>
      <c r="AN141" s="80"/>
      <c r="AO141" s="82">
        <v>41038.75809027778</v>
      </c>
      <c r="AP141" s="86" t="str">
        <f>HYPERLINK("https://pbs.twimg.com/profile_banners/575562464/1487072138")</f>
        <v>https://pbs.twimg.com/profile_banners/575562464/1487072138</v>
      </c>
      <c r="AQ141" s="80" t="b">
        <v>0</v>
      </c>
      <c r="AR141" s="80" t="b">
        <v>0</v>
      </c>
      <c r="AS141" s="80" t="b">
        <v>0</v>
      </c>
      <c r="AT141" s="80"/>
      <c r="AU141" s="80">
        <v>51</v>
      </c>
      <c r="AV141" s="86" t="str">
        <f>HYPERLINK("https://abs.twimg.com/images/themes/theme15/bg.png")</f>
        <v>https://abs.twimg.com/images/themes/theme15/bg.png</v>
      </c>
      <c r="AW141" s="80" t="b">
        <v>0</v>
      </c>
      <c r="AX141" s="80" t="s">
        <v>2141</v>
      </c>
      <c r="AY141" s="86" t="str">
        <f>HYPERLINK("https://twitter.com/anttiparnanen")</f>
        <v>https://twitter.com/anttiparnanen</v>
      </c>
      <c r="AZ141" s="80" t="s">
        <v>66</v>
      </c>
      <c r="BA141" s="80" t="str">
        <f>REPLACE(INDEX(GroupVertices[Group],MATCH(Vertices[[#This Row],[Vertex]],GroupVertices[Vertex],0)),1,1,"")</f>
        <v>1</v>
      </c>
      <c r="BB141" s="49">
        <v>0</v>
      </c>
      <c r="BC141" s="50">
        <v>0</v>
      </c>
      <c r="BD141" s="49">
        <v>0</v>
      </c>
      <c r="BE141" s="50">
        <v>0</v>
      </c>
      <c r="BF141" s="49">
        <v>0</v>
      </c>
      <c r="BG141" s="50">
        <v>0</v>
      </c>
      <c r="BH141" s="49">
        <v>33</v>
      </c>
      <c r="BI141" s="50">
        <v>100</v>
      </c>
      <c r="BJ141" s="49">
        <v>33</v>
      </c>
      <c r="BK141" s="49" t="s">
        <v>3990</v>
      </c>
      <c r="BL141" s="49" t="s">
        <v>3990</v>
      </c>
      <c r="BM141" s="49" t="s">
        <v>582</v>
      </c>
      <c r="BN141" s="49" t="s">
        <v>582</v>
      </c>
      <c r="BO141" s="49"/>
      <c r="BP141" s="49"/>
      <c r="BQ141" s="116" t="s">
        <v>4267</v>
      </c>
      <c r="BR141" s="116" t="s">
        <v>4267</v>
      </c>
      <c r="BS141" s="116" t="s">
        <v>4346</v>
      </c>
      <c r="BT141" s="116" t="s">
        <v>4346</v>
      </c>
      <c r="BU141" s="2"/>
      <c r="BV141" s="3"/>
      <c r="BW141" s="3"/>
      <c r="BX141" s="3"/>
      <c r="BY141" s="3"/>
    </row>
    <row r="142" spans="1:77" ht="15">
      <c r="A142" s="65" t="s">
        <v>349</v>
      </c>
      <c r="B142" s="66"/>
      <c r="C142" s="66" t="s">
        <v>64</v>
      </c>
      <c r="D142" s="67"/>
      <c r="E142" s="69"/>
      <c r="F142" s="104" t="str">
        <f>HYPERLINK("https://pbs.twimg.com/profile_images/1407968666797359112/rbNeR-ia_normal.jpg")</f>
        <v>https://pbs.twimg.com/profile_images/1407968666797359112/rbNeR-ia_normal.jpg</v>
      </c>
      <c r="G142" s="66"/>
      <c r="H142" s="70" t="s">
        <v>349</v>
      </c>
      <c r="I142" s="71" t="s">
        <v>4406</v>
      </c>
      <c r="J142" s="71" t="s">
        <v>73</v>
      </c>
      <c r="K142" s="70" t="s">
        <v>2280</v>
      </c>
      <c r="L142" s="74">
        <v>1</v>
      </c>
      <c r="M142" s="75">
        <v>8322.306640625</v>
      </c>
      <c r="N142" s="75">
        <v>4501.91943359375</v>
      </c>
      <c r="O142" s="76"/>
      <c r="P142" s="77"/>
      <c r="Q142" s="77"/>
      <c r="R142" s="90"/>
      <c r="S142" s="49">
        <v>0</v>
      </c>
      <c r="T142" s="49">
        <v>1</v>
      </c>
      <c r="U142" s="50">
        <v>0</v>
      </c>
      <c r="V142" s="50">
        <v>0.003636</v>
      </c>
      <c r="W142" s="50">
        <v>0</v>
      </c>
      <c r="X142" s="50">
        <v>0.003623</v>
      </c>
      <c r="Y142" s="50">
        <v>0</v>
      </c>
      <c r="Z142" s="50">
        <v>0</v>
      </c>
      <c r="AA142" s="72">
        <v>142</v>
      </c>
      <c r="AB142" s="72"/>
      <c r="AC142" s="73"/>
      <c r="AD142" s="80" t="s">
        <v>1373</v>
      </c>
      <c r="AE142" s="89" t="s">
        <v>1637</v>
      </c>
      <c r="AF142" s="80">
        <v>639</v>
      </c>
      <c r="AG142" s="80">
        <v>824</v>
      </c>
      <c r="AH142" s="80">
        <v>3261</v>
      </c>
      <c r="AI142" s="80">
        <v>10571</v>
      </c>
      <c r="AJ142" s="80"/>
      <c r="AK142" s="80" t="s">
        <v>1898</v>
      </c>
      <c r="AL142" s="80" t="s">
        <v>2038</v>
      </c>
      <c r="AM142" s="86" t="str">
        <f>HYPERLINK("https://t.co/l2VsKRh7by")</f>
        <v>https://t.co/l2VsKRh7by</v>
      </c>
      <c r="AN142" s="80"/>
      <c r="AO142" s="82">
        <v>39074.55025462963</v>
      </c>
      <c r="AP142" s="86" t="str">
        <f>HYPERLINK("https://pbs.twimg.com/profile_banners/195703/1624520865")</f>
        <v>https://pbs.twimg.com/profile_banners/195703/1624520865</v>
      </c>
      <c r="AQ142" s="80" t="b">
        <v>0</v>
      </c>
      <c r="AR142" s="80" t="b">
        <v>0</v>
      </c>
      <c r="AS142" s="80" t="b">
        <v>1</v>
      </c>
      <c r="AT142" s="80"/>
      <c r="AU142" s="80">
        <v>29</v>
      </c>
      <c r="AV142" s="86" t="str">
        <f>HYPERLINK("https://abs.twimg.com/images/themes/theme1/bg.png")</f>
        <v>https://abs.twimg.com/images/themes/theme1/bg.png</v>
      </c>
      <c r="AW142" s="80" t="b">
        <v>0</v>
      </c>
      <c r="AX142" s="80" t="s">
        <v>2141</v>
      </c>
      <c r="AY142" s="86" t="str">
        <f>HYPERLINK("https://twitter.com/panu")</f>
        <v>https://twitter.com/panu</v>
      </c>
      <c r="AZ142" s="80" t="s">
        <v>66</v>
      </c>
      <c r="BA142" s="80" t="str">
        <f>REPLACE(INDEX(GroupVertices[Group],MATCH(Vertices[[#This Row],[Vertex]],GroupVertices[Vertex],0)),1,1,"")</f>
        <v>14</v>
      </c>
      <c r="BB142" s="49">
        <v>0</v>
      </c>
      <c r="BC142" s="50">
        <v>0</v>
      </c>
      <c r="BD142" s="49">
        <v>0</v>
      </c>
      <c r="BE142" s="50">
        <v>0</v>
      </c>
      <c r="BF142" s="49">
        <v>0</v>
      </c>
      <c r="BG142" s="50">
        <v>0</v>
      </c>
      <c r="BH142" s="49">
        <v>6</v>
      </c>
      <c r="BI142" s="50">
        <v>100</v>
      </c>
      <c r="BJ142" s="49">
        <v>6</v>
      </c>
      <c r="BK142" s="49"/>
      <c r="BL142" s="49"/>
      <c r="BM142" s="49"/>
      <c r="BN142" s="49"/>
      <c r="BO142" s="49"/>
      <c r="BP142" s="49"/>
      <c r="BQ142" s="116" t="s">
        <v>4276</v>
      </c>
      <c r="BR142" s="116" t="s">
        <v>4276</v>
      </c>
      <c r="BS142" s="116" t="s">
        <v>4354</v>
      </c>
      <c r="BT142" s="116" t="s">
        <v>4354</v>
      </c>
      <c r="BU142" s="2"/>
      <c r="BV142" s="3"/>
      <c r="BW142" s="3"/>
      <c r="BX142" s="3"/>
      <c r="BY142" s="3"/>
    </row>
    <row r="143" spans="1:77" ht="15">
      <c r="A143" s="65" t="s">
        <v>496</v>
      </c>
      <c r="B143" s="66"/>
      <c r="C143" s="66" t="s">
        <v>64</v>
      </c>
      <c r="D143" s="67">
        <v>10</v>
      </c>
      <c r="E143" s="69"/>
      <c r="F143" s="104" t="str">
        <f>HYPERLINK("https://pbs.twimg.com/profile_images/1428008668243578882/7wpDFxsR_normal.jpg")</f>
        <v>https://pbs.twimg.com/profile_images/1428008668243578882/7wpDFxsR_normal.jpg</v>
      </c>
      <c r="G143" s="66"/>
      <c r="H143" s="70" t="s">
        <v>496</v>
      </c>
      <c r="I143" s="71" t="s">
        <v>4406</v>
      </c>
      <c r="J143" s="71" t="s">
        <v>75</v>
      </c>
      <c r="K143" s="70" t="s">
        <v>2281</v>
      </c>
      <c r="L143" s="74">
        <v>99.01960784313725</v>
      </c>
      <c r="M143" s="75">
        <v>8665.357421875</v>
      </c>
      <c r="N143" s="75">
        <v>4501.91943359375</v>
      </c>
      <c r="O143" s="76"/>
      <c r="P143" s="77"/>
      <c r="Q143" s="77"/>
      <c r="R143" s="90"/>
      <c r="S143" s="49">
        <v>1</v>
      </c>
      <c r="T143" s="49">
        <v>0</v>
      </c>
      <c r="U143" s="50">
        <v>0</v>
      </c>
      <c r="V143" s="50">
        <v>0.003636</v>
      </c>
      <c r="W143" s="50">
        <v>0</v>
      </c>
      <c r="X143" s="50">
        <v>0.003623</v>
      </c>
      <c r="Y143" s="50">
        <v>0</v>
      </c>
      <c r="Z143" s="50">
        <v>0</v>
      </c>
      <c r="AA143" s="72">
        <v>143</v>
      </c>
      <c r="AB143" s="72"/>
      <c r="AC143" s="73"/>
      <c r="AD143" s="80" t="s">
        <v>1374</v>
      </c>
      <c r="AE143" s="89" t="s">
        <v>1170</v>
      </c>
      <c r="AF143" s="80">
        <v>3719</v>
      </c>
      <c r="AG143" s="80">
        <v>11769</v>
      </c>
      <c r="AH143" s="80">
        <v>95536</v>
      </c>
      <c r="AI143" s="80">
        <v>187826</v>
      </c>
      <c r="AJ143" s="80"/>
      <c r="AK143" s="80" t="s">
        <v>1899</v>
      </c>
      <c r="AL143" s="80" t="s">
        <v>2093</v>
      </c>
      <c r="AM143" s="86" t="str">
        <f>HYPERLINK("https://t.co/aXOyUu1Na2")</f>
        <v>https://t.co/aXOyUu1Na2</v>
      </c>
      <c r="AN143" s="80"/>
      <c r="AO143" s="82">
        <v>41278.70398148148</v>
      </c>
      <c r="AP143" s="86" t="str">
        <f>HYPERLINK("https://pbs.twimg.com/profile_banners/1060905860/1570519195")</f>
        <v>https://pbs.twimg.com/profile_banners/1060905860/1570519195</v>
      </c>
      <c r="AQ143" s="80" t="b">
        <v>0</v>
      </c>
      <c r="AR143" s="80" t="b">
        <v>0</v>
      </c>
      <c r="AS143" s="80" t="b">
        <v>0</v>
      </c>
      <c r="AT143" s="80"/>
      <c r="AU143" s="80">
        <v>30</v>
      </c>
      <c r="AV143" s="86" t="str">
        <f>HYPERLINK("https://abs.twimg.com/images/themes/theme1/bg.png")</f>
        <v>https://abs.twimg.com/images/themes/theme1/bg.png</v>
      </c>
      <c r="AW143" s="80" t="b">
        <v>0</v>
      </c>
      <c r="AX143" s="80" t="s">
        <v>2141</v>
      </c>
      <c r="AY143" s="86" t="str">
        <f>HYPERLINK("https://twitter.com/masasaarnela")</f>
        <v>https://twitter.com/masasaarnela</v>
      </c>
      <c r="AZ143" s="80" t="s">
        <v>65</v>
      </c>
      <c r="BA143" s="80" t="str">
        <f>REPLACE(INDEX(GroupVertices[Group],MATCH(Vertices[[#This Row],[Vertex]],GroupVertices[Vertex],0)),1,1,"")</f>
        <v>14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5" t="s">
        <v>350</v>
      </c>
      <c r="B144" s="66"/>
      <c r="C144" s="66" t="s">
        <v>64</v>
      </c>
      <c r="D144" s="67"/>
      <c r="E144" s="69"/>
      <c r="F144" s="104" t="str">
        <f>HYPERLINK("https://pbs.twimg.com/profile_images/677572305619443712/Eb1xCDCt_normal.jpg")</f>
        <v>https://pbs.twimg.com/profile_images/677572305619443712/Eb1xCDCt_normal.jpg</v>
      </c>
      <c r="G144" s="66"/>
      <c r="H144" s="70" t="s">
        <v>350</v>
      </c>
      <c r="I144" s="71" t="s">
        <v>4393</v>
      </c>
      <c r="J144" s="71" t="s">
        <v>73</v>
      </c>
      <c r="K144" s="70" t="s">
        <v>2282</v>
      </c>
      <c r="L144" s="74">
        <v>1</v>
      </c>
      <c r="M144" s="75">
        <v>5213.11083984375</v>
      </c>
      <c r="N144" s="75">
        <v>5593.22216796875</v>
      </c>
      <c r="O144" s="76"/>
      <c r="P144" s="77"/>
      <c r="Q144" s="77"/>
      <c r="R144" s="90"/>
      <c r="S144" s="49">
        <v>0</v>
      </c>
      <c r="T144" s="49">
        <v>1</v>
      </c>
      <c r="U144" s="50">
        <v>0</v>
      </c>
      <c r="V144" s="50">
        <v>0.239313</v>
      </c>
      <c r="W144" s="50">
        <v>0.067769</v>
      </c>
      <c r="X144" s="50">
        <v>0.003151</v>
      </c>
      <c r="Y144" s="50">
        <v>0</v>
      </c>
      <c r="Z144" s="50">
        <v>0</v>
      </c>
      <c r="AA144" s="72">
        <v>144</v>
      </c>
      <c r="AB144" s="72"/>
      <c r="AC144" s="73"/>
      <c r="AD144" s="80" t="s">
        <v>1375</v>
      </c>
      <c r="AE144" s="89" t="s">
        <v>1638</v>
      </c>
      <c r="AF144" s="80">
        <v>2580</v>
      </c>
      <c r="AG144" s="80">
        <v>3606</v>
      </c>
      <c r="AH144" s="80">
        <v>108728</v>
      </c>
      <c r="AI144" s="80">
        <v>209336</v>
      </c>
      <c r="AJ144" s="80"/>
      <c r="AK144" s="80" t="s">
        <v>1900</v>
      </c>
      <c r="AL144" s="80" t="s">
        <v>2039</v>
      </c>
      <c r="AM144" s="80"/>
      <c r="AN144" s="80"/>
      <c r="AO144" s="82">
        <v>39855.852372685185</v>
      </c>
      <c r="AP144" s="86" t="str">
        <f>HYPERLINK("https://pbs.twimg.com/profile_banners/20624036/1401355044")</f>
        <v>https://pbs.twimg.com/profile_banners/20624036/1401355044</v>
      </c>
      <c r="AQ144" s="80" t="b">
        <v>0</v>
      </c>
      <c r="AR144" s="80" t="b">
        <v>0</v>
      </c>
      <c r="AS144" s="80" t="b">
        <v>1</v>
      </c>
      <c r="AT144" s="80"/>
      <c r="AU144" s="80">
        <v>151</v>
      </c>
      <c r="AV144" s="86" t="str">
        <f>HYPERLINK("https://abs.twimg.com/images/themes/theme14/bg.gif")</f>
        <v>https://abs.twimg.com/images/themes/theme14/bg.gif</v>
      </c>
      <c r="AW144" s="80" t="b">
        <v>0</v>
      </c>
      <c r="AX144" s="80" t="s">
        <v>2141</v>
      </c>
      <c r="AY144" s="86" t="str">
        <f>HYPERLINK("https://twitter.com/joonaslinkola")</f>
        <v>https://twitter.com/joonaslinkola</v>
      </c>
      <c r="AZ144" s="80" t="s">
        <v>66</v>
      </c>
      <c r="BA144" s="80" t="str">
        <f>REPLACE(INDEX(GroupVertices[Group],MATCH(Vertices[[#This Row],[Vertex]],GroupVertices[Vertex],0)),1,1,"")</f>
        <v>1</v>
      </c>
      <c r="BB144" s="49">
        <v>0</v>
      </c>
      <c r="BC144" s="50">
        <v>0</v>
      </c>
      <c r="BD144" s="49">
        <v>0</v>
      </c>
      <c r="BE144" s="50">
        <v>0</v>
      </c>
      <c r="BF144" s="49">
        <v>0</v>
      </c>
      <c r="BG144" s="50">
        <v>0</v>
      </c>
      <c r="BH144" s="49">
        <v>33</v>
      </c>
      <c r="BI144" s="50">
        <v>100</v>
      </c>
      <c r="BJ144" s="49">
        <v>33</v>
      </c>
      <c r="BK144" s="49" t="s">
        <v>3990</v>
      </c>
      <c r="BL144" s="49" t="s">
        <v>3990</v>
      </c>
      <c r="BM144" s="49" t="s">
        <v>582</v>
      </c>
      <c r="BN144" s="49" t="s">
        <v>582</v>
      </c>
      <c r="BO144" s="49"/>
      <c r="BP144" s="49"/>
      <c r="BQ144" s="116" t="s">
        <v>4267</v>
      </c>
      <c r="BR144" s="116" t="s">
        <v>4267</v>
      </c>
      <c r="BS144" s="116" t="s">
        <v>4346</v>
      </c>
      <c r="BT144" s="116" t="s">
        <v>4346</v>
      </c>
      <c r="BU144" s="2"/>
      <c r="BV144" s="3"/>
      <c r="BW144" s="3"/>
      <c r="BX144" s="3"/>
      <c r="BY144" s="3"/>
    </row>
    <row r="145" spans="1:77" ht="15">
      <c r="A145" s="65" t="s">
        <v>352</v>
      </c>
      <c r="B145" s="66"/>
      <c r="C145" s="66" t="s">
        <v>64</v>
      </c>
      <c r="D145" s="67"/>
      <c r="E145" s="69"/>
      <c r="F145" s="104" t="str">
        <f>HYPERLINK("https://pbs.twimg.com/profile_images/1480521801910435845/8YpYq6ww_normal.jpg")</f>
        <v>https://pbs.twimg.com/profile_images/1480521801910435845/8YpYq6ww_normal.jpg</v>
      </c>
      <c r="G145" s="66"/>
      <c r="H145" s="70" t="s">
        <v>352</v>
      </c>
      <c r="I145" s="71" t="s">
        <v>4401</v>
      </c>
      <c r="J145" s="71" t="s">
        <v>73</v>
      </c>
      <c r="K145" s="70" t="s">
        <v>2283</v>
      </c>
      <c r="L145" s="74">
        <v>1</v>
      </c>
      <c r="M145" s="75">
        <v>8969.2197265625</v>
      </c>
      <c r="N145" s="75">
        <v>9762.056640625</v>
      </c>
      <c r="O145" s="76"/>
      <c r="P145" s="77"/>
      <c r="Q145" s="77"/>
      <c r="R145" s="90"/>
      <c r="S145" s="49">
        <v>0</v>
      </c>
      <c r="T145" s="49">
        <v>1</v>
      </c>
      <c r="U145" s="50">
        <v>0</v>
      </c>
      <c r="V145" s="50">
        <v>0.008312</v>
      </c>
      <c r="W145" s="50">
        <v>0</v>
      </c>
      <c r="X145" s="50">
        <v>0.003235</v>
      </c>
      <c r="Y145" s="50">
        <v>0</v>
      </c>
      <c r="Z145" s="50">
        <v>0</v>
      </c>
      <c r="AA145" s="72">
        <v>145</v>
      </c>
      <c r="AB145" s="72"/>
      <c r="AC145" s="73"/>
      <c r="AD145" s="80" t="s">
        <v>1376</v>
      </c>
      <c r="AE145" s="89" t="s">
        <v>1639</v>
      </c>
      <c r="AF145" s="80">
        <v>402</v>
      </c>
      <c r="AG145" s="80">
        <v>433</v>
      </c>
      <c r="AH145" s="80">
        <v>56308</v>
      </c>
      <c r="AI145" s="80">
        <v>6351</v>
      </c>
      <c r="AJ145" s="80"/>
      <c r="AK145" s="80" t="s">
        <v>1901</v>
      </c>
      <c r="AL145" s="80"/>
      <c r="AM145" s="86" t="str">
        <f>HYPERLINK("https://t.co/pBVMSn10qX")</f>
        <v>https://t.co/pBVMSn10qX</v>
      </c>
      <c r="AN145" s="80"/>
      <c r="AO145" s="82">
        <v>40985.735034722224</v>
      </c>
      <c r="AP145" s="86" t="str">
        <f>HYPERLINK("https://pbs.twimg.com/profile_banners/527673137/1412233771")</f>
        <v>https://pbs.twimg.com/profile_banners/527673137/1412233771</v>
      </c>
      <c r="AQ145" s="80" t="b">
        <v>0</v>
      </c>
      <c r="AR145" s="80" t="b">
        <v>0</v>
      </c>
      <c r="AS145" s="80" t="b">
        <v>1</v>
      </c>
      <c r="AT145" s="80"/>
      <c r="AU145" s="80">
        <v>9</v>
      </c>
      <c r="AV145" s="86" t="str">
        <f>HYPERLINK("https://abs.twimg.com/images/themes/theme10/bg.gif")</f>
        <v>https://abs.twimg.com/images/themes/theme10/bg.gif</v>
      </c>
      <c r="AW145" s="80" t="b">
        <v>0</v>
      </c>
      <c r="AX145" s="80" t="s">
        <v>2141</v>
      </c>
      <c r="AY145" s="86" t="str">
        <f>HYPERLINK("https://twitter.com/nnancycos")</f>
        <v>https://twitter.com/nnancycos</v>
      </c>
      <c r="AZ145" s="80" t="s">
        <v>66</v>
      </c>
      <c r="BA145" s="80" t="str">
        <f>REPLACE(INDEX(GroupVertices[Group],MATCH(Vertices[[#This Row],[Vertex]],GroupVertices[Vertex],0)),1,1,"")</f>
        <v>5</v>
      </c>
      <c r="BB145" s="49">
        <v>0</v>
      </c>
      <c r="BC145" s="50">
        <v>0</v>
      </c>
      <c r="BD145" s="49">
        <v>0</v>
      </c>
      <c r="BE145" s="50">
        <v>0</v>
      </c>
      <c r="BF145" s="49">
        <v>0</v>
      </c>
      <c r="BG145" s="50">
        <v>0</v>
      </c>
      <c r="BH145" s="49">
        <v>16</v>
      </c>
      <c r="BI145" s="50">
        <v>100</v>
      </c>
      <c r="BJ145" s="49">
        <v>16</v>
      </c>
      <c r="BK145" s="49" t="s">
        <v>3990</v>
      </c>
      <c r="BL145" s="49" t="s">
        <v>3990</v>
      </c>
      <c r="BM145" s="49" t="s">
        <v>582</v>
      </c>
      <c r="BN145" s="49" t="s">
        <v>582</v>
      </c>
      <c r="BO145" s="49"/>
      <c r="BP145" s="49"/>
      <c r="BQ145" s="116" t="s">
        <v>4257</v>
      </c>
      <c r="BR145" s="116" t="s">
        <v>4257</v>
      </c>
      <c r="BS145" s="116" t="s">
        <v>4158</v>
      </c>
      <c r="BT145" s="116" t="s">
        <v>4158</v>
      </c>
      <c r="BU145" s="2"/>
      <c r="BV145" s="3"/>
      <c r="BW145" s="3"/>
      <c r="BX145" s="3"/>
      <c r="BY145" s="3"/>
    </row>
    <row r="146" spans="1:77" ht="15">
      <c r="A146" s="65" t="s">
        <v>353</v>
      </c>
      <c r="B146" s="66"/>
      <c r="C146" s="66" t="s">
        <v>64</v>
      </c>
      <c r="D146" s="67"/>
      <c r="E146" s="69"/>
      <c r="F146" s="104" t="str">
        <f>HYPERLINK("https://pbs.twimg.com/profile_images/1251844279355531271/1EpKQDcb_normal.jpg")</f>
        <v>https://pbs.twimg.com/profile_images/1251844279355531271/1EpKQDcb_normal.jpg</v>
      </c>
      <c r="G146" s="66"/>
      <c r="H146" s="70" t="s">
        <v>353</v>
      </c>
      <c r="I146" s="71" t="s">
        <v>4405</v>
      </c>
      <c r="J146" s="71" t="s">
        <v>73</v>
      </c>
      <c r="K146" s="70" t="s">
        <v>2284</v>
      </c>
      <c r="L146" s="74">
        <v>1</v>
      </c>
      <c r="M146" s="75">
        <v>347.3721618652344</v>
      </c>
      <c r="N146" s="75">
        <v>3637.076904296875</v>
      </c>
      <c r="O146" s="76"/>
      <c r="P146" s="77"/>
      <c r="Q146" s="77"/>
      <c r="R146" s="90"/>
      <c r="S146" s="49">
        <v>0</v>
      </c>
      <c r="T146" s="49">
        <v>1</v>
      </c>
      <c r="U146" s="50">
        <v>0</v>
      </c>
      <c r="V146" s="50">
        <v>0.006545</v>
      </c>
      <c r="W146" s="50">
        <v>0</v>
      </c>
      <c r="X146" s="50">
        <v>0.003308</v>
      </c>
      <c r="Y146" s="50">
        <v>0</v>
      </c>
      <c r="Z146" s="50">
        <v>0</v>
      </c>
      <c r="AA146" s="72">
        <v>146</v>
      </c>
      <c r="AB146" s="72"/>
      <c r="AC146" s="73"/>
      <c r="AD146" s="80" t="s">
        <v>1377</v>
      </c>
      <c r="AE146" s="89" t="s">
        <v>1640</v>
      </c>
      <c r="AF146" s="80">
        <v>230</v>
      </c>
      <c r="AG146" s="80">
        <v>46</v>
      </c>
      <c r="AH146" s="80">
        <v>636</v>
      </c>
      <c r="AI146" s="80">
        <v>5682</v>
      </c>
      <c r="AJ146" s="80"/>
      <c r="AK146" s="80" t="s">
        <v>1902</v>
      </c>
      <c r="AL146" s="80" t="s">
        <v>2094</v>
      </c>
      <c r="AM146" s="80"/>
      <c r="AN146" s="80"/>
      <c r="AO146" s="82">
        <v>41024.70575231482</v>
      </c>
      <c r="AP146" s="86" t="str">
        <f>HYPERLINK("https://pbs.twimg.com/profile_banners/563112330/1607245359")</f>
        <v>https://pbs.twimg.com/profile_banners/563112330/1607245359</v>
      </c>
      <c r="AQ146" s="80" t="b">
        <v>1</v>
      </c>
      <c r="AR146" s="80" t="b">
        <v>0</v>
      </c>
      <c r="AS146" s="80" t="b">
        <v>1</v>
      </c>
      <c r="AT146" s="80"/>
      <c r="AU146" s="80">
        <v>0</v>
      </c>
      <c r="AV146" s="86" t="str">
        <f>HYPERLINK("https://abs.twimg.com/images/themes/theme1/bg.png")</f>
        <v>https://abs.twimg.com/images/themes/theme1/bg.png</v>
      </c>
      <c r="AW146" s="80" t="b">
        <v>0</v>
      </c>
      <c r="AX146" s="80" t="s">
        <v>2141</v>
      </c>
      <c r="AY146" s="86" t="str">
        <f>HYPERLINK("https://twitter.com/kanerva_mari")</f>
        <v>https://twitter.com/kanerva_mari</v>
      </c>
      <c r="AZ146" s="80" t="s">
        <v>66</v>
      </c>
      <c r="BA146" s="80" t="str">
        <f>REPLACE(INDEX(GroupVertices[Group],MATCH(Vertices[[#This Row],[Vertex]],GroupVertices[Vertex],0)),1,1,"")</f>
        <v>6</v>
      </c>
      <c r="BB146" s="49">
        <v>0</v>
      </c>
      <c r="BC146" s="50">
        <v>0</v>
      </c>
      <c r="BD146" s="49">
        <v>0</v>
      </c>
      <c r="BE146" s="50">
        <v>0</v>
      </c>
      <c r="BF146" s="49">
        <v>0</v>
      </c>
      <c r="BG146" s="50">
        <v>0</v>
      </c>
      <c r="BH146" s="49">
        <v>10</v>
      </c>
      <c r="BI146" s="50">
        <v>100</v>
      </c>
      <c r="BJ146" s="49">
        <v>10</v>
      </c>
      <c r="BK146" s="49"/>
      <c r="BL146" s="49"/>
      <c r="BM146" s="49"/>
      <c r="BN146" s="49"/>
      <c r="BO146" s="49"/>
      <c r="BP146" s="49"/>
      <c r="BQ146" s="116" t="s">
        <v>4277</v>
      </c>
      <c r="BR146" s="116" t="s">
        <v>4277</v>
      </c>
      <c r="BS146" s="116" t="s">
        <v>4355</v>
      </c>
      <c r="BT146" s="116" t="s">
        <v>4355</v>
      </c>
      <c r="BU146" s="2"/>
      <c r="BV146" s="3"/>
      <c r="BW146" s="3"/>
      <c r="BX146" s="3"/>
      <c r="BY146" s="3"/>
    </row>
    <row r="147" spans="1:77" ht="15">
      <c r="A147" s="65" t="s">
        <v>354</v>
      </c>
      <c r="B147" s="66"/>
      <c r="C147" s="66" t="s">
        <v>64</v>
      </c>
      <c r="D147" s="67"/>
      <c r="E147" s="69"/>
      <c r="F147" s="104" t="str">
        <f>HYPERLINK("https://pbs.twimg.com/profile_images/1393790074274390018/KQP3HIJ8_normal.jpg")</f>
        <v>https://pbs.twimg.com/profile_images/1393790074274390018/KQP3HIJ8_normal.jpg</v>
      </c>
      <c r="G147" s="66"/>
      <c r="H147" s="70" t="s">
        <v>354</v>
      </c>
      <c r="I147" s="71" t="s">
        <v>4393</v>
      </c>
      <c r="J147" s="71" t="s">
        <v>73</v>
      </c>
      <c r="K147" s="70" t="s">
        <v>2285</v>
      </c>
      <c r="L147" s="74">
        <v>1</v>
      </c>
      <c r="M147" s="75">
        <v>3248.278564453125</v>
      </c>
      <c r="N147" s="75">
        <v>8622.5478515625</v>
      </c>
      <c r="O147" s="76"/>
      <c r="P147" s="77"/>
      <c r="Q147" s="77"/>
      <c r="R147" s="90"/>
      <c r="S147" s="49">
        <v>0</v>
      </c>
      <c r="T147" s="49">
        <v>1</v>
      </c>
      <c r="U147" s="50">
        <v>0</v>
      </c>
      <c r="V147" s="50">
        <v>0.239313</v>
      </c>
      <c r="W147" s="50">
        <v>0.067769</v>
      </c>
      <c r="X147" s="50">
        <v>0.003151</v>
      </c>
      <c r="Y147" s="50">
        <v>0</v>
      </c>
      <c r="Z147" s="50">
        <v>0</v>
      </c>
      <c r="AA147" s="72">
        <v>147</v>
      </c>
      <c r="AB147" s="72"/>
      <c r="AC147" s="73"/>
      <c r="AD147" s="80" t="s">
        <v>1378</v>
      </c>
      <c r="AE147" s="89" t="s">
        <v>1641</v>
      </c>
      <c r="AF147" s="80">
        <v>1645</v>
      </c>
      <c r="AG147" s="80">
        <v>366</v>
      </c>
      <c r="AH147" s="80">
        <v>63429</v>
      </c>
      <c r="AI147" s="80">
        <v>182458</v>
      </c>
      <c r="AJ147" s="80"/>
      <c r="AK147" s="80"/>
      <c r="AL147" s="80"/>
      <c r="AM147" s="80"/>
      <c r="AN147" s="80"/>
      <c r="AO147" s="82">
        <v>42080.342627314814</v>
      </c>
      <c r="AP147" s="86" t="str">
        <f>HYPERLINK("https://pbs.twimg.com/profile_banners/3092677355/1600336979")</f>
        <v>https://pbs.twimg.com/profile_banners/3092677355/1600336979</v>
      </c>
      <c r="AQ147" s="80" t="b">
        <v>1</v>
      </c>
      <c r="AR147" s="80" t="b">
        <v>0</v>
      </c>
      <c r="AS147" s="80" t="b">
        <v>0</v>
      </c>
      <c r="AT147" s="80"/>
      <c r="AU147" s="80">
        <v>2</v>
      </c>
      <c r="AV147" s="86" t="str">
        <f>HYPERLINK("https://abs.twimg.com/images/themes/theme1/bg.png")</f>
        <v>https://abs.twimg.com/images/themes/theme1/bg.png</v>
      </c>
      <c r="AW147" s="80" t="b">
        <v>0</v>
      </c>
      <c r="AX147" s="80" t="s">
        <v>2141</v>
      </c>
      <c r="AY147" s="86" t="str">
        <f>HYPERLINK("https://twitter.com/vapaamielinen")</f>
        <v>https://twitter.com/vapaamielinen</v>
      </c>
      <c r="AZ147" s="80" t="s">
        <v>66</v>
      </c>
      <c r="BA147" s="80" t="str">
        <f>REPLACE(INDEX(GroupVertices[Group],MATCH(Vertices[[#This Row],[Vertex]],GroupVertices[Vertex],0)),1,1,"")</f>
        <v>1</v>
      </c>
      <c r="BB147" s="49">
        <v>0</v>
      </c>
      <c r="BC147" s="50">
        <v>0</v>
      </c>
      <c r="BD147" s="49">
        <v>0</v>
      </c>
      <c r="BE147" s="50">
        <v>0</v>
      </c>
      <c r="BF147" s="49">
        <v>0</v>
      </c>
      <c r="BG147" s="50">
        <v>0</v>
      </c>
      <c r="BH147" s="49">
        <v>33</v>
      </c>
      <c r="BI147" s="50">
        <v>100</v>
      </c>
      <c r="BJ147" s="49">
        <v>33</v>
      </c>
      <c r="BK147" s="49" t="s">
        <v>3990</v>
      </c>
      <c r="BL147" s="49" t="s">
        <v>3990</v>
      </c>
      <c r="BM147" s="49" t="s">
        <v>582</v>
      </c>
      <c r="BN147" s="49" t="s">
        <v>582</v>
      </c>
      <c r="BO147" s="49"/>
      <c r="BP147" s="49"/>
      <c r="BQ147" s="116" t="s">
        <v>4267</v>
      </c>
      <c r="BR147" s="116" t="s">
        <v>4267</v>
      </c>
      <c r="BS147" s="116" t="s">
        <v>4346</v>
      </c>
      <c r="BT147" s="116" t="s">
        <v>4346</v>
      </c>
      <c r="BU147" s="2"/>
      <c r="BV147" s="3"/>
      <c r="BW147" s="3"/>
      <c r="BX147" s="3"/>
      <c r="BY147" s="3"/>
    </row>
    <row r="148" spans="1:77" ht="15">
      <c r="A148" s="65" t="s">
        <v>355</v>
      </c>
      <c r="B148" s="66"/>
      <c r="C148" s="66" t="s">
        <v>64</v>
      </c>
      <c r="D148" s="67"/>
      <c r="E148" s="69"/>
      <c r="F148" s="104" t="str">
        <f>HYPERLINK("https://pbs.twimg.com/profile_images/1359762884499296256/DB5SabJb_normal.jpg")</f>
        <v>https://pbs.twimg.com/profile_images/1359762884499296256/DB5SabJb_normal.jpg</v>
      </c>
      <c r="G148" s="66"/>
      <c r="H148" s="70" t="s">
        <v>355</v>
      </c>
      <c r="I148" s="71" t="s">
        <v>4393</v>
      </c>
      <c r="J148" s="71" t="s">
        <v>73</v>
      </c>
      <c r="K148" s="70" t="s">
        <v>2286</v>
      </c>
      <c r="L148" s="74">
        <v>1</v>
      </c>
      <c r="M148" s="75">
        <v>2124.531982421875</v>
      </c>
      <c r="N148" s="75">
        <v>6098.099609375</v>
      </c>
      <c r="O148" s="76"/>
      <c r="P148" s="77"/>
      <c r="Q148" s="77"/>
      <c r="R148" s="90"/>
      <c r="S148" s="49">
        <v>0</v>
      </c>
      <c r="T148" s="49">
        <v>1</v>
      </c>
      <c r="U148" s="50">
        <v>0</v>
      </c>
      <c r="V148" s="50">
        <v>0.239313</v>
      </c>
      <c r="W148" s="50">
        <v>0.067769</v>
      </c>
      <c r="X148" s="50">
        <v>0.003151</v>
      </c>
      <c r="Y148" s="50">
        <v>0</v>
      </c>
      <c r="Z148" s="50">
        <v>0</v>
      </c>
      <c r="AA148" s="72">
        <v>148</v>
      </c>
      <c r="AB148" s="72"/>
      <c r="AC148" s="73"/>
      <c r="AD148" s="80" t="s">
        <v>1379</v>
      </c>
      <c r="AE148" s="89" t="s">
        <v>1642</v>
      </c>
      <c r="AF148" s="80">
        <v>3137</v>
      </c>
      <c r="AG148" s="80">
        <v>19603</v>
      </c>
      <c r="AH148" s="80">
        <v>23796</v>
      </c>
      <c r="AI148" s="80">
        <v>29056</v>
      </c>
      <c r="AJ148" s="80"/>
      <c r="AK148" s="80" t="s">
        <v>1903</v>
      </c>
      <c r="AL148" s="80" t="s">
        <v>2039</v>
      </c>
      <c r="AM148" s="86" t="str">
        <f>HYPERLINK("https://t.co/pUamLzEfBl")</f>
        <v>https://t.co/pUamLzEfBl</v>
      </c>
      <c r="AN148" s="80"/>
      <c r="AO148" s="82">
        <v>40205.464467592596</v>
      </c>
      <c r="AP148" s="86" t="str">
        <f>HYPERLINK("https://pbs.twimg.com/profile_banners/108905689/1610701373")</f>
        <v>https://pbs.twimg.com/profile_banners/108905689/1610701373</v>
      </c>
      <c r="AQ148" s="80" t="b">
        <v>0</v>
      </c>
      <c r="AR148" s="80" t="b">
        <v>0</v>
      </c>
      <c r="AS148" s="80" t="b">
        <v>1</v>
      </c>
      <c r="AT148" s="80"/>
      <c r="AU148" s="80">
        <v>238</v>
      </c>
      <c r="AV148" s="86" t="str">
        <f>HYPERLINK("https://abs.twimg.com/images/themes/theme3/bg.gif")</f>
        <v>https://abs.twimg.com/images/themes/theme3/bg.gif</v>
      </c>
      <c r="AW148" s="80" t="b">
        <v>1</v>
      </c>
      <c r="AX148" s="80" t="s">
        <v>2141</v>
      </c>
      <c r="AY148" s="86" t="str">
        <f>HYPERLINK("https://twitter.com/elinalappalaine")</f>
        <v>https://twitter.com/elinalappalaine</v>
      </c>
      <c r="AZ148" s="80" t="s">
        <v>66</v>
      </c>
      <c r="BA148" s="80" t="str">
        <f>REPLACE(INDEX(GroupVertices[Group],MATCH(Vertices[[#This Row],[Vertex]],GroupVertices[Vertex],0)),1,1,"")</f>
        <v>1</v>
      </c>
      <c r="BB148" s="49">
        <v>0</v>
      </c>
      <c r="BC148" s="50">
        <v>0</v>
      </c>
      <c r="BD148" s="49">
        <v>0</v>
      </c>
      <c r="BE148" s="50">
        <v>0</v>
      </c>
      <c r="BF148" s="49">
        <v>0</v>
      </c>
      <c r="BG148" s="50">
        <v>0</v>
      </c>
      <c r="BH148" s="49">
        <v>33</v>
      </c>
      <c r="BI148" s="50">
        <v>100</v>
      </c>
      <c r="BJ148" s="49">
        <v>33</v>
      </c>
      <c r="BK148" s="49" t="s">
        <v>3990</v>
      </c>
      <c r="BL148" s="49" t="s">
        <v>3990</v>
      </c>
      <c r="BM148" s="49" t="s">
        <v>582</v>
      </c>
      <c r="BN148" s="49" t="s">
        <v>582</v>
      </c>
      <c r="BO148" s="49"/>
      <c r="BP148" s="49"/>
      <c r="BQ148" s="116" t="s">
        <v>4267</v>
      </c>
      <c r="BR148" s="116" t="s">
        <v>4267</v>
      </c>
      <c r="BS148" s="116" t="s">
        <v>4346</v>
      </c>
      <c r="BT148" s="116" t="s">
        <v>4346</v>
      </c>
      <c r="BU148" s="2"/>
      <c r="BV148" s="3"/>
      <c r="BW148" s="3"/>
      <c r="BX148" s="3"/>
      <c r="BY148" s="3"/>
    </row>
    <row r="149" spans="1:77" ht="15">
      <c r="A149" s="65" t="s">
        <v>356</v>
      </c>
      <c r="B149" s="66"/>
      <c r="C149" s="66" t="s">
        <v>64</v>
      </c>
      <c r="D149" s="67"/>
      <c r="E149" s="69"/>
      <c r="F149" s="104" t="str">
        <f>HYPERLINK("https://pbs.twimg.com/profile_images/1499302120608178177/A_csOMwb_normal.jpg")</f>
        <v>https://pbs.twimg.com/profile_images/1499302120608178177/A_csOMwb_normal.jpg</v>
      </c>
      <c r="G149" s="66"/>
      <c r="H149" s="70" t="s">
        <v>356</v>
      </c>
      <c r="I149" s="71" t="s">
        <v>4393</v>
      </c>
      <c r="J149" s="71" t="s">
        <v>73</v>
      </c>
      <c r="K149" s="70" t="s">
        <v>2287</v>
      </c>
      <c r="L149" s="74">
        <v>1</v>
      </c>
      <c r="M149" s="75">
        <v>5844.0537109375</v>
      </c>
      <c r="N149" s="75">
        <v>8928.42578125</v>
      </c>
      <c r="O149" s="76"/>
      <c r="P149" s="77"/>
      <c r="Q149" s="77"/>
      <c r="R149" s="90"/>
      <c r="S149" s="49">
        <v>0</v>
      </c>
      <c r="T149" s="49">
        <v>1</v>
      </c>
      <c r="U149" s="50">
        <v>0</v>
      </c>
      <c r="V149" s="50">
        <v>0.239313</v>
      </c>
      <c r="W149" s="50">
        <v>0.067769</v>
      </c>
      <c r="X149" s="50">
        <v>0.003151</v>
      </c>
      <c r="Y149" s="50">
        <v>0</v>
      </c>
      <c r="Z149" s="50">
        <v>0</v>
      </c>
      <c r="AA149" s="72">
        <v>149</v>
      </c>
      <c r="AB149" s="72"/>
      <c r="AC149" s="73"/>
      <c r="AD149" s="80" t="s">
        <v>1380</v>
      </c>
      <c r="AE149" s="89" t="s">
        <v>1643</v>
      </c>
      <c r="AF149" s="80">
        <v>409</v>
      </c>
      <c r="AG149" s="80">
        <v>189</v>
      </c>
      <c r="AH149" s="80">
        <v>13092</v>
      </c>
      <c r="AI149" s="80">
        <v>13698</v>
      </c>
      <c r="AJ149" s="80"/>
      <c r="AK149" s="80" t="s">
        <v>1904</v>
      </c>
      <c r="AL149" s="80" t="s">
        <v>2095</v>
      </c>
      <c r="AM149" s="80"/>
      <c r="AN149" s="80"/>
      <c r="AO149" s="82">
        <v>40552.30287037037</v>
      </c>
      <c r="AP149" s="86" t="str">
        <f>HYPERLINK("https://pbs.twimg.com/profile_banners/235863089/1631126364")</f>
        <v>https://pbs.twimg.com/profile_banners/235863089/1631126364</v>
      </c>
      <c r="AQ149" s="80" t="b">
        <v>0</v>
      </c>
      <c r="AR149" s="80" t="b">
        <v>0</v>
      </c>
      <c r="AS149" s="80" t="b">
        <v>1</v>
      </c>
      <c r="AT149" s="80"/>
      <c r="AU149" s="80">
        <v>6</v>
      </c>
      <c r="AV149" s="86" t="str">
        <f>HYPERLINK("https://abs.twimg.com/images/themes/theme7/bg.gif")</f>
        <v>https://abs.twimg.com/images/themes/theme7/bg.gif</v>
      </c>
      <c r="AW149" s="80" t="b">
        <v>0</v>
      </c>
      <c r="AX149" s="80" t="s">
        <v>2141</v>
      </c>
      <c r="AY149" s="86" t="str">
        <f>HYPERLINK("https://twitter.com/punainenbarbi")</f>
        <v>https://twitter.com/punainenbarbi</v>
      </c>
      <c r="AZ149" s="80" t="s">
        <v>66</v>
      </c>
      <c r="BA149" s="80" t="str">
        <f>REPLACE(INDEX(GroupVertices[Group],MATCH(Vertices[[#This Row],[Vertex]],GroupVertices[Vertex],0)),1,1,"")</f>
        <v>1</v>
      </c>
      <c r="BB149" s="49">
        <v>0</v>
      </c>
      <c r="BC149" s="50">
        <v>0</v>
      </c>
      <c r="BD149" s="49">
        <v>0</v>
      </c>
      <c r="BE149" s="50">
        <v>0</v>
      </c>
      <c r="BF149" s="49">
        <v>0</v>
      </c>
      <c r="BG149" s="50">
        <v>0</v>
      </c>
      <c r="BH149" s="49">
        <v>33</v>
      </c>
      <c r="BI149" s="50">
        <v>100</v>
      </c>
      <c r="BJ149" s="49">
        <v>33</v>
      </c>
      <c r="BK149" s="49" t="s">
        <v>3990</v>
      </c>
      <c r="BL149" s="49" t="s">
        <v>3990</v>
      </c>
      <c r="BM149" s="49" t="s">
        <v>582</v>
      </c>
      <c r="BN149" s="49" t="s">
        <v>582</v>
      </c>
      <c r="BO149" s="49"/>
      <c r="BP149" s="49"/>
      <c r="BQ149" s="116" t="s">
        <v>4267</v>
      </c>
      <c r="BR149" s="116" t="s">
        <v>4267</v>
      </c>
      <c r="BS149" s="116" t="s">
        <v>4346</v>
      </c>
      <c r="BT149" s="116" t="s">
        <v>4346</v>
      </c>
      <c r="BU149" s="2"/>
      <c r="BV149" s="3"/>
      <c r="BW149" s="3"/>
      <c r="BX149" s="3"/>
      <c r="BY149" s="3"/>
    </row>
    <row r="150" spans="1:77" ht="15">
      <c r="A150" s="65" t="s">
        <v>357</v>
      </c>
      <c r="B150" s="66"/>
      <c r="C150" s="66" t="s">
        <v>64</v>
      </c>
      <c r="D150" s="67"/>
      <c r="E150" s="69"/>
      <c r="F150" s="104" t="str">
        <f>HYPERLINK("https://pbs.twimg.com/profile_images/1473931805162151938/-l9tWa0o_normal.jpg")</f>
        <v>https://pbs.twimg.com/profile_images/1473931805162151938/-l9tWa0o_normal.jpg</v>
      </c>
      <c r="G150" s="66"/>
      <c r="H150" s="70" t="s">
        <v>357</v>
      </c>
      <c r="I150" s="71" t="s">
        <v>4393</v>
      </c>
      <c r="J150" s="71" t="s">
        <v>73</v>
      </c>
      <c r="K150" s="70" t="s">
        <v>2288</v>
      </c>
      <c r="L150" s="74">
        <v>1</v>
      </c>
      <c r="M150" s="75">
        <v>2751.696044921875</v>
      </c>
      <c r="N150" s="75">
        <v>5573.0546875</v>
      </c>
      <c r="O150" s="76"/>
      <c r="P150" s="77"/>
      <c r="Q150" s="77"/>
      <c r="R150" s="90"/>
      <c r="S150" s="49">
        <v>0</v>
      </c>
      <c r="T150" s="49">
        <v>1</v>
      </c>
      <c r="U150" s="50">
        <v>0</v>
      </c>
      <c r="V150" s="50">
        <v>0.239313</v>
      </c>
      <c r="W150" s="50">
        <v>0.067769</v>
      </c>
      <c r="X150" s="50">
        <v>0.003151</v>
      </c>
      <c r="Y150" s="50">
        <v>0</v>
      </c>
      <c r="Z150" s="50">
        <v>0</v>
      </c>
      <c r="AA150" s="72">
        <v>150</v>
      </c>
      <c r="AB150" s="72"/>
      <c r="AC150" s="73"/>
      <c r="AD150" s="80" t="s">
        <v>1381</v>
      </c>
      <c r="AE150" s="89" t="s">
        <v>1644</v>
      </c>
      <c r="AF150" s="80">
        <v>770</v>
      </c>
      <c r="AG150" s="80">
        <v>592</v>
      </c>
      <c r="AH150" s="80">
        <v>10086</v>
      </c>
      <c r="AI150" s="80">
        <v>105085</v>
      </c>
      <c r="AJ150" s="80"/>
      <c r="AK150" s="80" t="s">
        <v>1905</v>
      </c>
      <c r="AL150" s="80"/>
      <c r="AM150" s="80"/>
      <c r="AN150" s="80"/>
      <c r="AO150" s="82">
        <v>41414.99144675926</v>
      </c>
      <c r="AP150" s="86" t="str">
        <f>HYPERLINK("https://pbs.twimg.com/profile_banners/1445017824/1573936355")</f>
        <v>https://pbs.twimg.com/profile_banners/1445017824/1573936355</v>
      </c>
      <c r="AQ150" s="80" t="b">
        <v>1</v>
      </c>
      <c r="AR150" s="80" t="b">
        <v>0</v>
      </c>
      <c r="AS150" s="80" t="b">
        <v>1</v>
      </c>
      <c r="AT150" s="80"/>
      <c r="AU150" s="80">
        <v>1</v>
      </c>
      <c r="AV150" s="86" t="str">
        <f>HYPERLINK("https://abs.twimg.com/images/themes/theme1/bg.png")</f>
        <v>https://abs.twimg.com/images/themes/theme1/bg.png</v>
      </c>
      <c r="AW150" s="80" t="b">
        <v>0</v>
      </c>
      <c r="AX150" s="80" t="s">
        <v>2141</v>
      </c>
      <c r="AY150" s="86" t="str">
        <f>HYPERLINK("https://twitter.com/hpmaatta")</f>
        <v>https://twitter.com/hpmaatta</v>
      </c>
      <c r="AZ150" s="80" t="s">
        <v>66</v>
      </c>
      <c r="BA150" s="80" t="str">
        <f>REPLACE(INDEX(GroupVertices[Group],MATCH(Vertices[[#This Row],[Vertex]],GroupVertices[Vertex],0)),1,1,"")</f>
        <v>1</v>
      </c>
      <c r="BB150" s="49">
        <v>0</v>
      </c>
      <c r="BC150" s="50">
        <v>0</v>
      </c>
      <c r="BD150" s="49">
        <v>0</v>
      </c>
      <c r="BE150" s="50">
        <v>0</v>
      </c>
      <c r="BF150" s="49">
        <v>0</v>
      </c>
      <c r="BG150" s="50">
        <v>0</v>
      </c>
      <c r="BH150" s="49">
        <v>33</v>
      </c>
      <c r="BI150" s="50">
        <v>100</v>
      </c>
      <c r="BJ150" s="49">
        <v>33</v>
      </c>
      <c r="BK150" s="49" t="s">
        <v>3990</v>
      </c>
      <c r="BL150" s="49" t="s">
        <v>3990</v>
      </c>
      <c r="BM150" s="49" t="s">
        <v>582</v>
      </c>
      <c r="BN150" s="49" t="s">
        <v>582</v>
      </c>
      <c r="BO150" s="49"/>
      <c r="BP150" s="49"/>
      <c r="BQ150" s="116" t="s">
        <v>4267</v>
      </c>
      <c r="BR150" s="116" t="s">
        <v>4267</v>
      </c>
      <c r="BS150" s="116" t="s">
        <v>4346</v>
      </c>
      <c r="BT150" s="116" t="s">
        <v>4346</v>
      </c>
      <c r="BU150" s="2"/>
      <c r="BV150" s="3"/>
      <c r="BW150" s="3"/>
      <c r="BX150" s="3"/>
      <c r="BY150" s="3"/>
    </row>
    <row r="151" spans="1:77" ht="15">
      <c r="A151" s="65" t="s">
        <v>358</v>
      </c>
      <c r="B151" s="66"/>
      <c r="C151" s="66" t="s">
        <v>64</v>
      </c>
      <c r="D151" s="67"/>
      <c r="E151" s="69"/>
      <c r="F151" s="104" t="str">
        <f>HYPERLINK("https://pbs.twimg.com/profile_images/1438662824/feissi14_normal.jpg")</f>
        <v>https://pbs.twimg.com/profile_images/1438662824/feissi14_normal.jpg</v>
      </c>
      <c r="G151" s="66"/>
      <c r="H151" s="70" t="s">
        <v>358</v>
      </c>
      <c r="I151" s="71" t="s">
        <v>4393</v>
      </c>
      <c r="J151" s="71" t="s">
        <v>73</v>
      </c>
      <c r="K151" s="70" t="s">
        <v>2289</v>
      </c>
      <c r="L151" s="74">
        <v>1</v>
      </c>
      <c r="M151" s="75">
        <v>6224.38427734375</v>
      </c>
      <c r="N151" s="75">
        <v>8532.2275390625</v>
      </c>
      <c r="O151" s="76"/>
      <c r="P151" s="77"/>
      <c r="Q151" s="77"/>
      <c r="R151" s="90"/>
      <c r="S151" s="49">
        <v>0</v>
      </c>
      <c r="T151" s="49">
        <v>1</v>
      </c>
      <c r="U151" s="50">
        <v>0</v>
      </c>
      <c r="V151" s="50">
        <v>0.239313</v>
      </c>
      <c r="W151" s="50">
        <v>0.067769</v>
      </c>
      <c r="X151" s="50">
        <v>0.003151</v>
      </c>
      <c r="Y151" s="50">
        <v>0</v>
      </c>
      <c r="Z151" s="50">
        <v>0</v>
      </c>
      <c r="AA151" s="72">
        <v>151</v>
      </c>
      <c r="AB151" s="72"/>
      <c r="AC151" s="73"/>
      <c r="AD151" s="80" t="s">
        <v>1382</v>
      </c>
      <c r="AE151" s="89" t="s">
        <v>1645</v>
      </c>
      <c r="AF151" s="80">
        <v>367</v>
      </c>
      <c r="AG151" s="80">
        <v>77</v>
      </c>
      <c r="AH151" s="80">
        <v>2837</v>
      </c>
      <c r="AI151" s="80">
        <v>6244</v>
      </c>
      <c r="AJ151" s="80"/>
      <c r="AK151" s="80" t="s">
        <v>1906</v>
      </c>
      <c r="AL151" s="80"/>
      <c r="AM151" s="80"/>
      <c r="AN151" s="80"/>
      <c r="AO151" s="82">
        <v>40736.643113425926</v>
      </c>
      <c r="AP151" s="86" t="str">
        <f>HYPERLINK("https://pbs.twimg.com/profile_banners/334091499/1401124835")</f>
        <v>https://pbs.twimg.com/profile_banners/334091499/1401124835</v>
      </c>
      <c r="AQ151" s="80" t="b">
        <v>1</v>
      </c>
      <c r="AR151" s="80" t="b">
        <v>0</v>
      </c>
      <c r="AS151" s="80" t="b">
        <v>1</v>
      </c>
      <c r="AT151" s="80"/>
      <c r="AU151" s="80">
        <v>0</v>
      </c>
      <c r="AV151" s="86" t="str">
        <f>HYPERLINK("https://abs.twimg.com/images/themes/theme1/bg.png")</f>
        <v>https://abs.twimg.com/images/themes/theme1/bg.png</v>
      </c>
      <c r="AW151" s="80" t="b">
        <v>0</v>
      </c>
      <c r="AX151" s="80" t="s">
        <v>2141</v>
      </c>
      <c r="AY151" s="86" t="str">
        <f>HYPERLINK("https://twitter.com/toikkis78")</f>
        <v>https://twitter.com/toikkis78</v>
      </c>
      <c r="AZ151" s="80" t="s">
        <v>66</v>
      </c>
      <c r="BA151" s="80" t="str">
        <f>REPLACE(INDEX(GroupVertices[Group],MATCH(Vertices[[#This Row],[Vertex]],GroupVertices[Vertex],0)),1,1,"")</f>
        <v>1</v>
      </c>
      <c r="BB151" s="49">
        <v>0</v>
      </c>
      <c r="BC151" s="50">
        <v>0</v>
      </c>
      <c r="BD151" s="49">
        <v>0</v>
      </c>
      <c r="BE151" s="50">
        <v>0</v>
      </c>
      <c r="BF151" s="49">
        <v>0</v>
      </c>
      <c r="BG151" s="50">
        <v>0</v>
      </c>
      <c r="BH151" s="49">
        <v>33</v>
      </c>
      <c r="BI151" s="50">
        <v>100</v>
      </c>
      <c r="BJ151" s="49">
        <v>33</v>
      </c>
      <c r="BK151" s="49" t="s">
        <v>3990</v>
      </c>
      <c r="BL151" s="49" t="s">
        <v>3990</v>
      </c>
      <c r="BM151" s="49" t="s">
        <v>582</v>
      </c>
      <c r="BN151" s="49" t="s">
        <v>582</v>
      </c>
      <c r="BO151" s="49"/>
      <c r="BP151" s="49"/>
      <c r="BQ151" s="116" t="s">
        <v>4267</v>
      </c>
      <c r="BR151" s="116" t="s">
        <v>4267</v>
      </c>
      <c r="BS151" s="116" t="s">
        <v>4346</v>
      </c>
      <c r="BT151" s="116" t="s">
        <v>4346</v>
      </c>
      <c r="BU151" s="2"/>
      <c r="BV151" s="3"/>
      <c r="BW151" s="3"/>
      <c r="BX151" s="3"/>
      <c r="BY151" s="3"/>
    </row>
    <row r="152" spans="1:77" ht="15">
      <c r="A152" s="65" t="s">
        <v>359</v>
      </c>
      <c r="B152" s="66"/>
      <c r="C152" s="66" t="s">
        <v>64</v>
      </c>
      <c r="D152" s="67"/>
      <c r="E152" s="69"/>
      <c r="F152" s="104" t="str">
        <f>HYPERLINK("https://pbs.twimg.com/profile_images/1485485823072083971/HsEEjOJL_normal.jpg")</f>
        <v>https://pbs.twimg.com/profile_images/1485485823072083971/HsEEjOJL_normal.jpg</v>
      </c>
      <c r="G152" s="66"/>
      <c r="H152" s="70" t="s">
        <v>359</v>
      </c>
      <c r="I152" s="71" t="s">
        <v>4393</v>
      </c>
      <c r="J152" s="71" t="s">
        <v>73</v>
      </c>
      <c r="K152" s="70" t="s">
        <v>2290</v>
      </c>
      <c r="L152" s="74">
        <v>1</v>
      </c>
      <c r="M152" s="75">
        <v>4152.1875</v>
      </c>
      <c r="N152" s="75">
        <v>9045.7705078125</v>
      </c>
      <c r="O152" s="76"/>
      <c r="P152" s="77"/>
      <c r="Q152" s="77"/>
      <c r="R152" s="90"/>
      <c r="S152" s="49">
        <v>0</v>
      </c>
      <c r="T152" s="49">
        <v>1</v>
      </c>
      <c r="U152" s="50">
        <v>0</v>
      </c>
      <c r="V152" s="50">
        <v>0.239313</v>
      </c>
      <c r="W152" s="50">
        <v>0.067769</v>
      </c>
      <c r="X152" s="50">
        <v>0.003151</v>
      </c>
      <c r="Y152" s="50">
        <v>0</v>
      </c>
      <c r="Z152" s="50">
        <v>0</v>
      </c>
      <c r="AA152" s="72">
        <v>152</v>
      </c>
      <c r="AB152" s="72"/>
      <c r="AC152" s="73"/>
      <c r="AD152" s="80" t="s">
        <v>1383</v>
      </c>
      <c r="AE152" s="89" t="s">
        <v>1646</v>
      </c>
      <c r="AF152" s="80">
        <v>5012</v>
      </c>
      <c r="AG152" s="80">
        <v>4670</v>
      </c>
      <c r="AH152" s="80">
        <v>54907</v>
      </c>
      <c r="AI152" s="80">
        <v>157387</v>
      </c>
      <c r="AJ152" s="80"/>
      <c r="AK152" s="80" t="s">
        <v>1907</v>
      </c>
      <c r="AL152" s="80" t="s">
        <v>2096</v>
      </c>
      <c r="AM152" s="86" t="str">
        <f>HYPERLINK("https://t.co/fjrLsCpVMt")</f>
        <v>https://t.co/fjrLsCpVMt</v>
      </c>
      <c r="AN152" s="80"/>
      <c r="AO152" s="82">
        <v>40894.628796296296</v>
      </c>
      <c r="AP152" s="86" t="str">
        <f>HYPERLINK("https://pbs.twimg.com/profile_banners/439251201/1472157943")</f>
        <v>https://pbs.twimg.com/profile_banners/439251201/1472157943</v>
      </c>
      <c r="AQ152" s="80" t="b">
        <v>0</v>
      </c>
      <c r="AR152" s="80" t="b">
        <v>0</v>
      </c>
      <c r="AS152" s="80" t="b">
        <v>1</v>
      </c>
      <c r="AT152" s="80"/>
      <c r="AU152" s="80">
        <v>75</v>
      </c>
      <c r="AV152" s="86" t="str">
        <f>HYPERLINK("https://abs.twimg.com/images/themes/theme18/bg.gif")</f>
        <v>https://abs.twimg.com/images/themes/theme18/bg.gif</v>
      </c>
      <c r="AW152" s="80" t="b">
        <v>0</v>
      </c>
      <c r="AX152" s="80" t="s">
        <v>2141</v>
      </c>
      <c r="AY152" s="86" t="str">
        <f>HYPERLINK("https://twitter.com/sara_peltola")</f>
        <v>https://twitter.com/sara_peltola</v>
      </c>
      <c r="AZ152" s="80" t="s">
        <v>66</v>
      </c>
      <c r="BA152" s="80" t="str">
        <f>REPLACE(INDEX(GroupVertices[Group],MATCH(Vertices[[#This Row],[Vertex]],GroupVertices[Vertex],0)),1,1,"")</f>
        <v>1</v>
      </c>
      <c r="BB152" s="49">
        <v>0</v>
      </c>
      <c r="BC152" s="50">
        <v>0</v>
      </c>
      <c r="BD152" s="49">
        <v>0</v>
      </c>
      <c r="BE152" s="50">
        <v>0</v>
      </c>
      <c r="BF152" s="49">
        <v>0</v>
      </c>
      <c r="BG152" s="50">
        <v>0</v>
      </c>
      <c r="BH152" s="49">
        <v>33</v>
      </c>
      <c r="BI152" s="50">
        <v>100</v>
      </c>
      <c r="BJ152" s="49">
        <v>33</v>
      </c>
      <c r="BK152" s="49" t="s">
        <v>3990</v>
      </c>
      <c r="BL152" s="49" t="s">
        <v>3990</v>
      </c>
      <c r="BM152" s="49" t="s">
        <v>582</v>
      </c>
      <c r="BN152" s="49" t="s">
        <v>582</v>
      </c>
      <c r="BO152" s="49"/>
      <c r="BP152" s="49"/>
      <c r="BQ152" s="116" t="s">
        <v>4267</v>
      </c>
      <c r="BR152" s="116" t="s">
        <v>4267</v>
      </c>
      <c r="BS152" s="116" t="s">
        <v>4346</v>
      </c>
      <c r="BT152" s="116" t="s">
        <v>4346</v>
      </c>
      <c r="BU152" s="2"/>
      <c r="BV152" s="3"/>
      <c r="BW152" s="3"/>
      <c r="BX152" s="3"/>
      <c r="BY152" s="3"/>
    </row>
    <row r="153" spans="1:77" ht="15">
      <c r="A153" s="65" t="s">
        <v>360</v>
      </c>
      <c r="B153" s="66"/>
      <c r="C153" s="66" t="s">
        <v>64</v>
      </c>
      <c r="D153" s="67"/>
      <c r="E153" s="69"/>
      <c r="F153" s="104" t="str">
        <f>HYPERLINK("https://pbs.twimg.com/profile_images/1125419327178588160/xU755k1j_normal.jpg")</f>
        <v>https://pbs.twimg.com/profile_images/1125419327178588160/xU755k1j_normal.jpg</v>
      </c>
      <c r="G153" s="66"/>
      <c r="H153" s="70" t="s">
        <v>360</v>
      </c>
      <c r="I153" s="71" t="s">
        <v>4393</v>
      </c>
      <c r="J153" s="71" t="s">
        <v>73</v>
      </c>
      <c r="K153" s="70" t="s">
        <v>2291</v>
      </c>
      <c r="L153" s="74">
        <v>1</v>
      </c>
      <c r="M153" s="75">
        <v>7101.4228515625</v>
      </c>
      <c r="N153" s="75">
        <v>8984.029296875</v>
      </c>
      <c r="O153" s="76"/>
      <c r="P153" s="77"/>
      <c r="Q153" s="77"/>
      <c r="R153" s="90"/>
      <c r="S153" s="49">
        <v>0</v>
      </c>
      <c r="T153" s="49">
        <v>1</v>
      </c>
      <c r="U153" s="50">
        <v>0</v>
      </c>
      <c r="V153" s="50">
        <v>0.239313</v>
      </c>
      <c r="W153" s="50">
        <v>0.067769</v>
      </c>
      <c r="X153" s="50">
        <v>0.003151</v>
      </c>
      <c r="Y153" s="50">
        <v>0</v>
      </c>
      <c r="Z153" s="50">
        <v>0</v>
      </c>
      <c r="AA153" s="72">
        <v>153</v>
      </c>
      <c r="AB153" s="72"/>
      <c r="AC153" s="73"/>
      <c r="AD153" s="80" t="s">
        <v>1384</v>
      </c>
      <c r="AE153" s="89" t="s">
        <v>1647</v>
      </c>
      <c r="AF153" s="80">
        <v>470</v>
      </c>
      <c r="AG153" s="80">
        <v>199</v>
      </c>
      <c r="AH153" s="80">
        <v>690</v>
      </c>
      <c r="AI153" s="80">
        <v>7403</v>
      </c>
      <c r="AJ153" s="80"/>
      <c r="AK153" s="80" t="s">
        <v>1908</v>
      </c>
      <c r="AL153" s="80" t="s">
        <v>2041</v>
      </c>
      <c r="AM153" s="80"/>
      <c r="AN153" s="80"/>
      <c r="AO153" s="82">
        <v>43591.63622685185</v>
      </c>
      <c r="AP153" s="80"/>
      <c r="AQ153" s="80" t="b">
        <v>1</v>
      </c>
      <c r="AR153" s="80" t="b">
        <v>0</v>
      </c>
      <c r="AS153" s="80" t="b">
        <v>0</v>
      </c>
      <c r="AT153" s="80"/>
      <c r="AU153" s="80">
        <v>0</v>
      </c>
      <c r="AV153" s="80"/>
      <c r="AW153" s="80" t="b">
        <v>0</v>
      </c>
      <c r="AX153" s="80" t="s">
        <v>2141</v>
      </c>
      <c r="AY153" s="86" t="str">
        <f>HYPERLINK("https://twitter.com/satuvennala")</f>
        <v>https://twitter.com/satuvennala</v>
      </c>
      <c r="AZ153" s="80" t="s">
        <v>66</v>
      </c>
      <c r="BA153" s="80" t="str">
        <f>REPLACE(INDEX(GroupVertices[Group],MATCH(Vertices[[#This Row],[Vertex]],GroupVertices[Vertex],0)),1,1,"")</f>
        <v>1</v>
      </c>
      <c r="BB153" s="49">
        <v>0</v>
      </c>
      <c r="BC153" s="50">
        <v>0</v>
      </c>
      <c r="BD153" s="49">
        <v>0</v>
      </c>
      <c r="BE153" s="50">
        <v>0</v>
      </c>
      <c r="BF153" s="49">
        <v>0</v>
      </c>
      <c r="BG153" s="50">
        <v>0</v>
      </c>
      <c r="BH153" s="49">
        <v>33</v>
      </c>
      <c r="BI153" s="50">
        <v>100</v>
      </c>
      <c r="BJ153" s="49">
        <v>33</v>
      </c>
      <c r="BK153" s="49" t="s">
        <v>3990</v>
      </c>
      <c r="BL153" s="49" t="s">
        <v>3990</v>
      </c>
      <c r="BM153" s="49" t="s">
        <v>582</v>
      </c>
      <c r="BN153" s="49" t="s">
        <v>582</v>
      </c>
      <c r="BO153" s="49"/>
      <c r="BP153" s="49"/>
      <c r="BQ153" s="116" t="s">
        <v>4267</v>
      </c>
      <c r="BR153" s="116" t="s">
        <v>4267</v>
      </c>
      <c r="BS153" s="116" t="s">
        <v>4346</v>
      </c>
      <c r="BT153" s="116" t="s">
        <v>4346</v>
      </c>
      <c r="BU153" s="2"/>
      <c r="BV153" s="3"/>
      <c r="BW153" s="3"/>
      <c r="BX153" s="3"/>
      <c r="BY153" s="3"/>
    </row>
    <row r="154" spans="1:77" ht="15">
      <c r="A154" s="65" t="s">
        <v>361</v>
      </c>
      <c r="B154" s="66"/>
      <c r="C154" s="66" t="s">
        <v>64</v>
      </c>
      <c r="D154" s="67"/>
      <c r="E154" s="69"/>
      <c r="F154" s="104" t="str">
        <f>HYPERLINK("https://pbs.twimg.com/profile_images/1218154636990930945/iJmmaRxR_normal.jpg")</f>
        <v>https://pbs.twimg.com/profile_images/1218154636990930945/iJmmaRxR_normal.jpg</v>
      </c>
      <c r="G154" s="66"/>
      <c r="H154" s="70" t="s">
        <v>361</v>
      </c>
      <c r="I154" s="71" t="s">
        <v>4393</v>
      </c>
      <c r="J154" s="71" t="s">
        <v>73</v>
      </c>
      <c r="K154" s="70" t="s">
        <v>2292</v>
      </c>
      <c r="L154" s="74">
        <v>1</v>
      </c>
      <c r="M154" s="75">
        <v>6780.66357421875</v>
      </c>
      <c r="N154" s="75">
        <v>5192.64453125</v>
      </c>
      <c r="O154" s="76"/>
      <c r="P154" s="77"/>
      <c r="Q154" s="77"/>
      <c r="R154" s="90"/>
      <c r="S154" s="49">
        <v>0</v>
      </c>
      <c r="T154" s="49">
        <v>1</v>
      </c>
      <c r="U154" s="50">
        <v>0</v>
      </c>
      <c r="V154" s="50">
        <v>0.239313</v>
      </c>
      <c r="W154" s="50">
        <v>0.067769</v>
      </c>
      <c r="X154" s="50">
        <v>0.003151</v>
      </c>
      <c r="Y154" s="50">
        <v>0</v>
      </c>
      <c r="Z154" s="50">
        <v>0</v>
      </c>
      <c r="AA154" s="72">
        <v>154</v>
      </c>
      <c r="AB154" s="72"/>
      <c r="AC154" s="73"/>
      <c r="AD154" s="80" t="s">
        <v>1385</v>
      </c>
      <c r="AE154" s="89" t="s">
        <v>1648</v>
      </c>
      <c r="AF154" s="80">
        <v>3503</v>
      </c>
      <c r="AG154" s="80">
        <v>24284</v>
      </c>
      <c r="AH154" s="80">
        <v>23568</v>
      </c>
      <c r="AI154" s="80">
        <v>30194</v>
      </c>
      <c r="AJ154" s="80"/>
      <c r="AK154" s="80" t="s">
        <v>1909</v>
      </c>
      <c r="AL154" s="80"/>
      <c r="AM154" s="86" t="str">
        <f>HYPERLINK("https://t.co/OdVThci4Uz")</f>
        <v>https://t.co/OdVThci4Uz</v>
      </c>
      <c r="AN154" s="80"/>
      <c r="AO154" s="82">
        <v>40472.485289351855</v>
      </c>
      <c r="AP154" s="86" t="str">
        <f>HYPERLINK("https://pbs.twimg.com/profile_banners/205680994/1579266181")</f>
        <v>https://pbs.twimg.com/profile_banners/205680994/1579266181</v>
      </c>
      <c r="AQ154" s="80" t="b">
        <v>0</v>
      </c>
      <c r="AR154" s="80" t="b">
        <v>0</v>
      </c>
      <c r="AS154" s="80" t="b">
        <v>1</v>
      </c>
      <c r="AT154" s="80"/>
      <c r="AU154" s="80">
        <v>102</v>
      </c>
      <c r="AV154" s="86" t="str">
        <f>HYPERLINK("https://abs.twimg.com/images/themes/theme1/bg.png")</f>
        <v>https://abs.twimg.com/images/themes/theme1/bg.png</v>
      </c>
      <c r="AW154" s="80" t="b">
        <v>0</v>
      </c>
      <c r="AX154" s="80" t="s">
        <v>2141</v>
      </c>
      <c r="AY154" s="86" t="str">
        <f>HYPERLINK("https://twitter.com/martinpaasi")</f>
        <v>https://twitter.com/martinpaasi</v>
      </c>
      <c r="AZ154" s="80" t="s">
        <v>66</v>
      </c>
      <c r="BA154" s="80" t="str">
        <f>REPLACE(INDEX(GroupVertices[Group],MATCH(Vertices[[#This Row],[Vertex]],GroupVertices[Vertex],0)),1,1,"")</f>
        <v>1</v>
      </c>
      <c r="BB154" s="49">
        <v>0</v>
      </c>
      <c r="BC154" s="50">
        <v>0</v>
      </c>
      <c r="BD154" s="49">
        <v>0</v>
      </c>
      <c r="BE154" s="50">
        <v>0</v>
      </c>
      <c r="BF154" s="49">
        <v>0</v>
      </c>
      <c r="BG154" s="50">
        <v>0</v>
      </c>
      <c r="BH154" s="49">
        <v>33</v>
      </c>
      <c r="BI154" s="50">
        <v>100</v>
      </c>
      <c r="BJ154" s="49">
        <v>33</v>
      </c>
      <c r="BK154" s="49" t="s">
        <v>3990</v>
      </c>
      <c r="BL154" s="49" t="s">
        <v>3990</v>
      </c>
      <c r="BM154" s="49" t="s">
        <v>582</v>
      </c>
      <c r="BN154" s="49" t="s">
        <v>582</v>
      </c>
      <c r="BO154" s="49"/>
      <c r="BP154" s="49"/>
      <c r="BQ154" s="116" t="s">
        <v>4267</v>
      </c>
      <c r="BR154" s="116" t="s">
        <v>4267</v>
      </c>
      <c r="BS154" s="116" t="s">
        <v>4346</v>
      </c>
      <c r="BT154" s="116" t="s">
        <v>4346</v>
      </c>
      <c r="BU154" s="2"/>
      <c r="BV154" s="3"/>
      <c r="BW154" s="3"/>
      <c r="BX154" s="3"/>
      <c r="BY154" s="3"/>
    </row>
    <row r="155" spans="1:77" ht="15">
      <c r="A155" s="65" t="s">
        <v>362</v>
      </c>
      <c r="B155" s="66"/>
      <c r="C155" s="66" t="s">
        <v>64</v>
      </c>
      <c r="D155" s="67"/>
      <c r="E155" s="69"/>
      <c r="F155" s="104" t="str">
        <f>HYPERLINK("https://pbs.twimg.com/profile_images/1365402024486010887/yj_r7Iat_normal.jpg")</f>
        <v>https://pbs.twimg.com/profile_images/1365402024486010887/yj_r7Iat_normal.jpg</v>
      </c>
      <c r="G155" s="66"/>
      <c r="H155" s="70" t="s">
        <v>362</v>
      </c>
      <c r="I155" s="71" t="s">
        <v>4393</v>
      </c>
      <c r="J155" s="71" t="s">
        <v>73</v>
      </c>
      <c r="K155" s="70" t="s">
        <v>2293</v>
      </c>
      <c r="L155" s="74">
        <v>1</v>
      </c>
      <c r="M155" s="75">
        <v>7773.95166015625</v>
      </c>
      <c r="N155" s="75">
        <v>8131.8330078125</v>
      </c>
      <c r="O155" s="76"/>
      <c r="P155" s="77"/>
      <c r="Q155" s="77"/>
      <c r="R155" s="90"/>
      <c r="S155" s="49">
        <v>0</v>
      </c>
      <c r="T155" s="49">
        <v>1</v>
      </c>
      <c r="U155" s="50">
        <v>0</v>
      </c>
      <c r="V155" s="50">
        <v>0.239313</v>
      </c>
      <c r="W155" s="50">
        <v>0.067769</v>
      </c>
      <c r="X155" s="50">
        <v>0.003151</v>
      </c>
      <c r="Y155" s="50">
        <v>0</v>
      </c>
      <c r="Z155" s="50">
        <v>0</v>
      </c>
      <c r="AA155" s="72">
        <v>155</v>
      </c>
      <c r="AB155" s="72"/>
      <c r="AC155" s="73"/>
      <c r="AD155" s="80" t="s">
        <v>1386</v>
      </c>
      <c r="AE155" s="89" t="s">
        <v>1649</v>
      </c>
      <c r="AF155" s="80">
        <v>2112</v>
      </c>
      <c r="AG155" s="80">
        <v>4673</v>
      </c>
      <c r="AH155" s="80">
        <v>100909</v>
      </c>
      <c r="AI155" s="80">
        <v>12508</v>
      </c>
      <c r="AJ155" s="80"/>
      <c r="AK155" s="80" t="s">
        <v>1910</v>
      </c>
      <c r="AL155" s="80" t="s">
        <v>2051</v>
      </c>
      <c r="AM155" s="80"/>
      <c r="AN155" s="80"/>
      <c r="AO155" s="82">
        <v>40595.501180555555</v>
      </c>
      <c r="AP155" s="86" t="str">
        <f>HYPERLINK("https://pbs.twimg.com/profile_banners/255457505/1566921789")</f>
        <v>https://pbs.twimg.com/profile_banners/255457505/1566921789</v>
      </c>
      <c r="AQ155" s="80" t="b">
        <v>0</v>
      </c>
      <c r="AR155" s="80" t="b">
        <v>0</v>
      </c>
      <c r="AS155" s="80" t="b">
        <v>1</v>
      </c>
      <c r="AT155" s="80"/>
      <c r="AU155" s="80">
        <v>74</v>
      </c>
      <c r="AV155" s="86" t="str">
        <f>HYPERLINK("https://abs.twimg.com/images/themes/theme9/bg.gif")</f>
        <v>https://abs.twimg.com/images/themes/theme9/bg.gif</v>
      </c>
      <c r="AW155" s="80" t="b">
        <v>0</v>
      </c>
      <c r="AX155" s="80" t="s">
        <v>2141</v>
      </c>
      <c r="AY155" s="86" t="str">
        <f>HYPERLINK("https://twitter.com/nuusa_")</f>
        <v>https://twitter.com/nuusa_</v>
      </c>
      <c r="AZ155" s="80" t="s">
        <v>66</v>
      </c>
      <c r="BA155" s="80" t="str">
        <f>REPLACE(INDEX(GroupVertices[Group],MATCH(Vertices[[#This Row],[Vertex]],GroupVertices[Vertex],0)),1,1,"")</f>
        <v>1</v>
      </c>
      <c r="BB155" s="49">
        <v>0</v>
      </c>
      <c r="BC155" s="50">
        <v>0</v>
      </c>
      <c r="BD155" s="49">
        <v>0</v>
      </c>
      <c r="BE155" s="50">
        <v>0</v>
      </c>
      <c r="BF155" s="49">
        <v>0</v>
      </c>
      <c r="BG155" s="50">
        <v>0</v>
      </c>
      <c r="BH155" s="49">
        <v>33</v>
      </c>
      <c r="BI155" s="50">
        <v>100</v>
      </c>
      <c r="BJ155" s="49">
        <v>33</v>
      </c>
      <c r="BK155" s="49" t="s">
        <v>3990</v>
      </c>
      <c r="BL155" s="49" t="s">
        <v>3990</v>
      </c>
      <c r="BM155" s="49" t="s">
        <v>582</v>
      </c>
      <c r="BN155" s="49" t="s">
        <v>582</v>
      </c>
      <c r="BO155" s="49"/>
      <c r="BP155" s="49"/>
      <c r="BQ155" s="116" t="s">
        <v>4267</v>
      </c>
      <c r="BR155" s="116" t="s">
        <v>4267</v>
      </c>
      <c r="BS155" s="116" t="s">
        <v>4346</v>
      </c>
      <c r="BT155" s="116" t="s">
        <v>4346</v>
      </c>
      <c r="BU155" s="2"/>
      <c r="BV155" s="3"/>
      <c r="BW155" s="3"/>
      <c r="BX155" s="3"/>
      <c r="BY155" s="3"/>
    </row>
    <row r="156" spans="1:77" ht="15">
      <c r="A156" s="65" t="s">
        <v>363</v>
      </c>
      <c r="B156" s="66"/>
      <c r="C156" s="66" t="s">
        <v>64</v>
      </c>
      <c r="D156" s="67"/>
      <c r="E156" s="69"/>
      <c r="F156" s="104" t="str">
        <f>HYPERLINK("https://pbs.twimg.com/profile_images/1491139338012348418/ri-aQwrl_normal.jpg")</f>
        <v>https://pbs.twimg.com/profile_images/1491139338012348418/ri-aQwrl_normal.jpg</v>
      </c>
      <c r="G156" s="66"/>
      <c r="H156" s="70" t="s">
        <v>363</v>
      </c>
      <c r="I156" s="71" t="s">
        <v>4393</v>
      </c>
      <c r="J156" s="71" t="s">
        <v>73</v>
      </c>
      <c r="K156" s="70" t="s">
        <v>2294</v>
      </c>
      <c r="L156" s="74">
        <v>1</v>
      </c>
      <c r="M156" s="75">
        <v>5239.43359375</v>
      </c>
      <c r="N156" s="75">
        <v>4447.7578125</v>
      </c>
      <c r="O156" s="76"/>
      <c r="P156" s="77"/>
      <c r="Q156" s="77"/>
      <c r="R156" s="90"/>
      <c r="S156" s="49">
        <v>0</v>
      </c>
      <c r="T156" s="49">
        <v>1</v>
      </c>
      <c r="U156" s="50">
        <v>0</v>
      </c>
      <c r="V156" s="50">
        <v>0.239313</v>
      </c>
      <c r="W156" s="50">
        <v>0.067769</v>
      </c>
      <c r="X156" s="50">
        <v>0.003151</v>
      </c>
      <c r="Y156" s="50">
        <v>0</v>
      </c>
      <c r="Z156" s="50">
        <v>0</v>
      </c>
      <c r="AA156" s="72">
        <v>156</v>
      </c>
      <c r="AB156" s="72"/>
      <c r="AC156" s="73"/>
      <c r="AD156" s="80" t="s">
        <v>1387</v>
      </c>
      <c r="AE156" s="89" t="s">
        <v>1650</v>
      </c>
      <c r="AF156" s="80">
        <v>2478</v>
      </c>
      <c r="AG156" s="80">
        <v>521</v>
      </c>
      <c r="AH156" s="80">
        <v>2925</v>
      </c>
      <c r="AI156" s="80">
        <v>23454</v>
      </c>
      <c r="AJ156" s="80"/>
      <c r="AK156" s="80" t="s">
        <v>1911</v>
      </c>
      <c r="AL156" s="80"/>
      <c r="AM156" s="80"/>
      <c r="AN156" s="80"/>
      <c r="AO156" s="82">
        <v>39923.78857638889</v>
      </c>
      <c r="AP156" s="80"/>
      <c r="AQ156" s="80" t="b">
        <v>1</v>
      </c>
      <c r="AR156" s="80" t="b">
        <v>0</v>
      </c>
      <c r="AS156" s="80" t="b">
        <v>1</v>
      </c>
      <c r="AT156" s="80"/>
      <c r="AU156" s="80">
        <v>3</v>
      </c>
      <c r="AV156" s="86" t="str">
        <f>HYPERLINK("https://abs.twimg.com/images/themes/theme1/bg.png")</f>
        <v>https://abs.twimg.com/images/themes/theme1/bg.png</v>
      </c>
      <c r="AW156" s="80" t="b">
        <v>0</v>
      </c>
      <c r="AX156" s="80" t="s">
        <v>2141</v>
      </c>
      <c r="AY156" s="86" t="str">
        <f>HYPERLINK("https://twitter.com/timoturt")</f>
        <v>https://twitter.com/timoturt</v>
      </c>
      <c r="AZ156" s="80" t="s">
        <v>66</v>
      </c>
      <c r="BA156" s="80" t="str">
        <f>REPLACE(INDEX(GroupVertices[Group],MATCH(Vertices[[#This Row],[Vertex]],GroupVertices[Vertex],0)),1,1,"")</f>
        <v>1</v>
      </c>
      <c r="BB156" s="49">
        <v>0</v>
      </c>
      <c r="BC156" s="50">
        <v>0</v>
      </c>
      <c r="BD156" s="49">
        <v>0</v>
      </c>
      <c r="BE156" s="50">
        <v>0</v>
      </c>
      <c r="BF156" s="49">
        <v>0</v>
      </c>
      <c r="BG156" s="50">
        <v>0</v>
      </c>
      <c r="BH156" s="49">
        <v>33</v>
      </c>
      <c r="BI156" s="50">
        <v>100</v>
      </c>
      <c r="BJ156" s="49">
        <v>33</v>
      </c>
      <c r="BK156" s="49" t="s">
        <v>3990</v>
      </c>
      <c r="BL156" s="49" t="s">
        <v>3990</v>
      </c>
      <c r="BM156" s="49" t="s">
        <v>582</v>
      </c>
      <c r="BN156" s="49" t="s">
        <v>582</v>
      </c>
      <c r="BO156" s="49"/>
      <c r="BP156" s="49"/>
      <c r="BQ156" s="116" t="s">
        <v>4267</v>
      </c>
      <c r="BR156" s="116" t="s">
        <v>4267</v>
      </c>
      <c r="BS156" s="116" t="s">
        <v>4346</v>
      </c>
      <c r="BT156" s="116" t="s">
        <v>4346</v>
      </c>
      <c r="BU156" s="2"/>
      <c r="BV156" s="3"/>
      <c r="BW156" s="3"/>
      <c r="BX156" s="3"/>
      <c r="BY156" s="3"/>
    </row>
    <row r="157" spans="1:77" ht="15">
      <c r="A157" s="65" t="s">
        <v>364</v>
      </c>
      <c r="B157" s="66"/>
      <c r="C157" s="66" t="s">
        <v>64</v>
      </c>
      <c r="D157" s="67">
        <v>10</v>
      </c>
      <c r="E157" s="69"/>
      <c r="F157" s="104" t="str">
        <f>HYPERLINK("https://pbs.twimg.com/profile_images/1449742100598300678/VcKoO12P_normal.jpg")</f>
        <v>https://pbs.twimg.com/profile_images/1449742100598300678/VcKoO12P_normal.jpg</v>
      </c>
      <c r="G157" s="66"/>
      <c r="H157" s="70" t="s">
        <v>364</v>
      </c>
      <c r="I157" s="71" t="s">
        <v>4398</v>
      </c>
      <c r="J157" s="71" t="s">
        <v>73</v>
      </c>
      <c r="K157" s="70" t="s">
        <v>2295</v>
      </c>
      <c r="L157" s="74">
        <v>99.01960784313725</v>
      </c>
      <c r="M157" s="75"/>
      <c r="N157" s="75"/>
      <c r="O157" s="76"/>
      <c r="P157" s="77"/>
      <c r="Q157" s="77"/>
      <c r="R157" s="90"/>
      <c r="S157" s="49">
        <v>1</v>
      </c>
      <c r="T157" s="49">
        <v>1</v>
      </c>
      <c r="U157" s="50">
        <v>0</v>
      </c>
      <c r="V157" s="50">
        <v>0</v>
      </c>
      <c r="W157" s="50">
        <v>0</v>
      </c>
      <c r="X157" s="50">
        <v>0.003623</v>
      </c>
      <c r="Y157" s="50">
        <v>0</v>
      </c>
      <c r="Z157" s="50">
        <v>0</v>
      </c>
      <c r="AA157" s="72">
        <v>157</v>
      </c>
      <c r="AB157" s="72"/>
      <c r="AC157" s="73"/>
      <c r="AD157" s="80" t="s">
        <v>1388</v>
      </c>
      <c r="AE157" s="89" t="s">
        <v>1651</v>
      </c>
      <c r="AF157" s="80">
        <v>2391</v>
      </c>
      <c r="AG157" s="80">
        <v>1673</v>
      </c>
      <c r="AH157" s="80">
        <v>4971</v>
      </c>
      <c r="AI157" s="80">
        <v>33598</v>
      </c>
      <c r="AJ157" s="80"/>
      <c r="AK157" s="80" t="s">
        <v>1912</v>
      </c>
      <c r="AL157" s="80"/>
      <c r="AM157" s="86" t="str">
        <f>HYPERLINK("https://t.co/TIarFZhIJ8")</f>
        <v>https://t.co/TIarFZhIJ8</v>
      </c>
      <c r="AN157" s="80"/>
      <c r="AO157" s="82">
        <v>41822.17607638889</v>
      </c>
      <c r="AP157" s="86" t="str">
        <f>HYPERLINK("https://pbs.twimg.com/profile_banners/2662559878/1626014375")</f>
        <v>https://pbs.twimg.com/profile_banners/2662559878/1626014375</v>
      </c>
      <c r="AQ157" s="80" t="b">
        <v>1</v>
      </c>
      <c r="AR157" s="80" t="b">
        <v>0</v>
      </c>
      <c r="AS157" s="80" t="b">
        <v>1</v>
      </c>
      <c r="AT157" s="80"/>
      <c r="AU157" s="80">
        <v>7</v>
      </c>
      <c r="AV157" s="86" t="str">
        <f>HYPERLINK("https://abs.twimg.com/images/themes/theme1/bg.png")</f>
        <v>https://abs.twimg.com/images/themes/theme1/bg.png</v>
      </c>
      <c r="AW157" s="80" t="b">
        <v>0</v>
      </c>
      <c r="AX157" s="80" t="s">
        <v>2141</v>
      </c>
      <c r="AY157" s="86" t="str">
        <f>HYPERLINK("https://twitter.com/raisaharjuautti")</f>
        <v>https://twitter.com/raisaharjuautti</v>
      </c>
      <c r="AZ157" s="80" t="s">
        <v>66</v>
      </c>
      <c r="BA157" s="80" t="str">
        <f>REPLACE(INDEX(GroupVertices[Group],MATCH(Vertices[[#This Row],[Vertex]],GroupVertices[Vertex],0)),1,1,"")</f>
        <v>3</v>
      </c>
      <c r="BB157" s="49">
        <v>0</v>
      </c>
      <c r="BC157" s="50">
        <v>0</v>
      </c>
      <c r="BD157" s="49">
        <v>0</v>
      </c>
      <c r="BE157" s="50">
        <v>0</v>
      </c>
      <c r="BF157" s="49">
        <v>0</v>
      </c>
      <c r="BG157" s="50">
        <v>0</v>
      </c>
      <c r="BH157" s="49">
        <v>19</v>
      </c>
      <c r="BI157" s="50">
        <v>100</v>
      </c>
      <c r="BJ157" s="49">
        <v>19</v>
      </c>
      <c r="BK157" s="49" t="s">
        <v>3997</v>
      </c>
      <c r="BL157" s="49" t="s">
        <v>3997</v>
      </c>
      <c r="BM157" s="49" t="s">
        <v>582</v>
      </c>
      <c r="BN157" s="49" t="s">
        <v>582</v>
      </c>
      <c r="BO157" s="49" t="s">
        <v>596</v>
      </c>
      <c r="BP157" s="49" t="s">
        <v>596</v>
      </c>
      <c r="BQ157" s="116" t="s">
        <v>4278</v>
      </c>
      <c r="BR157" s="116" t="s">
        <v>4278</v>
      </c>
      <c r="BS157" s="116" t="s">
        <v>4356</v>
      </c>
      <c r="BT157" s="116" t="s">
        <v>4356</v>
      </c>
      <c r="BU157" s="2"/>
      <c r="BV157" s="3"/>
      <c r="BW157" s="3"/>
      <c r="BX157" s="3"/>
      <c r="BY157" s="3"/>
    </row>
    <row r="158" spans="1:77" ht="15">
      <c r="A158" s="65" t="s">
        <v>365</v>
      </c>
      <c r="B158" s="66"/>
      <c r="C158" s="66" t="s">
        <v>64</v>
      </c>
      <c r="D158" s="67"/>
      <c r="E158" s="69"/>
      <c r="F158" s="104" t="str">
        <f>HYPERLINK("https://pbs.twimg.com/profile_images/1330413504478801921/L-FSc5_X_normal.jpg")</f>
        <v>https://pbs.twimg.com/profile_images/1330413504478801921/L-FSc5_X_normal.jpg</v>
      </c>
      <c r="G158" s="66"/>
      <c r="H158" s="70" t="s">
        <v>365</v>
      </c>
      <c r="I158" s="71" t="s">
        <v>4393</v>
      </c>
      <c r="J158" s="71" t="s">
        <v>73</v>
      </c>
      <c r="K158" s="70" t="s">
        <v>2296</v>
      </c>
      <c r="L158" s="74">
        <v>1</v>
      </c>
      <c r="M158" s="75">
        <v>2554.989990234375</v>
      </c>
      <c r="N158" s="75">
        <v>5127.8701171875</v>
      </c>
      <c r="O158" s="76"/>
      <c r="P158" s="77"/>
      <c r="Q158" s="77"/>
      <c r="R158" s="90"/>
      <c r="S158" s="49">
        <v>0</v>
      </c>
      <c r="T158" s="49">
        <v>1</v>
      </c>
      <c r="U158" s="50">
        <v>0</v>
      </c>
      <c r="V158" s="50">
        <v>0.239313</v>
      </c>
      <c r="W158" s="50">
        <v>0.067769</v>
      </c>
      <c r="X158" s="50">
        <v>0.003151</v>
      </c>
      <c r="Y158" s="50">
        <v>0</v>
      </c>
      <c r="Z158" s="50">
        <v>0</v>
      </c>
      <c r="AA158" s="72">
        <v>158</v>
      </c>
      <c r="AB158" s="72"/>
      <c r="AC158" s="73"/>
      <c r="AD158" s="80" t="s">
        <v>1389</v>
      </c>
      <c r="AE158" s="89" t="s">
        <v>1652</v>
      </c>
      <c r="AF158" s="80">
        <v>280</v>
      </c>
      <c r="AG158" s="80">
        <v>113</v>
      </c>
      <c r="AH158" s="80">
        <v>9957</v>
      </c>
      <c r="AI158" s="80">
        <v>18632</v>
      </c>
      <c r="AJ158" s="80"/>
      <c r="AK158" s="80" t="s">
        <v>1913</v>
      </c>
      <c r="AL158" s="80" t="s">
        <v>2097</v>
      </c>
      <c r="AM158" s="80"/>
      <c r="AN158" s="80"/>
      <c r="AO158" s="82">
        <v>43065.81793981481</v>
      </c>
      <c r="AP158" s="86" t="str">
        <f>HYPERLINK("https://pbs.twimg.com/profile_banners/934868818173800449/1511725574")</f>
        <v>https://pbs.twimg.com/profile_banners/934868818173800449/1511725574</v>
      </c>
      <c r="AQ158" s="80" t="b">
        <v>1</v>
      </c>
      <c r="AR158" s="80" t="b">
        <v>0</v>
      </c>
      <c r="AS158" s="80" t="b">
        <v>1</v>
      </c>
      <c r="AT158" s="80"/>
      <c r="AU158" s="80">
        <v>1</v>
      </c>
      <c r="AV158" s="80"/>
      <c r="AW158" s="80" t="b">
        <v>0</v>
      </c>
      <c r="AX158" s="80" t="s">
        <v>2141</v>
      </c>
      <c r="AY158" s="86" t="str">
        <f>HYPERLINK("https://twitter.com/aksu09845728")</f>
        <v>https://twitter.com/aksu09845728</v>
      </c>
      <c r="AZ158" s="80" t="s">
        <v>66</v>
      </c>
      <c r="BA158" s="80" t="str">
        <f>REPLACE(INDEX(GroupVertices[Group],MATCH(Vertices[[#This Row],[Vertex]],GroupVertices[Vertex],0)),1,1,"")</f>
        <v>1</v>
      </c>
      <c r="BB158" s="49">
        <v>0</v>
      </c>
      <c r="BC158" s="50">
        <v>0</v>
      </c>
      <c r="BD158" s="49">
        <v>0</v>
      </c>
      <c r="BE158" s="50">
        <v>0</v>
      </c>
      <c r="BF158" s="49">
        <v>0</v>
      </c>
      <c r="BG158" s="50">
        <v>0</v>
      </c>
      <c r="BH158" s="49">
        <v>33</v>
      </c>
      <c r="BI158" s="50">
        <v>100</v>
      </c>
      <c r="BJ158" s="49">
        <v>33</v>
      </c>
      <c r="BK158" s="49" t="s">
        <v>3990</v>
      </c>
      <c r="BL158" s="49" t="s">
        <v>3990</v>
      </c>
      <c r="BM158" s="49" t="s">
        <v>582</v>
      </c>
      <c r="BN158" s="49" t="s">
        <v>582</v>
      </c>
      <c r="BO158" s="49"/>
      <c r="BP158" s="49"/>
      <c r="BQ158" s="116" t="s">
        <v>4267</v>
      </c>
      <c r="BR158" s="116" t="s">
        <v>4267</v>
      </c>
      <c r="BS158" s="116" t="s">
        <v>4346</v>
      </c>
      <c r="BT158" s="116" t="s">
        <v>4346</v>
      </c>
      <c r="BU158" s="2"/>
      <c r="BV158" s="3"/>
      <c r="BW158" s="3"/>
      <c r="BX158" s="3"/>
      <c r="BY158" s="3"/>
    </row>
    <row r="159" spans="1:77" ht="15">
      <c r="A159" s="65" t="s">
        <v>366</v>
      </c>
      <c r="B159" s="66"/>
      <c r="C159" s="66" t="s">
        <v>64</v>
      </c>
      <c r="D159" s="67"/>
      <c r="E159" s="69"/>
      <c r="F159" s="104" t="str">
        <f>HYPERLINK("https://pbs.twimg.com/profile_images/1345806215075520514/NcTTtAgZ_normal.jpg")</f>
        <v>https://pbs.twimg.com/profile_images/1345806215075520514/NcTTtAgZ_normal.jpg</v>
      </c>
      <c r="G159" s="66"/>
      <c r="H159" s="70" t="s">
        <v>366</v>
      </c>
      <c r="I159" s="71" t="s">
        <v>4393</v>
      </c>
      <c r="J159" s="71" t="s">
        <v>73</v>
      </c>
      <c r="K159" s="70" t="s">
        <v>2297</v>
      </c>
      <c r="L159" s="74">
        <v>1</v>
      </c>
      <c r="M159" s="75">
        <v>3734.068115234375</v>
      </c>
      <c r="N159" s="75">
        <v>8744.2421875</v>
      </c>
      <c r="O159" s="76"/>
      <c r="P159" s="77"/>
      <c r="Q159" s="77"/>
      <c r="R159" s="90"/>
      <c r="S159" s="49">
        <v>0</v>
      </c>
      <c r="T159" s="49">
        <v>1</v>
      </c>
      <c r="U159" s="50">
        <v>0</v>
      </c>
      <c r="V159" s="50">
        <v>0.239313</v>
      </c>
      <c r="W159" s="50">
        <v>0.067769</v>
      </c>
      <c r="X159" s="50">
        <v>0.003151</v>
      </c>
      <c r="Y159" s="50">
        <v>0</v>
      </c>
      <c r="Z159" s="50">
        <v>0</v>
      </c>
      <c r="AA159" s="72">
        <v>159</v>
      </c>
      <c r="AB159" s="72"/>
      <c r="AC159" s="73"/>
      <c r="AD159" s="80" t="s">
        <v>1390</v>
      </c>
      <c r="AE159" s="89" t="s">
        <v>1653</v>
      </c>
      <c r="AF159" s="80">
        <v>1077</v>
      </c>
      <c r="AG159" s="80">
        <v>997</v>
      </c>
      <c r="AH159" s="80">
        <v>17399</v>
      </c>
      <c r="AI159" s="80">
        <v>10199</v>
      </c>
      <c r="AJ159" s="80"/>
      <c r="AK159" s="80" t="s">
        <v>1914</v>
      </c>
      <c r="AL159" s="80" t="s">
        <v>2050</v>
      </c>
      <c r="AM159" s="80"/>
      <c r="AN159" s="80"/>
      <c r="AO159" s="82">
        <v>39165.02630787037</v>
      </c>
      <c r="AP159" s="86" t="str">
        <f>HYPERLINK("https://pbs.twimg.com/profile_banners/2067961/1642788860")</f>
        <v>https://pbs.twimg.com/profile_banners/2067961/1642788860</v>
      </c>
      <c r="AQ159" s="80" t="b">
        <v>0</v>
      </c>
      <c r="AR159" s="80" t="b">
        <v>0</v>
      </c>
      <c r="AS159" s="80" t="b">
        <v>1</v>
      </c>
      <c r="AT159" s="80"/>
      <c r="AU159" s="80">
        <v>41</v>
      </c>
      <c r="AV159" s="86" t="str">
        <f>HYPERLINK("https://abs.twimg.com/images/themes/theme1/bg.png")</f>
        <v>https://abs.twimg.com/images/themes/theme1/bg.png</v>
      </c>
      <c r="AW159" s="80" t="b">
        <v>0</v>
      </c>
      <c r="AX159" s="80" t="s">
        <v>2141</v>
      </c>
      <c r="AY159" s="86" t="str">
        <f>HYPERLINK("https://twitter.com/erkka")</f>
        <v>https://twitter.com/erkka</v>
      </c>
      <c r="AZ159" s="80" t="s">
        <v>66</v>
      </c>
      <c r="BA159" s="80" t="str">
        <f>REPLACE(INDEX(GroupVertices[Group],MATCH(Vertices[[#This Row],[Vertex]],GroupVertices[Vertex],0)),1,1,"")</f>
        <v>1</v>
      </c>
      <c r="BB159" s="49">
        <v>0</v>
      </c>
      <c r="BC159" s="50">
        <v>0</v>
      </c>
      <c r="BD159" s="49">
        <v>0</v>
      </c>
      <c r="BE159" s="50">
        <v>0</v>
      </c>
      <c r="BF159" s="49">
        <v>0</v>
      </c>
      <c r="BG159" s="50">
        <v>0</v>
      </c>
      <c r="BH159" s="49">
        <v>33</v>
      </c>
      <c r="BI159" s="50">
        <v>100</v>
      </c>
      <c r="BJ159" s="49">
        <v>33</v>
      </c>
      <c r="BK159" s="49" t="s">
        <v>3990</v>
      </c>
      <c r="BL159" s="49" t="s">
        <v>3990</v>
      </c>
      <c r="BM159" s="49" t="s">
        <v>582</v>
      </c>
      <c r="BN159" s="49" t="s">
        <v>582</v>
      </c>
      <c r="BO159" s="49"/>
      <c r="BP159" s="49"/>
      <c r="BQ159" s="116" t="s">
        <v>4267</v>
      </c>
      <c r="BR159" s="116" t="s">
        <v>4267</v>
      </c>
      <c r="BS159" s="116" t="s">
        <v>4346</v>
      </c>
      <c r="BT159" s="116" t="s">
        <v>4346</v>
      </c>
      <c r="BU159" s="2"/>
      <c r="BV159" s="3"/>
      <c r="BW159" s="3"/>
      <c r="BX159" s="3"/>
      <c r="BY159" s="3"/>
    </row>
    <row r="160" spans="1:77" ht="15">
      <c r="A160" s="65" t="s">
        <v>367</v>
      </c>
      <c r="B160" s="66"/>
      <c r="C160" s="66" t="s">
        <v>64</v>
      </c>
      <c r="D160" s="67"/>
      <c r="E160" s="69"/>
      <c r="F160" s="104" t="str">
        <f>HYPERLINK("https://pbs.twimg.com/profile_images/974904139238068224/4WXDPQjO_normal.jpg")</f>
        <v>https://pbs.twimg.com/profile_images/974904139238068224/4WXDPQjO_normal.jpg</v>
      </c>
      <c r="G160" s="66"/>
      <c r="H160" s="70" t="s">
        <v>367</v>
      </c>
      <c r="I160" s="71" t="s">
        <v>4393</v>
      </c>
      <c r="J160" s="71" t="s">
        <v>73</v>
      </c>
      <c r="K160" s="70" t="s">
        <v>2298</v>
      </c>
      <c r="L160" s="74">
        <v>1</v>
      </c>
      <c r="M160" s="75">
        <v>3510.0625</v>
      </c>
      <c r="N160" s="75">
        <v>9324.568359375</v>
      </c>
      <c r="O160" s="76"/>
      <c r="P160" s="77"/>
      <c r="Q160" s="77"/>
      <c r="R160" s="90"/>
      <c r="S160" s="49">
        <v>0</v>
      </c>
      <c r="T160" s="49">
        <v>1</v>
      </c>
      <c r="U160" s="50">
        <v>0</v>
      </c>
      <c r="V160" s="50">
        <v>0.239313</v>
      </c>
      <c r="W160" s="50">
        <v>0.067769</v>
      </c>
      <c r="X160" s="50">
        <v>0.003151</v>
      </c>
      <c r="Y160" s="50">
        <v>0</v>
      </c>
      <c r="Z160" s="50">
        <v>0</v>
      </c>
      <c r="AA160" s="72">
        <v>160</v>
      </c>
      <c r="AB160" s="72"/>
      <c r="AC160" s="73"/>
      <c r="AD160" s="80" t="s">
        <v>1391</v>
      </c>
      <c r="AE160" s="89" t="s">
        <v>1654</v>
      </c>
      <c r="AF160" s="80">
        <v>2329</v>
      </c>
      <c r="AG160" s="80">
        <v>709</v>
      </c>
      <c r="AH160" s="80">
        <v>3093</v>
      </c>
      <c r="AI160" s="80">
        <v>13193</v>
      </c>
      <c r="AJ160" s="80"/>
      <c r="AK160" s="80" t="s">
        <v>1915</v>
      </c>
      <c r="AL160" s="80"/>
      <c r="AM160" s="80"/>
      <c r="AN160" s="80"/>
      <c r="AO160" s="82">
        <v>39906.58224537037</v>
      </c>
      <c r="AP160" s="80"/>
      <c r="AQ160" s="80" t="b">
        <v>1</v>
      </c>
      <c r="AR160" s="80" t="b">
        <v>0</v>
      </c>
      <c r="AS160" s="80" t="b">
        <v>0</v>
      </c>
      <c r="AT160" s="80"/>
      <c r="AU160" s="80">
        <v>7</v>
      </c>
      <c r="AV160" s="86" t="str">
        <f>HYPERLINK("https://abs.twimg.com/images/themes/theme1/bg.png")</f>
        <v>https://abs.twimg.com/images/themes/theme1/bg.png</v>
      </c>
      <c r="AW160" s="80" t="b">
        <v>0</v>
      </c>
      <c r="AX160" s="80" t="s">
        <v>2141</v>
      </c>
      <c r="AY160" s="86" t="str">
        <f>HYPERLINK("https://twitter.com/nahuman")</f>
        <v>https://twitter.com/nahuman</v>
      </c>
      <c r="AZ160" s="80" t="s">
        <v>66</v>
      </c>
      <c r="BA160" s="80" t="str">
        <f>REPLACE(INDEX(GroupVertices[Group],MATCH(Vertices[[#This Row],[Vertex]],GroupVertices[Vertex],0)),1,1,"")</f>
        <v>1</v>
      </c>
      <c r="BB160" s="49">
        <v>0</v>
      </c>
      <c r="BC160" s="50">
        <v>0</v>
      </c>
      <c r="BD160" s="49">
        <v>0</v>
      </c>
      <c r="BE160" s="50">
        <v>0</v>
      </c>
      <c r="BF160" s="49">
        <v>0</v>
      </c>
      <c r="BG160" s="50">
        <v>0</v>
      </c>
      <c r="BH160" s="49">
        <v>33</v>
      </c>
      <c r="BI160" s="50">
        <v>100</v>
      </c>
      <c r="BJ160" s="49">
        <v>33</v>
      </c>
      <c r="BK160" s="49" t="s">
        <v>3990</v>
      </c>
      <c r="BL160" s="49" t="s">
        <v>3990</v>
      </c>
      <c r="BM160" s="49" t="s">
        <v>582</v>
      </c>
      <c r="BN160" s="49" t="s">
        <v>582</v>
      </c>
      <c r="BO160" s="49"/>
      <c r="BP160" s="49"/>
      <c r="BQ160" s="116" t="s">
        <v>4267</v>
      </c>
      <c r="BR160" s="116" t="s">
        <v>4267</v>
      </c>
      <c r="BS160" s="116" t="s">
        <v>4346</v>
      </c>
      <c r="BT160" s="116" t="s">
        <v>4346</v>
      </c>
      <c r="BU160" s="2"/>
      <c r="BV160" s="3"/>
      <c r="BW160" s="3"/>
      <c r="BX160" s="3"/>
      <c r="BY160" s="3"/>
    </row>
    <row r="161" spans="1:77" ht="15">
      <c r="A161" s="65" t="s">
        <v>368</v>
      </c>
      <c r="B161" s="66"/>
      <c r="C161" s="66" t="s">
        <v>64</v>
      </c>
      <c r="D161" s="67">
        <v>10</v>
      </c>
      <c r="E161" s="69"/>
      <c r="F161" s="104" t="str">
        <f>HYPERLINK("https://pbs.twimg.com/profile_images/1361659877194674178/hTg-Wrrd_normal.jpg")</f>
        <v>https://pbs.twimg.com/profile_images/1361659877194674178/hTg-Wrrd_normal.jpg</v>
      </c>
      <c r="G161" s="66"/>
      <c r="H161" s="70" t="s">
        <v>368</v>
      </c>
      <c r="I161" s="71" t="s">
        <v>4398</v>
      </c>
      <c r="J161" s="71" t="s">
        <v>73</v>
      </c>
      <c r="K161" s="70" t="s">
        <v>2299</v>
      </c>
      <c r="L161" s="74">
        <v>99.01960784313725</v>
      </c>
      <c r="M161" s="75"/>
      <c r="N161" s="75"/>
      <c r="O161" s="76"/>
      <c r="P161" s="77"/>
      <c r="Q161" s="77"/>
      <c r="R161" s="90"/>
      <c r="S161" s="49">
        <v>1</v>
      </c>
      <c r="T161" s="49">
        <v>1</v>
      </c>
      <c r="U161" s="50">
        <v>0</v>
      </c>
      <c r="V161" s="50">
        <v>0</v>
      </c>
      <c r="W161" s="50">
        <v>0</v>
      </c>
      <c r="X161" s="50">
        <v>0.003623</v>
      </c>
      <c r="Y161" s="50">
        <v>0</v>
      </c>
      <c r="Z161" s="50">
        <v>0</v>
      </c>
      <c r="AA161" s="72">
        <v>161</v>
      </c>
      <c r="AB161" s="72"/>
      <c r="AC161" s="73"/>
      <c r="AD161" s="80" t="s">
        <v>1392</v>
      </c>
      <c r="AE161" s="89" t="s">
        <v>1655</v>
      </c>
      <c r="AF161" s="80">
        <v>1217</v>
      </c>
      <c r="AG161" s="80">
        <v>764</v>
      </c>
      <c r="AH161" s="80">
        <v>5680</v>
      </c>
      <c r="AI161" s="80">
        <v>12491</v>
      </c>
      <c r="AJ161" s="80"/>
      <c r="AK161" s="80" t="s">
        <v>1916</v>
      </c>
      <c r="AL161" s="80" t="s">
        <v>1201</v>
      </c>
      <c r="AM161" s="86" t="str">
        <f>HYPERLINK("https://t.co/ajQqQyGAr8")</f>
        <v>https://t.co/ajQqQyGAr8</v>
      </c>
      <c r="AN161" s="80"/>
      <c r="AO161" s="82">
        <v>41471.48564814815</v>
      </c>
      <c r="AP161" s="86" t="str">
        <f>HYPERLINK("https://pbs.twimg.com/profile_banners/1598227825/1645730007")</f>
        <v>https://pbs.twimg.com/profile_banners/1598227825/1645730007</v>
      </c>
      <c r="AQ161" s="80" t="b">
        <v>0</v>
      </c>
      <c r="AR161" s="80" t="b">
        <v>0</v>
      </c>
      <c r="AS161" s="80" t="b">
        <v>1</v>
      </c>
      <c r="AT161" s="80"/>
      <c r="AU161" s="80">
        <v>45</v>
      </c>
      <c r="AV161" s="86" t="str">
        <f>HYPERLINK("https://abs.twimg.com/images/themes/theme9/bg.gif")</f>
        <v>https://abs.twimg.com/images/themes/theme9/bg.gif</v>
      </c>
      <c r="AW161" s="80" t="b">
        <v>0</v>
      </c>
      <c r="AX161" s="80" t="s">
        <v>2141</v>
      </c>
      <c r="AY161" s="86" t="str">
        <f>HYPERLINK("https://twitter.com/pinja_l")</f>
        <v>https://twitter.com/pinja_l</v>
      </c>
      <c r="AZ161" s="80" t="s">
        <v>66</v>
      </c>
      <c r="BA161" s="80" t="str">
        <f>REPLACE(INDEX(GroupVertices[Group],MATCH(Vertices[[#This Row],[Vertex]],GroupVertices[Vertex],0)),1,1,"")</f>
        <v>3</v>
      </c>
      <c r="BB161" s="49">
        <v>0</v>
      </c>
      <c r="BC161" s="50">
        <v>0</v>
      </c>
      <c r="BD161" s="49">
        <v>0</v>
      </c>
      <c r="BE161" s="50">
        <v>0</v>
      </c>
      <c r="BF161" s="49">
        <v>0</v>
      </c>
      <c r="BG161" s="50">
        <v>0</v>
      </c>
      <c r="BH161" s="49">
        <v>14</v>
      </c>
      <c r="BI161" s="50">
        <v>100</v>
      </c>
      <c r="BJ161" s="49">
        <v>14</v>
      </c>
      <c r="BK161" s="49" t="s">
        <v>3997</v>
      </c>
      <c r="BL161" s="49" t="s">
        <v>3997</v>
      </c>
      <c r="BM161" s="49" t="s">
        <v>582</v>
      </c>
      <c r="BN161" s="49" t="s">
        <v>582</v>
      </c>
      <c r="BO161" s="49" t="s">
        <v>596</v>
      </c>
      <c r="BP161" s="49" t="s">
        <v>596</v>
      </c>
      <c r="BQ161" s="116" t="s">
        <v>4279</v>
      </c>
      <c r="BR161" s="116" t="s">
        <v>4279</v>
      </c>
      <c r="BS161" s="116" t="s">
        <v>4357</v>
      </c>
      <c r="BT161" s="116" t="s">
        <v>4357</v>
      </c>
      <c r="BU161" s="2"/>
      <c r="BV161" s="3"/>
      <c r="BW161" s="3"/>
      <c r="BX161" s="3"/>
      <c r="BY161" s="3"/>
    </row>
    <row r="162" spans="1:77" ht="15">
      <c r="A162" s="65" t="s">
        <v>369</v>
      </c>
      <c r="B162" s="66"/>
      <c r="C162" s="66" t="s">
        <v>64</v>
      </c>
      <c r="D162" s="67"/>
      <c r="E162" s="69"/>
      <c r="F162" s="104" t="str">
        <f>HYPERLINK("https://pbs.twimg.com/profile_images/1497916020866097156/93unhqJ9_normal.jpg")</f>
        <v>https://pbs.twimg.com/profile_images/1497916020866097156/93unhqJ9_normal.jpg</v>
      </c>
      <c r="G162" s="66"/>
      <c r="H162" s="70" t="s">
        <v>369</v>
      </c>
      <c r="I162" s="71" t="s">
        <v>4393</v>
      </c>
      <c r="J162" s="71" t="s">
        <v>73</v>
      </c>
      <c r="K162" s="70" t="s">
        <v>2300</v>
      </c>
      <c r="L162" s="74">
        <v>1</v>
      </c>
      <c r="M162" s="75">
        <v>2384.19384765625</v>
      </c>
      <c r="N162" s="75">
        <v>8230.8369140625</v>
      </c>
      <c r="O162" s="76"/>
      <c r="P162" s="77"/>
      <c r="Q162" s="77"/>
      <c r="R162" s="90"/>
      <c r="S162" s="49">
        <v>0</v>
      </c>
      <c r="T162" s="49">
        <v>1</v>
      </c>
      <c r="U162" s="50">
        <v>0</v>
      </c>
      <c r="V162" s="50">
        <v>0.239313</v>
      </c>
      <c r="W162" s="50">
        <v>0.067769</v>
      </c>
      <c r="X162" s="50">
        <v>0.003151</v>
      </c>
      <c r="Y162" s="50">
        <v>0</v>
      </c>
      <c r="Z162" s="50">
        <v>0</v>
      </c>
      <c r="AA162" s="72">
        <v>162</v>
      </c>
      <c r="AB162" s="72"/>
      <c r="AC162" s="73"/>
      <c r="AD162" s="80" t="s">
        <v>1393</v>
      </c>
      <c r="AE162" s="89" t="s">
        <v>1656</v>
      </c>
      <c r="AF162" s="80">
        <v>2137</v>
      </c>
      <c r="AG162" s="80">
        <v>445</v>
      </c>
      <c r="AH162" s="80">
        <v>33104</v>
      </c>
      <c r="AI162" s="80">
        <v>12445</v>
      </c>
      <c r="AJ162" s="80"/>
      <c r="AK162" s="80" t="s">
        <v>1917</v>
      </c>
      <c r="AL162" s="80" t="s">
        <v>2098</v>
      </c>
      <c r="AM162" s="80"/>
      <c r="AN162" s="80"/>
      <c r="AO162" s="82">
        <v>41693.79829861111</v>
      </c>
      <c r="AP162" s="86" t="str">
        <f>HYPERLINK("https://pbs.twimg.com/profile_banners/2361410524/1393182992")</f>
        <v>https://pbs.twimg.com/profile_banners/2361410524/1393182992</v>
      </c>
      <c r="AQ162" s="80" t="b">
        <v>1</v>
      </c>
      <c r="AR162" s="80" t="b">
        <v>0</v>
      </c>
      <c r="AS162" s="80" t="b">
        <v>0</v>
      </c>
      <c r="AT162" s="80"/>
      <c r="AU162" s="80">
        <v>192</v>
      </c>
      <c r="AV162" s="86" t="str">
        <f>HYPERLINK("https://abs.twimg.com/images/themes/theme1/bg.png")</f>
        <v>https://abs.twimg.com/images/themes/theme1/bg.png</v>
      </c>
      <c r="AW162" s="80" t="b">
        <v>0</v>
      </c>
      <c r="AX162" s="80" t="s">
        <v>2141</v>
      </c>
      <c r="AY162" s="86" t="str">
        <f>HYPERLINK("https://twitter.com/mhinkkanen")</f>
        <v>https://twitter.com/mhinkkanen</v>
      </c>
      <c r="AZ162" s="80" t="s">
        <v>66</v>
      </c>
      <c r="BA162" s="80" t="str">
        <f>REPLACE(INDEX(GroupVertices[Group],MATCH(Vertices[[#This Row],[Vertex]],GroupVertices[Vertex],0)),1,1,"")</f>
        <v>1</v>
      </c>
      <c r="BB162" s="49">
        <v>0</v>
      </c>
      <c r="BC162" s="50">
        <v>0</v>
      </c>
      <c r="BD162" s="49">
        <v>0</v>
      </c>
      <c r="BE162" s="50">
        <v>0</v>
      </c>
      <c r="BF162" s="49">
        <v>0</v>
      </c>
      <c r="BG162" s="50">
        <v>0</v>
      </c>
      <c r="BH162" s="49">
        <v>33</v>
      </c>
      <c r="BI162" s="50">
        <v>100</v>
      </c>
      <c r="BJ162" s="49">
        <v>33</v>
      </c>
      <c r="BK162" s="49" t="s">
        <v>3990</v>
      </c>
      <c r="BL162" s="49" t="s">
        <v>3990</v>
      </c>
      <c r="BM162" s="49" t="s">
        <v>582</v>
      </c>
      <c r="BN162" s="49" t="s">
        <v>582</v>
      </c>
      <c r="BO162" s="49"/>
      <c r="BP162" s="49"/>
      <c r="BQ162" s="116" t="s">
        <v>4267</v>
      </c>
      <c r="BR162" s="116" t="s">
        <v>4267</v>
      </c>
      <c r="BS162" s="116" t="s">
        <v>4346</v>
      </c>
      <c r="BT162" s="116" t="s">
        <v>4346</v>
      </c>
      <c r="BU162" s="2"/>
      <c r="BV162" s="3"/>
      <c r="BW162" s="3"/>
      <c r="BX162" s="3"/>
      <c r="BY162" s="3"/>
    </row>
    <row r="163" spans="1:77" ht="15">
      <c r="A163" s="65" t="s">
        <v>370</v>
      </c>
      <c r="B163" s="66"/>
      <c r="C163" s="66" t="s">
        <v>64</v>
      </c>
      <c r="D163" s="67"/>
      <c r="E163" s="69"/>
      <c r="F163" s="104" t="str">
        <f>HYPERLINK("https://pbs.twimg.com/profile_images/1398290325593014274/6KrWKnlJ_normal.jpg")</f>
        <v>https://pbs.twimg.com/profile_images/1398290325593014274/6KrWKnlJ_normal.jpg</v>
      </c>
      <c r="G163" s="66"/>
      <c r="H163" s="70" t="s">
        <v>370</v>
      </c>
      <c r="I163" s="71" t="s">
        <v>4393</v>
      </c>
      <c r="J163" s="71" t="s">
        <v>73</v>
      </c>
      <c r="K163" s="70" t="s">
        <v>2301</v>
      </c>
      <c r="L163" s="74">
        <v>1</v>
      </c>
      <c r="M163" s="75">
        <v>6527.927734375</v>
      </c>
      <c r="N163" s="75">
        <v>8944.966796875</v>
      </c>
      <c r="O163" s="76"/>
      <c r="P163" s="77"/>
      <c r="Q163" s="77"/>
      <c r="R163" s="90"/>
      <c r="S163" s="49">
        <v>0</v>
      </c>
      <c r="T163" s="49">
        <v>1</v>
      </c>
      <c r="U163" s="50">
        <v>0</v>
      </c>
      <c r="V163" s="50">
        <v>0.239313</v>
      </c>
      <c r="W163" s="50">
        <v>0.067769</v>
      </c>
      <c r="X163" s="50">
        <v>0.003151</v>
      </c>
      <c r="Y163" s="50">
        <v>0</v>
      </c>
      <c r="Z163" s="50">
        <v>0</v>
      </c>
      <c r="AA163" s="72">
        <v>163</v>
      </c>
      <c r="AB163" s="72"/>
      <c r="AC163" s="73"/>
      <c r="AD163" s="80" t="s">
        <v>1394</v>
      </c>
      <c r="AE163" s="89" t="s">
        <v>1657</v>
      </c>
      <c r="AF163" s="80">
        <v>542</v>
      </c>
      <c r="AG163" s="80">
        <v>172</v>
      </c>
      <c r="AH163" s="80">
        <v>783</v>
      </c>
      <c r="AI163" s="80">
        <v>14096</v>
      </c>
      <c r="AJ163" s="80"/>
      <c r="AK163" s="80" t="s">
        <v>1918</v>
      </c>
      <c r="AL163" s="80" t="s">
        <v>2099</v>
      </c>
      <c r="AM163" s="80"/>
      <c r="AN163" s="80"/>
      <c r="AO163" s="82">
        <v>41655.83398148148</v>
      </c>
      <c r="AP163" s="86" t="str">
        <f>HYPERLINK("https://pbs.twimg.com/profile_banners/2286552579/1516560977")</f>
        <v>https://pbs.twimg.com/profile_banners/2286552579/1516560977</v>
      </c>
      <c r="AQ163" s="80" t="b">
        <v>1</v>
      </c>
      <c r="AR163" s="80" t="b">
        <v>0</v>
      </c>
      <c r="AS163" s="80" t="b">
        <v>1</v>
      </c>
      <c r="AT163" s="80"/>
      <c r="AU163" s="80">
        <v>0</v>
      </c>
      <c r="AV163" s="86" t="str">
        <f>HYPERLINK("https://abs.twimg.com/images/themes/theme1/bg.png")</f>
        <v>https://abs.twimg.com/images/themes/theme1/bg.png</v>
      </c>
      <c r="AW163" s="80" t="b">
        <v>0</v>
      </c>
      <c r="AX163" s="80" t="s">
        <v>2141</v>
      </c>
      <c r="AY163" s="86" t="str">
        <f>HYPERLINK("https://twitter.com/aapojg")</f>
        <v>https://twitter.com/aapojg</v>
      </c>
      <c r="AZ163" s="80" t="s">
        <v>66</v>
      </c>
      <c r="BA163" s="80" t="str">
        <f>REPLACE(INDEX(GroupVertices[Group],MATCH(Vertices[[#This Row],[Vertex]],GroupVertices[Vertex],0)),1,1,"")</f>
        <v>1</v>
      </c>
      <c r="BB163" s="49">
        <v>0</v>
      </c>
      <c r="BC163" s="50">
        <v>0</v>
      </c>
      <c r="BD163" s="49">
        <v>0</v>
      </c>
      <c r="BE163" s="50">
        <v>0</v>
      </c>
      <c r="BF163" s="49">
        <v>0</v>
      </c>
      <c r="BG163" s="50">
        <v>0</v>
      </c>
      <c r="BH163" s="49">
        <v>33</v>
      </c>
      <c r="BI163" s="50">
        <v>100</v>
      </c>
      <c r="BJ163" s="49">
        <v>33</v>
      </c>
      <c r="BK163" s="49" t="s">
        <v>3990</v>
      </c>
      <c r="BL163" s="49" t="s">
        <v>3990</v>
      </c>
      <c r="BM163" s="49" t="s">
        <v>582</v>
      </c>
      <c r="BN163" s="49" t="s">
        <v>582</v>
      </c>
      <c r="BO163" s="49"/>
      <c r="BP163" s="49"/>
      <c r="BQ163" s="116" t="s">
        <v>4267</v>
      </c>
      <c r="BR163" s="116" t="s">
        <v>4267</v>
      </c>
      <c r="BS163" s="116" t="s">
        <v>4346</v>
      </c>
      <c r="BT163" s="116" t="s">
        <v>4346</v>
      </c>
      <c r="BU163" s="2"/>
      <c r="BV163" s="3"/>
      <c r="BW163" s="3"/>
      <c r="BX163" s="3"/>
      <c r="BY163" s="3"/>
    </row>
    <row r="164" spans="1:77" ht="15">
      <c r="A164" s="65" t="s">
        <v>371</v>
      </c>
      <c r="B164" s="66"/>
      <c r="C164" s="66" t="s">
        <v>64</v>
      </c>
      <c r="D164" s="67">
        <v>10</v>
      </c>
      <c r="E164" s="69"/>
      <c r="F164" s="104" t="str">
        <f>HYPERLINK("https://pbs.twimg.com/profile_images/1338877950217871364/Jx4azN-0_normal.jpg")</f>
        <v>https://pbs.twimg.com/profile_images/1338877950217871364/Jx4azN-0_normal.jpg</v>
      </c>
      <c r="G164" s="66"/>
      <c r="H164" s="70" t="s">
        <v>371</v>
      </c>
      <c r="I164" s="71" t="s">
        <v>4398</v>
      </c>
      <c r="J164" s="71" t="s">
        <v>73</v>
      </c>
      <c r="K164" s="70" t="s">
        <v>2302</v>
      </c>
      <c r="L164" s="74">
        <v>99.01960784313725</v>
      </c>
      <c r="M164" s="75"/>
      <c r="N164" s="75"/>
      <c r="O164" s="76"/>
      <c r="P164" s="77"/>
      <c r="Q164" s="77"/>
      <c r="R164" s="90"/>
      <c r="S164" s="49">
        <v>1</v>
      </c>
      <c r="T164" s="49">
        <v>1</v>
      </c>
      <c r="U164" s="50">
        <v>0</v>
      </c>
      <c r="V164" s="50">
        <v>0</v>
      </c>
      <c r="W164" s="50">
        <v>0</v>
      </c>
      <c r="X164" s="50">
        <v>0.003623</v>
      </c>
      <c r="Y164" s="50">
        <v>0</v>
      </c>
      <c r="Z164" s="50">
        <v>0</v>
      </c>
      <c r="AA164" s="72">
        <v>164</v>
      </c>
      <c r="AB164" s="72"/>
      <c r="AC164" s="73"/>
      <c r="AD164" s="80" t="s">
        <v>1395</v>
      </c>
      <c r="AE164" s="89" t="s">
        <v>1658</v>
      </c>
      <c r="AF164" s="80">
        <v>814</v>
      </c>
      <c r="AG164" s="80">
        <v>515</v>
      </c>
      <c r="AH164" s="80">
        <v>2357</v>
      </c>
      <c r="AI164" s="80">
        <v>4518</v>
      </c>
      <c r="AJ164" s="80"/>
      <c r="AK164" s="80" t="s">
        <v>1919</v>
      </c>
      <c r="AL164" s="80" t="s">
        <v>2100</v>
      </c>
      <c r="AM164" s="86" t="str">
        <f>HYPERLINK("https://t.co/22Rq9pHTlr")</f>
        <v>https://t.co/22Rq9pHTlr</v>
      </c>
      <c r="AN164" s="80"/>
      <c r="AO164" s="82">
        <v>42850.63247685185</v>
      </c>
      <c r="AP164" s="86" t="str">
        <f>HYPERLINK("https://pbs.twimg.com/profile_banners/856888217165082624/1618476130")</f>
        <v>https://pbs.twimg.com/profile_banners/856888217165082624/1618476130</v>
      </c>
      <c r="AQ164" s="80" t="b">
        <v>1</v>
      </c>
      <c r="AR164" s="80" t="b">
        <v>0</v>
      </c>
      <c r="AS164" s="80" t="b">
        <v>1</v>
      </c>
      <c r="AT164" s="80"/>
      <c r="AU164" s="80">
        <v>9</v>
      </c>
      <c r="AV164" s="80"/>
      <c r="AW164" s="80" t="b">
        <v>0</v>
      </c>
      <c r="AX164" s="80" t="s">
        <v>2141</v>
      </c>
      <c r="AY164" s="86" t="str">
        <f>HYPERLINK("https://twitter.com/marikarkkainen")</f>
        <v>https://twitter.com/marikarkkainen</v>
      </c>
      <c r="AZ164" s="80" t="s">
        <v>66</v>
      </c>
      <c r="BA164" s="80" t="str">
        <f>REPLACE(INDEX(GroupVertices[Group],MATCH(Vertices[[#This Row],[Vertex]],GroupVertices[Vertex],0)),1,1,"")</f>
        <v>3</v>
      </c>
      <c r="BB164" s="49">
        <v>0</v>
      </c>
      <c r="BC164" s="50">
        <v>0</v>
      </c>
      <c r="BD164" s="49">
        <v>0</v>
      </c>
      <c r="BE164" s="50">
        <v>0</v>
      </c>
      <c r="BF164" s="49">
        <v>0</v>
      </c>
      <c r="BG164" s="50">
        <v>0</v>
      </c>
      <c r="BH164" s="49">
        <v>10</v>
      </c>
      <c r="BI164" s="50">
        <v>100</v>
      </c>
      <c r="BJ164" s="49">
        <v>10</v>
      </c>
      <c r="BK164" s="49" t="s">
        <v>3992</v>
      </c>
      <c r="BL164" s="49" t="s">
        <v>3992</v>
      </c>
      <c r="BM164" s="49" t="s">
        <v>580</v>
      </c>
      <c r="BN164" s="49" t="s">
        <v>580</v>
      </c>
      <c r="BO164" s="49" t="s">
        <v>591</v>
      </c>
      <c r="BP164" s="49" t="s">
        <v>591</v>
      </c>
      <c r="BQ164" s="116" t="s">
        <v>4280</v>
      </c>
      <c r="BR164" s="116" t="s">
        <v>4280</v>
      </c>
      <c r="BS164" s="116" t="s">
        <v>4358</v>
      </c>
      <c r="BT164" s="116" t="s">
        <v>4358</v>
      </c>
      <c r="BU164" s="2"/>
      <c r="BV164" s="3"/>
      <c r="BW164" s="3"/>
      <c r="BX164" s="3"/>
      <c r="BY164" s="3"/>
    </row>
    <row r="165" spans="1:77" ht="15">
      <c r="A165" s="65" t="s">
        <v>372</v>
      </c>
      <c r="B165" s="66"/>
      <c r="C165" s="66" t="s">
        <v>64</v>
      </c>
      <c r="D165" s="67"/>
      <c r="E165" s="69"/>
      <c r="F165" s="104" t="str">
        <f>HYPERLINK("https://abs.twimg.com/sticky/default_profile_images/default_profile_normal.png")</f>
        <v>https://abs.twimg.com/sticky/default_profile_images/default_profile_normal.png</v>
      </c>
      <c r="G165" s="66"/>
      <c r="H165" s="70" t="s">
        <v>372</v>
      </c>
      <c r="I165" s="71" t="s">
        <v>4393</v>
      </c>
      <c r="J165" s="71" t="s">
        <v>73</v>
      </c>
      <c r="K165" s="70" t="s">
        <v>2303</v>
      </c>
      <c r="L165" s="74">
        <v>1</v>
      </c>
      <c r="M165" s="75">
        <v>7717.5234375</v>
      </c>
      <c r="N165" s="75">
        <v>6340.49267578125</v>
      </c>
      <c r="O165" s="76"/>
      <c r="P165" s="77"/>
      <c r="Q165" s="77"/>
      <c r="R165" s="90"/>
      <c r="S165" s="49">
        <v>0</v>
      </c>
      <c r="T165" s="49">
        <v>1</v>
      </c>
      <c r="U165" s="50">
        <v>0</v>
      </c>
      <c r="V165" s="50">
        <v>0.239313</v>
      </c>
      <c r="W165" s="50">
        <v>0.067769</v>
      </c>
      <c r="X165" s="50">
        <v>0.003151</v>
      </c>
      <c r="Y165" s="50">
        <v>0</v>
      </c>
      <c r="Z165" s="50">
        <v>0</v>
      </c>
      <c r="AA165" s="72">
        <v>165</v>
      </c>
      <c r="AB165" s="72"/>
      <c r="AC165" s="73"/>
      <c r="AD165" s="80" t="s">
        <v>1396</v>
      </c>
      <c r="AE165" s="89" t="s">
        <v>1659</v>
      </c>
      <c r="AF165" s="80">
        <v>148</v>
      </c>
      <c r="AG165" s="80">
        <v>127</v>
      </c>
      <c r="AH165" s="80">
        <v>5141</v>
      </c>
      <c r="AI165" s="80">
        <v>26985</v>
      </c>
      <c r="AJ165" s="80"/>
      <c r="AK165" s="80" t="s">
        <v>1920</v>
      </c>
      <c r="AL165" s="80" t="s">
        <v>2101</v>
      </c>
      <c r="AM165" s="80"/>
      <c r="AN165" s="80"/>
      <c r="AO165" s="82">
        <v>44344.80126157407</v>
      </c>
      <c r="AP165" s="80"/>
      <c r="AQ165" s="80" t="b">
        <v>1</v>
      </c>
      <c r="AR165" s="80" t="b">
        <v>1</v>
      </c>
      <c r="AS165" s="80" t="b">
        <v>1</v>
      </c>
      <c r="AT165" s="80"/>
      <c r="AU165" s="80">
        <v>1</v>
      </c>
      <c r="AV165" s="80"/>
      <c r="AW165" s="80" t="b">
        <v>0</v>
      </c>
      <c r="AX165" s="80" t="s">
        <v>2141</v>
      </c>
      <c r="AY165" s="86" t="str">
        <f>HYPERLINK("https://twitter.com/fillari_iska")</f>
        <v>https://twitter.com/fillari_iska</v>
      </c>
      <c r="AZ165" s="80" t="s">
        <v>66</v>
      </c>
      <c r="BA165" s="80" t="str">
        <f>REPLACE(INDEX(GroupVertices[Group],MATCH(Vertices[[#This Row],[Vertex]],GroupVertices[Vertex],0)),1,1,"")</f>
        <v>1</v>
      </c>
      <c r="BB165" s="49">
        <v>0</v>
      </c>
      <c r="BC165" s="50">
        <v>0</v>
      </c>
      <c r="BD165" s="49">
        <v>0</v>
      </c>
      <c r="BE165" s="50">
        <v>0</v>
      </c>
      <c r="BF165" s="49">
        <v>0</v>
      </c>
      <c r="BG165" s="50">
        <v>0</v>
      </c>
      <c r="BH165" s="49">
        <v>33</v>
      </c>
      <c r="BI165" s="50">
        <v>100</v>
      </c>
      <c r="BJ165" s="49">
        <v>33</v>
      </c>
      <c r="BK165" s="49" t="s">
        <v>3990</v>
      </c>
      <c r="BL165" s="49" t="s">
        <v>3990</v>
      </c>
      <c r="BM165" s="49" t="s">
        <v>582</v>
      </c>
      <c r="BN165" s="49" t="s">
        <v>582</v>
      </c>
      <c r="BO165" s="49"/>
      <c r="BP165" s="49"/>
      <c r="BQ165" s="116" t="s">
        <v>4267</v>
      </c>
      <c r="BR165" s="116" t="s">
        <v>4267</v>
      </c>
      <c r="BS165" s="116" t="s">
        <v>4346</v>
      </c>
      <c r="BT165" s="116" t="s">
        <v>4346</v>
      </c>
      <c r="BU165" s="2"/>
      <c r="BV165" s="3"/>
      <c r="BW165" s="3"/>
      <c r="BX165" s="3"/>
      <c r="BY165" s="3"/>
    </row>
    <row r="166" spans="1:77" ht="15">
      <c r="A166" s="65" t="s">
        <v>373</v>
      </c>
      <c r="B166" s="66"/>
      <c r="C166" s="66" t="s">
        <v>64</v>
      </c>
      <c r="D166" s="67"/>
      <c r="E166" s="69"/>
      <c r="F166" s="104" t="str">
        <f>HYPERLINK("https://pbs.twimg.com/profile_images/1501584670013726721/cbrRl1P3_normal.jpg")</f>
        <v>https://pbs.twimg.com/profile_images/1501584670013726721/cbrRl1P3_normal.jpg</v>
      </c>
      <c r="G166" s="66"/>
      <c r="H166" s="70" t="s">
        <v>373</v>
      </c>
      <c r="I166" s="71" t="s">
        <v>4399</v>
      </c>
      <c r="J166" s="71" t="s">
        <v>73</v>
      </c>
      <c r="K166" s="70" t="s">
        <v>2304</v>
      </c>
      <c r="L166" s="74">
        <v>1</v>
      </c>
      <c r="M166" s="75">
        <v>5030.4599609375</v>
      </c>
      <c r="N166" s="75">
        <v>275.19329833984375</v>
      </c>
      <c r="O166" s="76"/>
      <c r="P166" s="77"/>
      <c r="Q166" s="77"/>
      <c r="R166" s="90"/>
      <c r="S166" s="49">
        <v>0</v>
      </c>
      <c r="T166" s="49">
        <v>1</v>
      </c>
      <c r="U166" s="50">
        <v>0</v>
      </c>
      <c r="V166" s="50">
        <v>0.199193</v>
      </c>
      <c r="W166" s="50">
        <v>0.006144</v>
      </c>
      <c r="X166" s="50">
        <v>0.003155</v>
      </c>
      <c r="Y166" s="50">
        <v>0</v>
      </c>
      <c r="Z166" s="50">
        <v>0</v>
      </c>
      <c r="AA166" s="72">
        <v>166</v>
      </c>
      <c r="AB166" s="72"/>
      <c r="AC166" s="73"/>
      <c r="AD166" s="80" t="s">
        <v>1397</v>
      </c>
      <c r="AE166" s="89" t="s">
        <v>1660</v>
      </c>
      <c r="AF166" s="80">
        <v>95</v>
      </c>
      <c r="AG166" s="80">
        <v>24</v>
      </c>
      <c r="AH166" s="80">
        <v>56</v>
      </c>
      <c r="AI166" s="80">
        <v>1044</v>
      </c>
      <c r="AJ166" s="80"/>
      <c r="AK166" s="80" t="s">
        <v>1921</v>
      </c>
      <c r="AL166" s="80"/>
      <c r="AM166" s="80"/>
      <c r="AN166" s="80"/>
      <c r="AO166" s="82">
        <v>44483.66516203704</v>
      </c>
      <c r="AP166" s="80"/>
      <c r="AQ166" s="80" t="b">
        <v>1</v>
      </c>
      <c r="AR166" s="80" t="b">
        <v>0</v>
      </c>
      <c r="AS166" s="80" t="b">
        <v>0</v>
      </c>
      <c r="AT166" s="80"/>
      <c r="AU166" s="80">
        <v>1</v>
      </c>
      <c r="AV166" s="80"/>
      <c r="AW166" s="80" t="b">
        <v>0</v>
      </c>
      <c r="AX166" s="80" t="s">
        <v>2141</v>
      </c>
      <c r="AY166" s="86" t="str">
        <f>HYPERLINK("https://twitter.com/ooppaooppa")</f>
        <v>https://twitter.com/ooppaooppa</v>
      </c>
      <c r="AZ166" s="80" t="s">
        <v>66</v>
      </c>
      <c r="BA166" s="80" t="str">
        <f>REPLACE(INDEX(GroupVertices[Group],MATCH(Vertices[[#This Row],[Vertex]],GroupVertices[Vertex],0)),1,1,"")</f>
        <v>2</v>
      </c>
      <c r="BB166" s="49">
        <v>0</v>
      </c>
      <c r="BC166" s="50">
        <v>0</v>
      </c>
      <c r="BD166" s="49">
        <v>0</v>
      </c>
      <c r="BE166" s="50">
        <v>0</v>
      </c>
      <c r="BF166" s="49">
        <v>0</v>
      </c>
      <c r="BG166" s="50">
        <v>0</v>
      </c>
      <c r="BH166" s="49">
        <v>6</v>
      </c>
      <c r="BI166" s="50">
        <v>100</v>
      </c>
      <c r="BJ166" s="49">
        <v>6</v>
      </c>
      <c r="BK166" s="49"/>
      <c r="BL166" s="49"/>
      <c r="BM166" s="49"/>
      <c r="BN166" s="49"/>
      <c r="BO166" s="49"/>
      <c r="BP166" s="49"/>
      <c r="BQ166" s="116" t="s">
        <v>4241</v>
      </c>
      <c r="BR166" s="116" t="s">
        <v>4241</v>
      </c>
      <c r="BS166" s="116" t="s">
        <v>4322</v>
      </c>
      <c r="BT166" s="116" t="s">
        <v>4322</v>
      </c>
      <c r="BU166" s="2"/>
      <c r="BV166" s="3"/>
      <c r="BW166" s="3"/>
      <c r="BX166" s="3"/>
      <c r="BY166" s="3"/>
    </row>
    <row r="167" spans="1:77" ht="15">
      <c r="A167" s="65" t="s">
        <v>374</v>
      </c>
      <c r="B167" s="66"/>
      <c r="C167" s="66" t="s">
        <v>64</v>
      </c>
      <c r="D167" s="67"/>
      <c r="E167" s="69"/>
      <c r="F167" s="104" t="str">
        <f>HYPERLINK("https://pbs.twimg.com/profile_images/1295643631894835201/85558dwi_normal.jpg")</f>
        <v>https://pbs.twimg.com/profile_images/1295643631894835201/85558dwi_normal.jpg</v>
      </c>
      <c r="G167" s="66"/>
      <c r="H167" s="70" t="s">
        <v>374</v>
      </c>
      <c r="I167" s="71" t="s">
        <v>4393</v>
      </c>
      <c r="J167" s="71" t="s">
        <v>73</v>
      </c>
      <c r="K167" s="70" t="s">
        <v>2305</v>
      </c>
      <c r="L167" s="74">
        <v>1</v>
      </c>
      <c r="M167" s="75">
        <v>7405.2041015625</v>
      </c>
      <c r="N167" s="75">
        <v>5862.1025390625</v>
      </c>
      <c r="O167" s="76"/>
      <c r="P167" s="77"/>
      <c r="Q167" s="77"/>
      <c r="R167" s="90"/>
      <c r="S167" s="49">
        <v>0</v>
      </c>
      <c r="T167" s="49">
        <v>1</v>
      </c>
      <c r="U167" s="50">
        <v>0</v>
      </c>
      <c r="V167" s="50">
        <v>0.239313</v>
      </c>
      <c r="W167" s="50">
        <v>0.067769</v>
      </c>
      <c r="X167" s="50">
        <v>0.003151</v>
      </c>
      <c r="Y167" s="50">
        <v>0</v>
      </c>
      <c r="Z167" s="50">
        <v>0</v>
      </c>
      <c r="AA167" s="72">
        <v>167</v>
      </c>
      <c r="AB167" s="72"/>
      <c r="AC167" s="73"/>
      <c r="AD167" s="80" t="s">
        <v>1398</v>
      </c>
      <c r="AE167" s="89" t="s">
        <v>1661</v>
      </c>
      <c r="AF167" s="80">
        <v>293</v>
      </c>
      <c r="AG167" s="80">
        <v>47</v>
      </c>
      <c r="AH167" s="80">
        <v>804</v>
      </c>
      <c r="AI167" s="80">
        <v>3127</v>
      </c>
      <c r="AJ167" s="80"/>
      <c r="AK167" s="80" t="s">
        <v>1922</v>
      </c>
      <c r="AL167" s="80" t="s">
        <v>2032</v>
      </c>
      <c r="AM167" s="86" t="str">
        <f>HYPERLINK("https://t.co/LA0Lzpxx9B")</f>
        <v>https://t.co/LA0Lzpxx9B</v>
      </c>
      <c r="AN167" s="80"/>
      <c r="AO167" s="82">
        <v>44061.366319444445</v>
      </c>
      <c r="AP167" s="86" t="str">
        <f>HYPERLINK("https://pbs.twimg.com/profile_banners/1295643401656905728/1597825660")</f>
        <v>https://pbs.twimg.com/profile_banners/1295643401656905728/1597825660</v>
      </c>
      <c r="AQ167" s="80" t="b">
        <v>1</v>
      </c>
      <c r="AR167" s="80" t="b">
        <v>0</v>
      </c>
      <c r="AS167" s="80" t="b">
        <v>0</v>
      </c>
      <c r="AT167" s="80"/>
      <c r="AU167" s="80">
        <v>0</v>
      </c>
      <c r="AV167" s="80"/>
      <c r="AW167" s="80" t="b">
        <v>0</v>
      </c>
      <c r="AX167" s="80" t="s">
        <v>2141</v>
      </c>
      <c r="AY167" s="86" t="str">
        <f>HYPERLINK("https://twitter.com/akselilammi")</f>
        <v>https://twitter.com/akselilammi</v>
      </c>
      <c r="AZ167" s="80" t="s">
        <v>66</v>
      </c>
      <c r="BA167" s="80" t="str">
        <f>REPLACE(INDEX(GroupVertices[Group],MATCH(Vertices[[#This Row],[Vertex]],GroupVertices[Vertex],0)),1,1,"")</f>
        <v>1</v>
      </c>
      <c r="BB167" s="49">
        <v>0</v>
      </c>
      <c r="BC167" s="50">
        <v>0</v>
      </c>
      <c r="BD167" s="49">
        <v>0</v>
      </c>
      <c r="BE167" s="50">
        <v>0</v>
      </c>
      <c r="BF167" s="49">
        <v>0</v>
      </c>
      <c r="BG167" s="50">
        <v>0</v>
      </c>
      <c r="BH167" s="49">
        <v>33</v>
      </c>
      <c r="BI167" s="50">
        <v>100</v>
      </c>
      <c r="BJ167" s="49">
        <v>33</v>
      </c>
      <c r="BK167" s="49" t="s">
        <v>3990</v>
      </c>
      <c r="BL167" s="49" t="s">
        <v>3990</v>
      </c>
      <c r="BM167" s="49" t="s">
        <v>582</v>
      </c>
      <c r="BN167" s="49" t="s">
        <v>582</v>
      </c>
      <c r="BO167" s="49"/>
      <c r="BP167" s="49"/>
      <c r="BQ167" s="116" t="s">
        <v>4267</v>
      </c>
      <c r="BR167" s="116" t="s">
        <v>4267</v>
      </c>
      <c r="BS167" s="116" t="s">
        <v>4346</v>
      </c>
      <c r="BT167" s="116" t="s">
        <v>4346</v>
      </c>
      <c r="BU167" s="2"/>
      <c r="BV167" s="3"/>
      <c r="BW167" s="3"/>
      <c r="BX167" s="3"/>
      <c r="BY167" s="3"/>
    </row>
    <row r="168" spans="1:77" ht="15">
      <c r="A168" s="65" t="s">
        <v>375</v>
      </c>
      <c r="B168" s="66"/>
      <c r="C168" s="66" t="s">
        <v>64</v>
      </c>
      <c r="D168" s="67"/>
      <c r="E168" s="69"/>
      <c r="F168" s="104" t="str">
        <f>HYPERLINK("https://pbs.twimg.com/profile_images/1490068375745269770/fSznzJpk_normal.jpg")</f>
        <v>https://pbs.twimg.com/profile_images/1490068375745269770/fSznzJpk_normal.jpg</v>
      </c>
      <c r="G168" s="66"/>
      <c r="H168" s="70" t="s">
        <v>375</v>
      </c>
      <c r="I168" s="71" t="s">
        <v>4393</v>
      </c>
      <c r="J168" s="71" t="s">
        <v>73</v>
      </c>
      <c r="K168" s="70" t="s">
        <v>2306</v>
      </c>
      <c r="L168" s="74">
        <v>1</v>
      </c>
      <c r="M168" s="75">
        <v>7937.38037109375</v>
      </c>
      <c r="N168" s="75">
        <v>5943.052734375</v>
      </c>
      <c r="O168" s="76"/>
      <c r="P168" s="77"/>
      <c r="Q168" s="77"/>
      <c r="R168" s="90"/>
      <c r="S168" s="49">
        <v>0</v>
      </c>
      <c r="T168" s="49">
        <v>1</v>
      </c>
      <c r="U168" s="50">
        <v>0</v>
      </c>
      <c r="V168" s="50">
        <v>0.239313</v>
      </c>
      <c r="W168" s="50">
        <v>0.067769</v>
      </c>
      <c r="X168" s="50">
        <v>0.003151</v>
      </c>
      <c r="Y168" s="50">
        <v>0</v>
      </c>
      <c r="Z168" s="50">
        <v>0</v>
      </c>
      <c r="AA168" s="72">
        <v>168</v>
      </c>
      <c r="AB168" s="72"/>
      <c r="AC168" s="73"/>
      <c r="AD168" s="80" t="s">
        <v>1399</v>
      </c>
      <c r="AE168" s="89" t="s">
        <v>1662</v>
      </c>
      <c r="AF168" s="80">
        <v>809</v>
      </c>
      <c r="AG168" s="80">
        <v>944</v>
      </c>
      <c r="AH168" s="80">
        <v>13361</v>
      </c>
      <c r="AI168" s="80">
        <v>108808</v>
      </c>
      <c r="AJ168" s="80"/>
      <c r="AK168" s="80" t="s">
        <v>1923</v>
      </c>
      <c r="AL168" s="80" t="s">
        <v>2102</v>
      </c>
      <c r="AM168" s="80"/>
      <c r="AN168" s="80"/>
      <c r="AO168" s="82">
        <v>43492.03545138889</v>
      </c>
      <c r="AP168" s="86" t="str">
        <f>HYPERLINK("https://pbs.twimg.com/profile_banners/1089324873162338305/1647439299")</f>
        <v>https://pbs.twimg.com/profile_banners/1089324873162338305/1647439299</v>
      </c>
      <c r="AQ168" s="80" t="b">
        <v>0</v>
      </c>
      <c r="AR168" s="80" t="b">
        <v>0</v>
      </c>
      <c r="AS168" s="80" t="b">
        <v>1</v>
      </c>
      <c r="AT168" s="80"/>
      <c r="AU168" s="80">
        <v>5</v>
      </c>
      <c r="AV168" s="86" t="str">
        <f>HYPERLINK("https://abs.twimg.com/images/themes/theme1/bg.png")</f>
        <v>https://abs.twimg.com/images/themes/theme1/bg.png</v>
      </c>
      <c r="AW168" s="80" t="b">
        <v>0</v>
      </c>
      <c r="AX168" s="80" t="s">
        <v>2141</v>
      </c>
      <c r="AY168" s="86" t="str">
        <f>HYPERLINK("https://twitter.com/anna_ihminen")</f>
        <v>https://twitter.com/anna_ihminen</v>
      </c>
      <c r="AZ168" s="80" t="s">
        <v>66</v>
      </c>
      <c r="BA168" s="80" t="str">
        <f>REPLACE(INDEX(GroupVertices[Group],MATCH(Vertices[[#This Row],[Vertex]],GroupVertices[Vertex],0)),1,1,"")</f>
        <v>1</v>
      </c>
      <c r="BB168" s="49">
        <v>0</v>
      </c>
      <c r="BC168" s="50">
        <v>0</v>
      </c>
      <c r="BD168" s="49">
        <v>0</v>
      </c>
      <c r="BE168" s="50">
        <v>0</v>
      </c>
      <c r="BF168" s="49">
        <v>0</v>
      </c>
      <c r="BG168" s="50">
        <v>0</v>
      </c>
      <c r="BH168" s="49">
        <v>33</v>
      </c>
      <c r="BI168" s="50">
        <v>100</v>
      </c>
      <c r="BJ168" s="49">
        <v>33</v>
      </c>
      <c r="BK168" s="49" t="s">
        <v>3990</v>
      </c>
      <c r="BL168" s="49" t="s">
        <v>3990</v>
      </c>
      <c r="BM168" s="49" t="s">
        <v>582</v>
      </c>
      <c r="BN168" s="49" t="s">
        <v>582</v>
      </c>
      <c r="BO168" s="49"/>
      <c r="BP168" s="49"/>
      <c r="BQ168" s="116" t="s">
        <v>4267</v>
      </c>
      <c r="BR168" s="116" t="s">
        <v>4267</v>
      </c>
      <c r="BS168" s="116" t="s">
        <v>4346</v>
      </c>
      <c r="BT168" s="116" t="s">
        <v>4346</v>
      </c>
      <c r="BU168" s="2"/>
      <c r="BV168" s="3"/>
      <c r="BW168" s="3"/>
      <c r="BX168" s="3"/>
      <c r="BY168" s="3"/>
    </row>
    <row r="169" spans="1:77" ht="15">
      <c r="A169" s="65" t="s">
        <v>376</v>
      </c>
      <c r="B169" s="66"/>
      <c r="C169" s="66" t="s">
        <v>64</v>
      </c>
      <c r="D169" s="67">
        <v>10</v>
      </c>
      <c r="E169" s="69"/>
      <c r="F169" s="104" t="str">
        <f>HYPERLINK("https://pbs.twimg.com/profile_images/1335109491570974720/2gTPuTSX_normal.jpg")</f>
        <v>https://pbs.twimg.com/profile_images/1335109491570974720/2gTPuTSX_normal.jpg</v>
      </c>
      <c r="G169" s="66"/>
      <c r="H169" s="70" t="s">
        <v>376</v>
      </c>
      <c r="I169" s="71" t="s">
        <v>4398</v>
      </c>
      <c r="J169" s="71" t="s">
        <v>73</v>
      </c>
      <c r="K169" s="70" t="s">
        <v>2307</v>
      </c>
      <c r="L169" s="74">
        <v>99.01960784313725</v>
      </c>
      <c r="M169" s="75"/>
      <c r="N169" s="75"/>
      <c r="O169" s="76"/>
      <c r="P169" s="77"/>
      <c r="Q169" s="77"/>
      <c r="R169" s="90"/>
      <c r="S169" s="49">
        <v>1</v>
      </c>
      <c r="T169" s="49">
        <v>1</v>
      </c>
      <c r="U169" s="50">
        <v>0</v>
      </c>
      <c r="V169" s="50">
        <v>0</v>
      </c>
      <c r="W169" s="50">
        <v>0</v>
      </c>
      <c r="X169" s="50">
        <v>0.003623</v>
      </c>
      <c r="Y169" s="50">
        <v>0</v>
      </c>
      <c r="Z169" s="50">
        <v>0</v>
      </c>
      <c r="AA169" s="72">
        <v>169</v>
      </c>
      <c r="AB169" s="72"/>
      <c r="AC169" s="73"/>
      <c r="AD169" s="80" t="s">
        <v>1400</v>
      </c>
      <c r="AE169" s="89" t="s">
        <v>1663</v>
      </c>
      <c r="AF169" s="80">
        <v>1477</v>
      </c>
      <c r="AG169" s="80">
        <v>1461</v>
      </c>
      <c r="AH169" s="80">
        <v>17841</v>
      </c>
      <c r="AI169" s="80">
        <v>14249</v>
      </c>
      <c r="AJ169" s="80"/>
      <c r="AK169" s="80" t="s">
        <v>1924</v>
      </c>
      <c r="AL169" s="80" t="s">
        <v>2041</v>
      </c>
      <c r="AM169" s="80"/>
      <c r="AN169" s="80"/>
      <c r="AO169" s="82">
        <v>39958.46136574074</v>
      </c>
      <c r="AP169" s="86" t="str">
        <f>HYPERLINK("https://pbs.twimg.com/profile_banners/42387735/1639854192")</f>
        <v>https://pbs.twimg.com/profile_banners/42387735/1639854192</v>
      </c>
      <c r="AQ169" s="80" t="b">
        <v>0</v>
      </c>
      <c r="AR169" s="80" t="b">
        <v>0</v>
      </c>
      <c r="AS169" s="80" t="b">
        <v>1</v>
      </c>
      <c r="AT169" s="80"/>
      <c r="AU169" s="80">
        <v>20</v>
      </c>
      <c r="AV169" s="86" t="str">
        <f>HYPERLINK("https://abs.twimg.com/images/themes/theme14/bg.gif")</f>
        <v>https://abs.twimg.com/images/themes/theme14/bg.gif</v>
      </c>
      <c r="AW169" s="80" t="b">
        <v>0</v>
      </c>
      <c r="AX169" s="80" t="s">
        <v>2141</v>
      </c>
      <c r="AY169" s="86" t="str">
        <f>HYPERLINK("https://twitter.com/idealacatariina")</f>
        <v>https://twitter.com/idealacatariina</v>
      </c>
      <c r="AZ169" s="80" t="s">
        <v>66</v>
      </c>
      <c r="BA169" s="80" t="str">
        <f>REPLACE(INDEX(GroupVertices[Group],MATCH(Vertices[[#This Row],[Vertex]],GroupVertices[Vertex],0)),1,1,"")</f>
        <v>3</v>
      </c>
      <c r="BB169" s="49">
        <v>0</v>
      </c>
      <c r="BC169" s="50">
        <v>0</v>
      </c>
      <c r="BD169" s="49">
        <v>0</v>
      </c>
      <c r="BE169" s="50">
        <v>0</v>
      </c>
      <c r="BF169" s="49">
        <v>0</v>
      </c>
      <c r="BG169" s="50">
        <v>0</v>
      </c>
      <c r="BH169" s="49">
        <v>18</v>
      </c>
      <c r="BI169" s="50">
        <v>100</v>
      </c>
      <c r="BJ169" s="49">
        <v>18</v>
      </c>
      <c r="BK169" s="49"/>
      <c r="BL169" s="49"/>
      <c r="BM169" s="49"/>
      <c r="BN169" s="49"/>
      <c r="BO169" s="49"/>
      <c r="BP169" s="49"/>
      <c r="BQ169" s="116" t="s">
        <v>4281</v>
      </c>
      <c r="BR169" s="116" t="s">
        <v>4281</v>
      </c>
      <c r="BS169" s="116" t="s">
        <v>4359</v>
      </c>
      <c r="BT169" s="116" t="s">
        <v>4359</v>
      </c>
      <c r="BU169" s="2"/>
      <c r="BV169" s="3"/>
      <c r="BW169" s="3"/>
      <c r="BX169" s="3"/>
      <c r="BY169" s="3"/>
    </row>
    <row r="170" spans="1:77" ht="15">
      <c r="A170" s="65" t="s">
        <v>377</v>
      </c>
      <c r="B170" s="66"/>
      <c r="C170" s="66" t="s">
        <v>64</v>
      </c>
      <c r="D170" s="67"/>
      <c r="E170" s="69"/>
      <c r="F170" s="104" t="str">
        <f>HYPERLINK("https://pbs.twimg.com/profile_images/1493210199854882824/zT9XJ0JY_normal.jpg")</f>
        <v>https://pbs.twimg.com/profile_images/1493210199854882824/zT9XJ0JY_normal.jpg</v>
      </c>
      <c r="G170" s="66"/>
      <c r="H170" s="70" t="s">
        <v>377</v>
      </c>
      <c r="I170" s="71" t="s">
        <v>4393</v>
      </c>
      <c r="J170" s="71" t="s">
        <v>73</v>
      </c>
      <c r="K170" s="70" t="s">
        <v>2308</v>
      </c>
      <c r="L170" s="74">
        <v>1</v>
      </c>
      <c r="M170" s="75">
        <v>8017.73681640625</v>
      </c>
      <c r="N170" s="75">
        <v>7073.03955078125</v>
      </c>
      <c r="O170" s="76"/>
      <c r="P170" s="77"/>
      <c r="Q170" s="77"/>
      <c r="R170" s="90"/>
      <c r="S170" s="49">
        <v>0</v>
      </c>
      <c r="T170" s="49">
        <v>1</v>
      </c>
      <c r="U170" s="50">
        <v>0</v>
      </c>
      <c r="V170" s="50">
        <v>0.239313</v>
      </c>
      <c r="W170" s="50">
        <v>0.067769</v>
      </c>
      <c r="X170" s="50">
        <v>0.003151</v>
      </c>
      <c r="Y170" s="50">
        <v>0</v>
      </c>
      <c r="Z170" s="50">
        <v>0</v>
      </c>
      <c r="AA170" s="72">
        <v>170</v>
      </c>
      <c r="AB170" s="72"/>
      <c r="AC170" s="73"/>
      <c r="AD170" s="80" t="s">
        <v>1401</v>
      </c>
      <c r="AE170" s="89" t="s">
        <v>1664</v>
      </c>
      <c r="AF170" s="80">
        <v>227</v>
      </c>
      <c r="AG170" s="80">
        <v>581</v>
      </c>
      <c r="AH170" s="80">
        <v>38105</v>
      </c>
      <c r="AI170" s="80">
        <v>9647</v>
      </c>
      <c r="AJ170" s="80"/>
      <c r="AK170" s="80" t="s">
        <v>1925</v>
      </c>
      <c r="AL170" s="80" t="s">
        <v>1201</v>
      </c>
      <c r="AM170" s="86" t="str">
        <f>HYPERLINK("https://t.co/3I3aK86U6f")</f>
        <v>https://t.co/3I3aK86U6f</v>
      </c>
      <c r="AN170" s="80"/>
      <c r="AO170" s="82">
        <v>39611.17445601852</v>
      </c>
      <c r="AP170" s="86" t="str">
        <f>HYPERLINK("https://pbs.twimg.com/profile_banners/15093046/1624113402")</f>
        <v>https://pbs.twimg.com/profile_banners/15093046/1624113402</v>
      </c>
      <c r="AQ170" s="80" t="b">
        <v>0</v>
      </c>
      <c r="AR170" s="80" t="b">
        <v>0</v>
      </c>
      <c r="AS170" s="80" t="b">
        <v>0</v>
      </c>
      <c r="AT170" s="80"/>
      <c r="AU170" s="80">
        <v>37</v>
      </c>
      <c r="AV170" s="86" t="str">
        <f>HYPERLINK("https://abs.twimg.com/images/themes/theme14/bg.gif")</f>
        <v>https://abs.twimg.com/images/themes/theme14/bg.gif</v>
      </c>
      <c r="AW170" s="80" t="b">
        <v>0</v>
      </c>
      <c r="AX170" s="80" t="s">
        <v>2141</v>
      </c>
      <c r="AY170" s="86" t="str">
        <f>HYPERLINK("https://twitter.com/merviemilia")</f>
        <v>https://twitter.com/merviemilia</v>
      </c>
      <c r="AZ170" s="80" t="s">
        <v>66</v>
      </c>
      <c r="BA170" s="80" t="str">
        <f>REPLACE(INDEX(GroupVertices[Group],MATCH(Vertices[[#This Row],[Vertex]],GroupVertices[Vertex],0)),1,1,"")</f>
        <v>1</v>
      </c>
      <c r="BB170" s="49">
        <v>0</v>
      </c>
      <c r="BC170" s="50">
        <v>0</v>
      </c>
      <c r="BD170" s="49">
        <v>0</v>
      </c>
      <c r="BE170" s="50">
        <v>0</v>
      </c>
      <c r="BF170" s="49">
        <v>0</v>
      </c>
      <c r="BG170" s="50">
        <v>0</v>
      </c>
      <c r="BH170" s="49">
        <v>33</v>
      </c>
      <c r="BI170" s="50">
        <v>100</v>
      </c>
      <c r="BJ170" s="49">
        <v>33</v>
      </c>
      <c r="BK170" s="49" t="s">
        <v>3990</v>
      </c>
      <c r="BL170" s="49" t="s">
        <v>3990</v>
      </c>
      <c r="BM170" s="49" t="s">
        <v>582</v>
      </c>
      <c r="BN170" s="49" t="s">
        <v>582</v>
      </c>
      <c r="BO170" s="49"/>
      <c r="BP170" s="49"/>
      <c r="BQ170" s="116" t="s">
        <v>4267</v>
      </c>
      <c r="BR170" s="116" t="s">
        <v>4267</v>
      </c>
      <c r="BS170" s="116" t="s">
        <v>4346</v>
      </c>
      <c r="BT170" s="116" t="s">
        <v>4346</v>
      </c>
      <c r="BU170" s="2"/>
      <c r="BV170" s="3"/>
      <c r="BW170" s="3"/>
      <c r="BX170" s="3"/>
      <c r="BY170" s="3"/>
    </row>
    <row r="171" spans="1:77" ht="15">
      <c r="A171" s="65" t="s">
        <v>378</v>
      </c>
      <c r="B171" s="66"/>
      <c r="C171" s="66" t="s">
        <v>64</v>
      </c>
      <c r="D171" s="67"/>
      <c r="E171" s="69"/>
      <c r="F171" s="104" t="str">
        <f>HYPERLINK("https://pbs.twimg.com/profile_images/1470419056385744906/qr23MIX-_normal.jpg")</f>
        <v>https://pbs.twimg.com/profile_images/1470419056385744906/qr23MIX-_normal.jpg</v>
      </c>
      <c r="G171" s="66"/>
      <c r="H171" s="70" t="s">
        <v>378</v>
      </c>
      <c r="I171" s="71" t="s">
        <v>4393</v>
      </c>
      <c r="J171" s="71" t="s">
        <v>73</v>
      </c>
      <c r="K171" s="70" t="s">
        <v>2309</v>
      </c>
      <c r="L171" s="74">
        <v>1</v>
      </c>
      <c r="M171" s="75">
        <v>2956.24462890625</v>
      </c>
      <c r="N171" s="75">
        <v>4909.76953125</v>
      </c>
      <c r="O171" s="76"/>
      <c r="P171" s="77"/>
      <c r="Q171" s="77"/>
      <c r="R171" s="90"/>
      <c r="S171" s="49">
        <v>0</v>
      </c>
      <c r="T171" s="49">
        <v>1</v>
      </c>
      <c r="U171" s="50">
        <v>0</v>
      </c>
      <c r="V171" s="50">
        <v>0.239313</v>
      </c>
      <c r="W171" s="50">
        <v>0.067769</v>
      </c>
      <c r="X171" s="50">
        <v>0.003151</v>
      </c>
      <c r="Y171" s="50">
        <v>0</v>
      </c>
      <c r="Z171" s="50">
        <v>0</v>
      </c>
      <c r="AA171" s="72">
        <v>171</v>
      </c>
      <c r="AB171" s="72"/>
      <c r="AC171" s="73"/>
      <c r="AD171" s="80" t="s">
        <v>1402</v>
      </c>
      <c r="AE171" s="89" t="s">
        <v>1665</v>
      </c>
      <c r="AF171" s="80">
        <v>1265</v>
      </c>
      <c r="AG171" s="80">
        <v>1588</v>
      </c>
      <c r="AH171" s="80">
        <v>58162</v>
      </c>
      <c r="AI171" s="80">
        <v>226055</v>
      </c>
      <c r="AJ171" s="80"/>
      <c r="AK171" s="80" t="s">
        <v>1926</v>
      </c>
      <c r="AL171" s="80" t="s">
        <v>2103</v>
      </c>
      <c r="AM171" s="86" t="str">
        <f>HYPERLINK("https://t.co/jzqXTqVdHw")</f>
        <v>https://t.co/jzqXTqVdHw</v>
      </c>
      <c r="AN171" s="80"/>
      <c r="AO171" s="82">
        <v>41699.84407407408</v>
      </c>
      <c r="AP171" s="86" t="str">
        <f>HYPERLINK("https://pbs.twimg.com/profile_banners/2373882424/1643836168")</f>
        <v>https://pbs.twimg.com/profile_banners/2373882424/1643836168</v>
      </c>
      <c r="AQ171" s="80" t="b">
        <v>1</v>
      </c>
      <c r="AR171" s="80" t="b">
        <v>0</v>
      </c>
      <c r="AS171" s="80" t="b">
        <v>1</v>
      </c>
      <c r="AT171" s="80"/>
      <c r="AU171" s="80">
        <v>31</v>
      </c>
      <c r="AV171" s="86" t="str">
        <f>HYPERLINK("https://abs.twimg.com/images/themes/theme1/bg.png")</f>
        <v>https://abs.twimg.com/images/themes/theme1/bg.png</v>
      </c>
      <c r="AW171" s="80" t="b">
        <v>0</v>
      </c>
      <c r="AX171" s="80" t="s">
        <v>2141</v>
      </c>
      <c r="AY171" s="86" t="str">
        <f>HYPERLINK("https://twitter.com/vsaarenketo")</f>
        <v>https://twitter.com/vsaarenketo</v>
      </c>
      <c r="AZ171" s="80" t="s">
        <v>66</v>
      </c>
      <c r="BA171" s="80" t="str">
        <f>REPLACE(INDEX(GroupVertices[Group],MATCH(Vertices[[#This Row],[Vertex]],GroupVertices[Vertex],0)),1,1,"")</f>
        <v>1</v>
      </c>
      <c r="BB171" s="49">
        <v>0</v>
      </c>
      <c r="BC171" s="50">
        <v>0</v>
      </c>
      <c r="BD171" s="49">
        <v>0</v>
      </c>
      <c r="BE171" s="50">
        <v>0</v>
      </c>
      <c r="BF171" s="49">
        <v>0</v>
      </c>
      <c r="BG171" s="50">
        <v>0</v>
      </c>
      <c r="BH171" s="49">
        <v>33</v>
      </c>
      <c r="BI171" s="50">
        <v>100</v>
      </c>
      <c r="BJ171" s="49">
        <v>33</v>
      </c>
      <c r="BK171" s="49" t="s">
        <v>3990</v>
      </c>
      <c r="BL171" s="49" t="s">
        <v>3990</v>
      </c>
      <c r="BM171" s="49" t="s">
        <v>582</v>
      </c>
      <c r="BN171" s="49" t="s">
        <v>582</v>
      </c>
      <c r="BO171" s="49"/>
      <c r="BP171" s="49"/>
      <c r="BQ171" s="116" t="s">
        <v>4267</v>
      </c>
      <c r="BR171" s="116" t="s">
        <v>4267</v>
      </c>
      <c r="BS171" s="116" t="s">
        <v>4346</v>
      </c>
      <c r="BT171" s="116" t="s">
        <v>4346</v>
      </c>
      <c r="BU171" s="2"/>
      <c r="BV171" s="3"/>
      <c r="BW171" s="3"/>
      <c r="BX171" s="3"/>
      <c r="BY171" s="3"/>
    </row>
    <row r="172" spans="1:77" ht="15">
      <c r="A172" s="65" t="s">
        <v>379</v>
      </c>
      <c r="B172" s="66"/>
      <c r="C172" s="66" t="s">
        <v>64</v>
      </c>
      <c r="D172" s="67">
        <v>10</v>
      </c>
      <c r="E172" s="69"/>
      <c r="F172" s="104" t="str">
        <f>HYPERLINK("https://pbs.twimg.com/profile_images/1380145337034276866/m06cnp1u_normal.jpg")</f>
        <v>https://pbs.twimg.com/profile_images/1380145337034276866/m06cnp1u_normal.jpg</v>
      </c>
      <c r="G172" s="66"/>
      <c r="H172" s="70" t="s">
        <v>379</v>
      </c>
      <c r="I172" s="71" t="s">
        <v>4398</v>
      </c>
      <c r="J172" s="71" t="s">
        <v>73</v>
      </c>
      <c r="K172" s="70" t="s">
        <v>2310</v>
      </c>
      <c r="L172" s="74">
        <v>99.01960784313725</v>
      </c>
      <c r="M172" s="75"/>
      <c r="N172" s="75"/>
      <c r="O172" s="76"/>
      <c r="P172" s="77"/>
      <c r="Q172" s="77"/>
      <c r="R172" s="90"/>
      <c r="S172" s="49">
        <v>1</v>
      </c>
      <c r="T172" s="49">
        <v>1</v>
      </c>
      <c r="U172" s="50">
        <v>0</v>
      </c>
      <c r="V172" s="50">
        <v>0</v>
      </c>
      <c r="W172" s="50">
        <v>0</v>
      </c>
      <c r="X172" s="50">
        <v>0.003623</v>
      </c>
      <c r="Y172" s="50">
        <v>0</v>
      </c>
      <c r="Z172" s="50">
        <v>0</v>
      </c>
      <c r="AA172" s="72">
        <v>172</v>
      </c>
      <c r="AB172" s="72"/>
      <c r="AC172" s="73"/>
      <c r="AD172" s="80" t="s">
        <v>1403</v>
      </c>
      <c r="AE172" s="89" t="s">
        <v>1666</v>
      </c>
      <c r="AF172" s="80">
        <v>1463</v>
      </c>
      <c r="AG172" s="80">
        <v>1248</v>
      </c>
      <c r="AH172" s="80">
        <v>7701</v>
      </c>
      <c r="AI172" s="80">
        <v>16248</v>
      </c>
      <c r="AJ172" s="80"/>
      <c r="AK172" s="80" t="s">
        <v>1927</v>
      </c>
      <c r="AL172" s="80" t="s">
        <v>2104</v>
      </c>
      <c r="AM172" s="80"/>
      <c r="AN172" s="80"/>
      <c r="AO172" s="82">
        <v>39954.364212962966</v>
      </c>
      <c r="AP172" s="86" t="str">
        <f>HYPERLINK("https://pbs.twimg.com/profile_banners/41553936/1507474162")</f>
        <v>https://pbs.twimg.com/profile_banners/41553936/1507474162</v>
      </c>
      <c r="AQ172" s="80" t="b">
        <v>0</v>
      </c>
      <c r="AR172" s="80" t="b">
        <v>0</v>
      </c>
      <c r="AS172" s="80" t="b">
        <v>1</v>
      </c>
      <c r="AT172" s="80"/>
      <c r="AU172" s="80">
        <v>20</v>
      </c>
      <c r="AV172" s="86" t="str">
        <f>HYPERLINK("https://abs.twimg.com/images/themes/theme1/bg.png")</f>
        <v>https://abs.twimg.com/images/themes/theme1/bg.png</v>
      </c>
      <c r="AW172" s="80" t="b">
        <v>0</v>
      </c>
      <c r="AX172" s="80" t="s">
        <v>2141</v>
      </c>
      <c r="AY172" s="86" t="str">
        <f>HYPERLINK("https://twitter.com/kallixia")</f>
        <v>https://twitter.com/kallixia</v>
      </c>
      <c r="AZ172" s="80" t="s">
        <v>66</v>
      </c>
      <c r="BA172" s="80" t="str">
        <f>REPLACE(INDEX(GroupVertices[Group],MATCH(Vertices[[#This Row],[Vertex]],GroupVertices[Vertex],0)),1,1,"")</f>
        <v>3</v>
      </c>
      <c r="BB172" s="49">
        <v>0</v>
      </c>
      <c r="BC172" s="50">
        <v>0</v>
      </c>
      <c r="BD172" s="49">
        <v>0</v>
      </c>
      <c r="BE172" s="50">
        <v>0</v>
      </c>
      <c r="BF172" s="49">
        <v>0</v>
      </c>
      <c r="BG172" s="50">
        <v>0</v>
      </c>
      <c r="BH172" s="49">
        <v>8</v>
      </c>
      <c r="BI172" s="50">
        <v>100</v>
      </c>
      <c r="BJ172" s="49">
        <v>8</v>
      </c>
      <c r="BK172" s="49" t="s">
        <v>3992</v>
      </c>
      <c r="BL172" s="49" t="s">
        <v>3992</v>
      </c>
      <c r="BM172" s="49" t="s">
        <v>580</v>
      </c>
      <c r="BN172" s="49" t="s">
        <v>580</v>
      </c>
      <c r="BO172" s="49"/>
      <c r="BP172" s="49"/>
      <c r="BQ172" s="116" t="s">
        <v>4282</v>
      </c>
      <c r="BR172" s="116" t="s">
        <v>4282</v>
      </c>
      <c r="BS172" s="116" t="s">
        <v>4360</v>
      </c>
      <c r="BT172" s="116" t="s">
        <v>4360</v>
      </c>
      <c r="BU172" s="2"/>
      <c r="BV172" s="3"/>
      <c r="BW172" s="3"/>
      <c r="BX172" s="3"/>
      <c r="BY172" s="3"/>
    </row>
    <row r="173" spans="1:77" ht="15">
      <c r="A173" s="65" t="s">
        <v>380</v>
      </c>
      <c r="B173" s="66"/>
      <c r="C173" s="66" t="s">
        <v>64</v>
      </c>
      <c r="D173" s="67"/>
      <c r="E173" s="69"/>
      <c r="F173" s="104" t="str">
        <f>HYPERLINK("https://pbs.twimg.com/profile_images/1461023138167377924/8gBQykdx_normal.jpg")</f>
        <v>https://pbs.twimg.com/profile_images/1461023138167377924/8gBQykdx_normal.jpg</v>
      </c>
      <c r="G173" s="66"/>
      <c r="H173" s="70" t="s">
        <v>380</v>
      </c>
      <c r="I173" s="71" t="s">
        <v>4393</v>
      </c>
      <c r="J173" s="71" t="s">
        <v>73</v>
      </c>
      <c r="K173" s="70" t="s">
        <v>2311</v>
      </c>
      <c r="L173" s="74">
        <v>1</v>
      </c>
      <c r="M173" s="75">
        <v>6862.091796875</v>
      </c>
      <c r="N173" s="75">
        <v>8511.0048828125</v>
      </c>
      <c r="O173" s="76"/>
      <c r="P173" s="77"/>
      <c r="Q173" s="77"/>
      <c r="R173" s="90"/>
      <c r="S173" s="49">
        <v>0</v>
      </c>
      <c r="T173" s="49">
        <v>1</v>
      </c>
      <c r="U173" s="50">
        <v>0</v>
      </c>
      <c r="V173" s="50">
        <v>0.239313</v>
      </c>
      <c r="W173" s="50">
        <v>0.067769</v>
      </c>
      <c r="X173" s="50">
        <v>0.003151</v>
      </c>
      <c r="Y173" s="50">
        <v>0</v>
      </c>
      <c r="Z173" s="50">
        <v>0</v>
      </c>
      <c r="AA173" s="72">
        <v>173</v>
      </c>
      <c r="AB173" s="72"/>
      <c r="AC173" s="73"/>
      <c r="AD173" s="80" t="s">
        <v>1404</v>
      </c>
      <c r="AE173" s="89" t="s">
        <v>1667</v>
      </c>
      <c r="AF173" s="80">
        <v>701</v>
      </c>
      <c r="AG173" s="80">
        <v>529</v>
      </c>
      <c r="AH173" s="80">
        <v>8349</v>
      </c>
      <c r="AI173" s="80">
        <v>3751</v>
      </c>
      <c r="AJ173" s="80"/>
      <c r="AK173" s="80" t="s">
        <v>1928</v>
      </c>
      <c r="AL173" s="80" t="s">
        <v>1201</v>
      </c>
      <c r="AM173" s="80"/>
      <c r="AN173" s="80"/>
      <c r="AO173" s="82">
        <v>40241.83054398148</v>
      </c>
      <c r="AP173" s="86" t="str">
        <f>HYPERLINK("https://pbs.twimg.com/profile_banners/119836300/1563293669")</f>
        <v>https://pbs.twimg.com/profile_banners/119836300/1563293669</v>
      </c>
      <c r="AQ173" s="80" t="b">
        <v>0</v>
      </c>
      <c r="AR173" s="80" t="b">
        <v>0</v>
      </c>
      <c r="AS173" s="80" t="b">
        <v>0</v>
      </c>
      <c r="AT173" s="80"/>
      <c r="AU173" s="80">
        <v>40</v>
      </c>
      <c r="AV173" s="86" t="str">
        <f>HYPERLINK("https://abs.twimg.com/images/themes/theme14/bg.gif")</f>
        <v>https://abs.twimg.com/images/themes/theme14/bg.gif</v>
      </c>
      <c r="AW173" s="80" t="b">
        <v>0</v>
      </c>
      <c r="AX173" s="80" t="s">
        <v>2141</v>
      </c>
      <c r="AY173" s="86" t="str">
        <f>HYPERLINK("https://twitter.com/elinaruoppa")</f>
        <v>https://twitter.com/elinaruoppa</v>
      </c>
      <c r="AZ173" s="80" t="s">
        <v>66</v>
      </c>
      <c r="BA173" s="80" t="str">
        <f>REPLACE(INDEX(GroupVertices[Group],MATCH(Vertices[[#This Row],[Vertex]],GroupVertices[Vertex],0)),1,1,"")</f>
        <v>1</v>
      </c>
      <c r="BB173" s="49">
        <v>0</v>
      </c>
      <c r="BC173" s="50">
        <v>0</v>
      </c>
      <c r="BD173" s="49">
        <v>0</v>
      </c>
      <c r="BE173" s="50">
        <v>0</v>
      </c>
      <c r="BF173" s="49">
        <v>0</v>
      </c>
      <c r="BG173" s="50">
        <v>0</v>
      </c>
      <c r="BH173" s="49">
        <v>33</v>
      </c>
      <c r="BI173" s="50">
        <v>100</v>
      </c>
      <c r="BJ173" s="49">
        <v>33</v>
      </c>
      <c r="BK173" s="49" t="s">
        <v>3990</v>
      </c>
      <c r="BL173" s="49" t="s">
        <v>3990</v>
      </c>
      <c r="BM173" s="49" t="s">
        <v>582</v>
      </c>
      <c r="BN173" s="49" t="s">
        <v>582</v>
      </c>
      <c r="BO173" s="49"/>
      <c r="BP173" s="49"/>
      <c r="BQ173" s="116" t="s">
        <v>4267</v>
      </c>
      <c r="BR173" s="116" t="s">
        <v>4267</v>
      </c>
      <c r="BS173" s="116" t="s">
        <v>4346</v>
      </c>
      <c r="BT173" s="116" t="s">
        <v>4346</v>
      </c>
      <c r="BU173" s="2"/>
      <c r="BV173" s="3"/>
      <c r="BW173" s="3"/>
      <c r="BX173" s="3"/>
      <c r="BY173" s="3"/>
    </row>
    <row r="174" spans="1:77" ht="15">
      <c r="A174" s="65" t="s">
        <v>381</v>
      </c>
      <c r="B174" s="66"/>
      <c r="C174" s="66" t="s">
        <v>64</v>
      </c>
      <c r="D174" s="67"/>
      <c r="E174" s="69"/>
      <c r="F174" s="104" t="str">
        <f>HYPERLINK("https://pbs.twimg.com/profile_images/1506256826999975946/F1CtkZF4_normal.jpg")</f>
        <v>https://pbs.twimg.com/profile_images/1506256826999975946/F1CtkZF4_normal.jpg</v>
      </c>
      <c r="G174" s="66"/>
      <c r="H174" s="70" t="s">
        <v>381</v>
      </c>
      <c r="I174" s="71" t="s">
        <v>4393</v>
      </c>
      <c r="J174" s="71" t="s">
        <v>73</v>
      </c>
      <c r="K174" s="70" t="s">
        <v>2312</v>
      </c>
      <c r="L174" s="74">
        <v>1</v>
      </c>
      <c r="M174" s="75">
        <v>2985.15869140625</v>
      </c>
      <c r="N174" s="75">
        <v>7070.85009765625</v>
      </c>
      <c r="O174" s="76"/>
      <c r="P174" s="77"/>
      <c r="Q174" s="77"/>
      <c r="R174" s="90"/>
      <c r="S174" s="49">
        <v>0</v>
      </c>
      <c r="T174" s="49">
        <v>1</v>
      </c>
      <c r="U174" s="50">
        <v>0</v>
      </c>
      <c r="V174" s="50">
        <v>0.239313</v>
      </c>
      <c r="W174" s="50">
        <v>0.067769</v>
      </c>
      <c r="X174" s="50">
        <v>0.003151</v>
      </c>
      <c r="Y174" s="50">
        <v>0</v>
      </c>
      <c r="Z174" s="50">
        <v>0</v>
      </c>
      <c r="AA174" s="72">
        <v>174</v>
      </c>
      <c r="AB174" s="72"/>
      <c r="AC174" s="73"/>
      <c r="AD174" s="80" t="s">
        <v>1405</v>
      </c>
      <c r="AE174" s="89" t="s">
        <v>1668</v>
      </c>
      <c r="AF174" s="80">
        <v>361</v>
      </c>
      <c r="AG174" s="80">
        <v>3376</v>
      </c>
      <c r="AH174" s="80">
        <v>19197</v>
      </c>
      <c r="AI174" s="80">
        <v>21268</v>
      </c>
      <c r="AJ174" s="80"/>
      <c r="AK174" s="80" t="s">
        <v>1929</v>
      </c>
      <c r="AL174" s="80" t="s">
        <v>2051</v>
      </c>
      <c r="AM174" s="80"/>
      <c r="AN174" s="80"/>
      <c r="AO174" s="82">
        <v>43539.80972222222</v>
      </c>
      <c r="AP174" s="86" t="str">
        <f>HYPERLINK("https://pbs.twimg.com/profile_banners/1106637688352968704/1646570348")</f>
        <v>https://pbs.twimg.com/profile_banners/1106637688352968704/1646570348</v>
      </c>
      <c r="AQ174" s="80" t="b">
        <v>0</v>
      </c>
      <c r="AR174" s="80" t="b">
        <v>0</v>
      </c>
      <c r="AS174" s="80" t="b">
        <v>0</v>
      </c>
      <c r="AT174" s="80"/>
      <c r="AU174" s="80">
        <v>0</v>
      </c>
      <c r="AV174" s="86" t="str">
        <f>HYPERLINK("https://abs.twimg.com/images/themes/theme1/bg.png")</f>
        <v>https://abs.twimg.com/images/themes/theme1/bg.png</v>
      </c>
      <c r="AW174" s="80" t="b">
        <v>0</v>
      </c>
      <c r="AX174" s="80" t="s">
        <v>2141</v>
      </c>
      <c r="AY174" s="86" t="str">
        <f>HYPERLINK("https://twitter.com/therealjosefi")</f>
        <v>https://twitter.com/therealjosefi</v>
      </c>
      <c r="AZ174" s="80" t="s">
        <v>66</v>
      </c>
      <c r="BA174" s="80" t="str">
        <f>REPLACE(INDEX(GroupVertices[Group],MATCH(Vertices[[#This Row],[Vertex]],GroupVertices[Vertex],0)),1,1,"")</f>
        <v>1</v>
      </c>
      <c r="BB174" s="49">
        <v>0</v>
      </c>
      <c r="BC174" s="50">
        <v>0</v>
      </c>
      <c r="BD174" s="49">
        <v>0</v>
      </c>
      <c r="BE174" s="50">
        <v>0</v>
      </c>
      <c r="BF174" s="49">
        <v>0</v>
      </c>
      <c r="BG174" s="50">
        <v>0</v>
      </c>
      <c r="BH174" s="49">
        <v>33</v>
      </c>
      <c r="BI174" s="50">
        <v>100</v>
      </c>
      <c r="BJ174" s="49">
        <v>33</v>
      </c>
      <c r="BK174" s="49" t="s">
        <v>3990</v>
      </c>
      <c r="BL174" s="49" t="s">
        <v>3990</v>
      </c>
      <c r="BM174" s="49" t="s">
        <v>582</v>
      </c>
      <c r="BN174" s="49" t="s">
        <v>582</v>
      </c>
      <c r="BO174" s="49"/>
      <c r="BP174" s="49"/>
      <c r="BQ174" s="116" t="s">
        <v>4267</v>
      </c>
      <c r="BR174" s="116" t="s">
        <v>4267</v>
      </c>
      <c r="BS174" s="116" t="s">
        <v>4346</v>
      </c>
      <c r="BT174" s="116" t="s">
        <v>4346</v>
      </c>
      <c r="BU174" s="2"/>
      <c r="BV174" s="3"/>
      <c r="BW174" s="3"/>
      <c r="BX174" s="3"/>
      <c r="BY174" s="3"/>
    </row>
    <row r="175" spans="1:77" ht="15">
      <c r="A175" s="65" t="s">
        <v>382</v>
      </c>
      <c r="B175" s="66"/>
      <c r="C175" s="66" t="s">
        <v>64</v>
      </c>
      <c r="D175" s="67"/>
      <c r="E175" s="69"/>
      <c r="F175" s="104" t="str">
        <f>HYPERLINK("https://pbs.twimg.com/profile_images/487172685181751296/tbcXrYko_normal.jpeg")</f>
        <v>https://pbs.twimg.com/profile_images/487172685181751296/tbcXrYko_normal.jpeg</v>
      </c>
      <c r="G175" s="66"/>
      <c r="H175" s="70" t="s">
        <v>382</v>
      </c>
      <c r="I175" s="71" t="s">
        <v>4393</v>
      </c>
      <c r="J175" s="71" t="s">
        <v>73</v>
      </c>
      <c r="K175" s="70" t="s">
        <v>2313</v>
      </c>
      <c r="L175" s="74">
        <v>1</v>
      </c>
      <c r="M175" s="75">
        <v>2216.64013671875</v>
      </c>
      <c r="N175" s="75">
        <v>7798.34912109375</v>
      </c>
      <c r="O175" s="76"/>
      <c r="P175" s="77"/>
      <c r="Q175" s="77"/>
      <c r="R175" s="90"/>
      <c r="S175" s="49">
        <v>0</v>
      </c>
      <c r="T175" s="49">
        <v>1</v>
      </c>
      <c r="U175" s="50">
        <v>0</v>
      </c>
      <c r="V175" s="50">
        <v>0.239313</v>
      </c>
      <c r="W175" s="50">
        <v>0.067769</v>
      </c>
      <c r="X175" s="50">
        <v>0.003151</v>
      </c>
      <c r="Y175" s="50">
        <v>0</v>
      </c>
      <c r="Z175" s="50">
        <v>0</v>
      </c>
      <c r="AA175" s="72">
        <v>175</v>
      </c>
      <c r="AB175" s="72"/>
      <c r="AC175" s="73"/>
      <c r="AD175" s="80" t="s">
        <v>1406</v>
      </c>
      <c r="AE175" s="89" t="s">
        <v>1669</v>
      </c>
      <c r="AF175" s="80">
        <v>1355</v>
      </c>
      <c r="AG175" s="80">
        <v>4125</v>
      </c>
      <c r="AH175" s="80">
        <v>6919</v>
      </c>
      <c r="AI175" s="80">
        <v>5708</v>
      </c>
      <c r="AJ175" s="80"/>
      <c r="AK175" s="80" t="s">
        <v>1930</v>
      </c>
      <c r="AL175" s="80" t="s">
        <v>2038</v>
      </c>
      <c r="AM175" s="86" t="str">
        <f>HYPERLINK("https://t.co/Ntd59xloKy")</f>
        <v>https://t.co/Ntd59xloKy</v>
      </c>
      <c r="AN175" s="80"/>
      <c r="AO175" s="82">
        <v>41102.50096064815</v>
      </c>
      <c r="AP175" s="86" t="str">
        <f>HYPERLINK("https://pbs.twimg.com/profile_banners/633764448/1599656626")</f>
        <v>https://pbs.twimg.com/profile_banners/633764448/1599656626</v>
      </c>
      <c r="AQ175" s="80" t="b">
        <v>0</v>
      </c>
      <c r="AR175" s="80" t="b">
        <v>0</v>
      </c>
      <c r="AS175" s="80" t="b">
        <v>1</v>
      </c>
      <c r="AT175" s="80"/>
      <c r="AU175" s="80">
        <v>33</v>
      </c>
      <c r="AV175" s="86" t="str">
        <f>HYPERLINK("https://abs.twimg.com/images/themes/theme1/bg.png")</f>
        <v>https://abs.twimg.com/images/themes/theme1/bg.png</v>
      </c>
      <c r="AW175" s="80" t="b">
        <v>0</v>
      </c>
      <c r="AX175" s="80" t="s">
        <v>2141</v>
      </c>
      <c r="AY175" s="86" t="str">
        <f>HYPERLINK("https://twitter.com/katriinapa")</f>
        <v>https://twitter.com/katriinapa</v>
      </c>
      <c r="AZ175" s="80" t="s">
        <v>66</v>
      </c>
      <c r="BA175" s="80" t="str">
        <f>REPLACE(INDEX(GroupVertices[Group],MATCH(Vertices[[#This Row],[Vertex]],GroupVertices[Vertex],0)),1,1,"")</f>
        <v>1</v>
      </c>
      <c r="BB175" s="49">
        <v>0</v>
      </c>
      <c r="BC175" s="50">
        <v>0</v>
      </c>
      <c r="BD175" s="49">
        <v>0</v>
      </c>
      <c r="BE175" s="50">
        <v>0</v>
      </c>
      <c r="BF175" s="49">
        <v>0</v>
      </c>
      <c r="BG175" s="50">
        <v>0</v>
      </c>
      <c r="BH175" s="49">
        <v>33</v>
      </c>
      <c r="BI175" s="50">
        <v>100</v>
      </c>
      <c r="BJ175" s="49">
        <v>33</v>
      </c>
      <c r="BK175" s="49" t="s">
        <v>3990</v>
      </c>
      <c r="BL175" s="49" t="s">
        <v>3990</v>
      </c>
      <c r="BM175" s="49" t="s">
        <v>582</v>
      </c>
      <c r="BN175" s="49" t="s">
        <v>582</v>
      </c>
      <c r="BO175" s="49"/>
      <c r="BP175" s="49"/>
      <c r="BQ175" s="116" t="s">
        <v>4267</v>
      </c>
      <c r="BR175" s="116" t="s">
        <v>4267</v>
      </c>
      <c r="BS175" s="116" t="s">
        <v>4346</v>
      </c>
      <c r="BT175" s="116" t="s">
        <v>4346</v>
      </c>
      <c r="BU175" s="2"/>
      <c r="BV175" s="3"/>
      <c r="BW175" s="3"/>
      <c r="BX175" s="3"/>
      <c r="BY175" s="3"/>
    </row>
    <row r="176" spans="1:77" ht="15">
      <c r="A176" s="65" t="s">
        <v>383</v>
      </c>
      <c r="B176" s="66"/>
      <c r="C176" s="66" t="s">
        <v>64</v>
      </c>
      <c r="D176" s="67"/>
      <c r="E176" s="69"/>
      <c r="F176" s="104" t="str">
        <f>HYPERLINK("https://pbs.twimg.com/profile_images/1216033639542206464/HhLeKeaw_normal.jpg")</f>
        <v>https://pbs.twimg.com/profile_images/1216033639542206464/HhLeKeaw_normal.jpg</v>
      </c>
      <c r="G176" s="66"/>
      <c r="H176" s="70" t="s">
        <v>383</v>
      </c>
      <c r="I176" s="71" t="s">
        <v>4393</v>
      </c>
      <c r="J176" s="71" t="s">
        <v>73</v>
      </c>
      <c r="K176" s="70" t="s">
        <v>2314</v>
      </c>
      <c r="L176" s="74">
        <v>1</v>
      </c>
      <c r="M176" s="75">
        <v>6713.66357421875</v>
      </c>
      <c r="N176" s="75">
        <v>6904.17041015625</v>
      </c>
      <c r="O176" s="76"/>
      <c r="P176" s="77"/>
      <c r="Q176" s="77"/>
      <c r="R176" s="90"/>
      <c r="S176" s="49">
        <v>0</v>
      </c>
      <c r="T176" s="49">
        <v>1</v>
      </c>
      <c r="U176" s="50">
        <v>0</v>
      </c>
      <c r="V176" s="50">
        <v>0.239313</v>
      </c>
      <c r="W176" s="50">
        <v>0.067769</v>
      </c>
      <c r="X176" s="50">
        <v>0.003151</v>
      </c>
      <c r="Y176" s="50">
        <v>0</v>
      </c>
      <c r="Z176" s="50">
        <v>0</v>
      </c>
      <c r="AA176" s="72">
        <v>176</v>
      </c>
      <c r="AB176" s="72"/>
      <c r="AC176" s="73"/>
      <c r="AD176" s="80" t="s">
        <v>1407</v>
      </c>
      <c r="AE176" s="89" t="s">
        <v>1670</v>
      </c>
      <c r="AF176" s="80">
        <v>765</v>
      </c>
      <c r="AG176" s="80">
        <v>576</v>
      </c>
      <c r="AH176" s="80">
        <v>6766</v>
      </c>
      <c r="AI176" s="80">
        <v>23888</v>
      </c>
      <c r="AJ176" s="80"/>
      <c r="AK176" s="80" t="s">
        <v>1931</v>
      </c>
      <c r="AL176" s="80" t="s">
        <v>2039</v>
      </c>
      <c r="AM176" s="86" t="str">
        <f>HYPERLINK("https://t.co/kZnmEhmx4D")</f>
        <v>https://t.co/kZnmEhmx4D</v>
      </c>
      <c r="AN176" s="80"/>
      <c r="AO176" s="82">
        <v>39999.75040509259</v>
      </c>
      <c r="AP176" s="86" t="str">
        <f>HYPERLINK("https://pbs.twimg.com/profile_banners/53963244/1629550740")</f>
        <v>https://pbs.twimg.com/profile_banners/53963244/1629550740</v>
      </c>
      <c r="AQ176" s="80" t="b">
        <v>0</v>
      </c>
      <c r="AR176" s="80" t="b">
        <v>0</v>
      </c>
      <c r="AS176" s="80" t="b">
        <v>1</v>
      </c>
      <c r="AT176" s="80"/>
      <c r="AU176" s="80">
        <v>18</v>
      </c>
      <c r="AV176" s="86" t="str">
        <f>HYPERLINK("https://abs.twimg.com/images/themes/theme6/bg.gif")</f>
        <v>https://abs.twimg.com/images/themes/theme6/bg.gif</v>
      </c>
      <c r="AW176" s="80" t="b">
        <v>0</v>
      </c>
      <c r="AX176" s="80" t="s">
        <v>2141</v>
      </c>
      <c r="AY176" s="86" t="str">
        <f>HYPERLINK("https://twitter.com/pikkuhoo")</f>
        <v>https://twitter.com/pikkuhoo</v>
      </c>
      <c r="AZ176" s="80" t="s">
        <v>66</v>
      </c>
      <c r="BA176" s="80" t="str">
        <f>REPLACE(INDEX(GroupVertices[Group],MATCH(Vertices[[#This Row],[Vertex]],GroupVertices[Vertex],0)),1,1,"")</f>
        <v>1</v>
      </c>
      <c r="BB176" s="49">
        <v>0</v>
      </c>
      <c r="BC176" s="50">
        <v>0</v>
      </c>
      <c r="BD176" s="49">
        <v>0</v>
      </c>
      <c r="BE176" s="50">
        <v>0</v>
      </c>
      <c r="BF176" s="49">
        <v>0</v>
      </c>
      <c r="BG176" s="50">
        <v>0</v>
      </c>
      <c r="BH176" s="49">
        <v>33</v>
      </c>
      <c r="BI176" s="50">
        <v>100</v>
      </c>
      <c r="BJ176" s="49">
        <v>33</v>
      </c>
      <c r="BK176" s="49" t="s">
        <v>3990</v>
      </c>
      <c r="BL176" s="49" t="s">
        <v>3990</v>
      </c>
      <c r="BM176" s="49" t="s">
        <v>582</v>
      </c>
      <c r="BN176" s="49" t="s">
        <v>582</v>
      </c>
      <c r="BO176" s="49"/>
      <c r="BP176" s="49"/>
      <c r="BQ176" s="116" t="s">
        <v>4267</v>
      </c>
      <c r="BR176" s="116" t="s">
        <v>4267</v>
      </c>
      <c r="BS176" s="116" t="s">
        <v>4346</v>
      </c>
      <c r="BT176" s="116" t="s">
        <v>4346</v>
      </c>
      <c r="BU176" s="2"/>
      <c r="BV176" s="3"/>
      <c r="BW176" s="3"/>
      <c r="BX176" s="3"/>
      <c r="BY176" s="3"/>
    </row>
    <row r="177" spans="1:77" ht="15">
      <c r="A177" s="65" t="s">
        <v>384</v>
      </c>
      <c r="B177" s="66"/>
      <c r="C177" s="66" t="s">
        <v>64</v>
      </c>
      <c r="D177" s="67">
        <v>10</v>
      </c>
      <c r="E177" s="69"/>
      <c r="F177" s="104" t="str">
        <f>HYPERLINK("https://pbs.twimg.com/profile_images/1222093339878662144/mCmtKZYF_normal.jpg")</f>
        <v>https://pbs.twimg.com/profile_images/1222093339878662144/mCmtKZYF_normal.jpg</v>
      </c>
      <c r="G177" s="66"/>
      <c r="H177" s="70" t="s">
        <v>384</v>
      </c>
      <c r="I177" s="71" t="s">
        <v>4398</v>
      </c>
      <c r="J177" s="71" t="s">
        <v>73</v>
      </c>
      <c r="K177" s="70" t="s">
        <v>2315</v>
      </c>
      <c r="L177" s="74">
        <v>99.01960784313725</v>
      </c>
      <c r="M177" s="75"/>
      <c r="N177" s="75"/>
      <c r="O177" s="76"/>
      <c r="P177" s="77"/>
      <c r="Q177" s="77"/>
      <c r="R177" s="90"/>
      <c r="S177" s="49">
        <v>1</v>
      </c>
      <c r="T177" s="49">
        <v>1</v>
      </c>
      <c r="U177" s="50">
        <v>0</v>
      </c>
      <c r="V177" s="50">
        <v>0</v>
      </c>
      <c r="W177" s="50">
        <v>0</v>
      </c>
      <c r="X177" s="50">
        <v>0.003623</v>
      </c>
      <c r="Y177" s="50">
        <v>0</v>
      </c>
      <c r="Z177" s="50">
        <v>0</v>
      </c>
      <c r="AA177" s="72">
        <v>177</v>
      </c>
      <c r="AB177" s="72"/>
      <c r="AC177" s="73"/>
      <c r="AD177" s="80" t="s">
        <v>1408</v>
      </c>
      <c r="AE177" s="89" t="s">
        <v>1671</v>
      </c>
      <c r="AF177" s="80">
        <v>853</v>
      </c>
      <c r="AG177" s="80">
        <v>569</v>
      </c>
      <c r="AH177" s="80">
        <v>433</v>
      </c>
      <c r="AI177" s="80">
        <v>1110</v>
      </c>
      <c r="AJ177" s="80"/>
      <c r="AK177" s="80" t="s">
        <v>1932</v>
      </c>
      <c r="AL177" s="80" t="s">
        <v>2038</v>
      </c>
      <c r="AM177" s="80"/>
      <c r="AN177" s="80"/>
      <c r="AO177" s="82">
        <v>41960.649305555555</v>
      </c>
      <c r="AP177" s="80"/>
      <c r="AQ177" s="80" t="b">
        <v>1</v>
      </c>
      <c r="AR177" s="80" t="b">
        <v>0</v>
      </c>
      <c r="AS177" s="80" t="b">
        <v>0</v>
      </c>
      <c r="AT177" s="80"/>
      <c r="AU177" s="80">
        <v>0</v>
      </c>
      <c r="AV177" s="86" t="str">
        <f>HYPERLINK("https://abs.twimg.com/images/themes/theme1/bg.png")</f>
        <v>https://abs.twimg.com/images/themes/theme1/bg.png</v>
      </c>
      <c r="AW177" s="80" t="b">
        <v>0</v>
      </c>
      <c r="AX177" s="80" t="s">
        <v>2141</v>
      </c>
      <c r="AY177" s="86" t="str">
        <f>HYPERLINK("https://twitter.com/lpyokari")</f>
        <v>https://twitter.com/lpyokari</v>
      </c>
      <c r="AZ177" s="80" t="s">
        <v>66</v>
      </c>
      <c r="BA177" s="80" t="str">
        <f>REPLACE(INDEX(GroupVertices[Group],MATCH(Vertices[[#This Row],[Vertex]],GroupVertices[Vertex],0)),1,1,"")</f>
        <v>3</v>
      </c>
      <c r="BB177" s="49">
        <v>0</v>
      </c>
      <c r="BC177" s="50">
        <v>0</v>
      </c>
      <c r="BD177" s="49">
        <v>0</v>
      </c>
      <c r="BE177" s="50">
        <v>0</v>
      </c>
      <c r="BF177" s="49">
        <v>0</v>
      </c>
      <c r="BG177" s="50">
        <v>0</v>
      </c>
      <c r="BH177" s="49">
        <v>12</v>
      </c>
      <c r="BI177" s="50">
        <v>100</v>
      </c>
      <c r="BJ177" s="49">
        <v>12</v>
      </c>
      <c r="BK177" s="49"/>
      <c r="BL177" s="49"/>
      <c r="BM177" s="49"/>
      <c r="BN177" s="49"/>
      <c r="BO177" s="49" t="s">
        <v>591</v>
      </c>
      <c r="BP177" s="49" t="s">
        <v>591</v>
      </c>
      <c r="BQ177" s="116" t="s">
        <v>4283</v>
      </c>
      <c r="BR177" s="116" t="s">
        <v>4283</v>
      </c>
      <c r="BS177" s="116" t="s">
        <v>4361</v>
      </c>
      <c r="BT177" s="116" t="s">
        <v>4361</v>
      </c>
      <c r="BU177" s="2"/>
      <c r="BV177" s="3"/>
      <c r="BW177" s="3"/>
      <c r="BX177" s="3"/>
      <c r="BY177" s="3"/>
    </row>
    <row r="178" spans="1:77" ht="15">
      <c r="A178" s="65" t="s">
        <v>385</v>
      </c>
      <c r="B178" s="66"/>
      <c r="C178" s="66" t="s">
        <v>64</v>
      </c>
      <c r="D178" s="67"/>
      <c r="E178" s="69"/>
      <c r="F178" s="104" t="str">
        <f>HYPERLINK("https://pbs.twimg.com/profile_images/1443252717187698697/NOm0I97z_normal.jpg")</f>
        <v>https://pbs.twimg.com/profile_images/1443252717187698697/NOm0I97z_normal.jpg</v>
      </c>
      <c r="G178" s="66"/>
      <c r="H178" s="70" t="s">
        <v>385</v>
      </c>
      <c r="I178" s="71" t="s">
        <v>4393</v>
      </c>
      <c r="J178" s="71" t="s">
        <v>73</v>
      </c>
      <c r="K178" s="70" t="s">
        <v>2316</v>
      </c>
      <c r="L178" s="74">
        <v>1</v>
      </c>
      <c r="M178" s="75">
        <v>4435.8662109375</v>
      </c>
      <c r="N178" s="75">
        <v>5923.0166015625</v>
      </c>
      <c r="O178" s="76"/>
      <c r="P178" s="77"/>
      <c r="Q178" s="77"/>
      <c r="R178" s="90"/>
      <c r="S178" s="49">
        <v>0</v>
      </c>
      <c r="T178" s="49">
        <v>1</v>
      </c>
      <c r="U178" s="50">
        <v>0</v>
      </c>
      <c r="V178" s="50">
        <v>0.239313</v>
      </c>
      <c r="W178" s="50">
        <v>0.067769</v>
      </c>
      <c r="X178" s="50">
        <v>0.003151</v>
      </c>
      <c r="Y178" s="50">
        <v>0</v>
      </c>
      <c r="Z178" s="50">
        <v>0</v>
      </c>
      <c r="AA178" s="72">
        <v>178</v>
      </c>
      <c r="AB178" s="72"/>
      <c r="AC178" s="73"/>
      <c r="AD178" s="80" t="s">
        <v>1409</v>
      </c>
      <c r="AE178" s="89" t="s">
        <v>1672</v>
      </c>
      <c r="AF178" s="80">
        <v>4781</v>
      </c>
      <c r="AG178" s="80">
        <v>4169</v>
      </c>
      <c r="AH178" s="80">
        <v>23269</v>
      </c>
      <c r="AI178" s="80">
        <v>59319</v>
      </c>
      <c r="AJ178" s="80"/>
      <c r="AK178" s="80" t="s">
        <v>1933</v>
      </c>
      <c r="AL178" s="80" t="s">
        <v>2105</v>
      </c>
      <c r="AM178" s="86" t="str">
        <f>HYPERLINK("https://t.co/rkUZJtZjLr")</f>
        <v>https://t.co/rkUZJtZjLr</v>
      </c>
      <c r="AN178" s="80"/>
      <c r="AO178" s="82">
        <v>42182.47043981482</v>
      </c>
      <c r="AP178" s="86" t="str">
        <f>HYPERLINK("https://pbs.twimg.com/profile_banners/3347495044/1606107577")</f>
        <v>https://pbs.twimg.com/profile_banners/3347495044/1606107577</v>
      </c>
      <c r="AQ178" s="80" t="b">
        <v>0</v>
      </c>
      <c r="AR178" s="80" t="b">
        <v>0</v>
      </c>
      <c r="AS178" s="80" t="b">
        <v>1</v>
      </c>
      <c r="AT178" s="80"/>
      <c r="AU178" s="80">
        <v>67</v>
      </c>
      <c r="AV178" s="86" t="str">
        <f>HYPERLINK("https://abs.twimg.com/images/themes/theme1/bg.png")</f>
        <v>https://abs.twimg.com/images/themes/theme1/bg.png</v>
      </c>
      <c r="AW178" s="80" t="b">
        <v>0</v>
      </c>
      <c r="AX178" s="80" t="s">
        <v>2141</v>
      </c>
      <c r="AY178" s="86" t="str">
        <f>HYPERLINK("https://twitter.com/pilvialopaeus")</f>
        <v>https://twitter.com/pilvialopaeus</v>
      </c>
      <c r="AZ178" s="80" t="s">
        <v>66</v>
      </c>
      <c r="BA178" s="80" t="str">
        <f>REPLACE(INDEX(GroupVertices[Group],MATCH(Vertices[[#This Row],[Vertex]],GroupVertices[Vertex],0)),1,1,"")</f>
        <v>1</v>
      </c>
      <c r="BB178" s="49">
        <v>0</v>
      </c>
      <c r="BC178" s="50">
        <v>0</v>
      </c>
      <c r="BD178" s="49">
        <v>0</v>
      </c>
      <c r="BE178" s="50">
        <v>0</v>
      </c>
      <c r="BF178" s="49">
        <v>0</v>
      </c>
      <c r="BG178" s="50">
        <v>0</v>
      </c>
      <c r="BH178" s="49">
        <v>33</v>
      </c>
      <c r="BI178" s="50">
        <v>100</v>
      </c>
      <c r="BJ178" s="49">
        <v>33</v>
      </c>
      <c r="BK178" s="49" t="s">
        <v>3990</v>
      </c>
      <c r="BL178" s="49" t="s">
        <v>3990</v>
      </c>
      <c r="BM178" s="49" t="s">
        <v>582</v>
      </c>
      <c r="BN178" s="49" t="s">
        <v>582</v>
      </c>
      <c r="BO178" s="49"/>
      <c r="BP178" s="49"/>
      <c r="BQ178" s="116" t="s">
        <v>4267</v>
      </c>
      <c r="BR178" s="116" t="s">
        <v>4267</v>
      </c>
      <c r="BS178" s="116" t="s">
        <v>4346</v>
      </c>
      <c r="BT178" s="116" t="s">
        <v>4346</v>
      </c>
      <c r="BU178" s="2"/>
      <c r="BV178" s="3"/>
      <c r="BW178" s="3"/>
      <c r="BX178" s="3"/>
      <c r="BY178" s="3"/>
    </row>
    <row r="179" spans="1:77" ht="15">
      <c r="A179" s="65" t="s">
        <v>386</v>
      </c>
      <c r="B179" s="66"/>
      <c r="C179" s="66" t="s">
        <v>64</v>
      </c>
      <c r="D179" s="67"/>
      <c r="E179" s="69"/>
      <c r="F179" s="104" t="str">
        <f>HYPERLINK("https://pbs.twimg.com/profile_images/1478406004861771788/3at8lG4z_normal.jpg")</f>
        <v>https://pbs.twimg.com/profile_images/1478406004861771788/3at8lG4z_normal.jpg</v>
      </c>
      <c r="G179" s="66"/>
      <c r="H179" s="70" t="s">
        <v>386</v>
      </c>
      <c r="I179" s="71" t="s">
        <v>4393</v>
      </c>
      <c r="J179" s="71" t="s">
        <v>73</v>
      </c>
      <c r="K179" s="70" t="s">
        <v>2317</v>
      </c>
      <c r="L179" s="74">
        <v>1</v>
      </c>
      <c r="M179" s="75">
        <v>2465.9375</v>
      </c>
      <c r="N179" s="75">
        <v>6864.41015625</v>
      </c>
      <c r="O179" s="76"/>
      <c r="P179" s="77"/>
      <c r="Q179" s="77"/>
      <c r="R179" s="90"/>
      <c r="S179" s="49">
        <v>0</v>
      </c>
      <c r="T179" s="49">
        <v>1</v>
      </c>
      <c r="U179" s="50">
        <v>0</v>
      </c>
      <c r="V179" s="50">
        <v>0.239313</v>
      </c>
      <c r="W179" s="50">
        <v>0.067769</v>
      </c>
      <c r="X179" s="50">
        <v>0.003151</v>
      </c>
      <c r="Y179" s="50">
        <v>0</v>
      </c>
      <c r="Z179" s="50">
        <v>0</v>
      </c>
      <c r="AA179" s="72">
        <v>179</v>
      </c>
      <c r="AB179" s="72"/>
      <c r="AC179" s="73"/>
      <c r="AD179" s="80" t="s">
        <v>1410</v>
      </c>
      <c r="AE179" s="89" t="s">
        <v>1673</v>
      </c>
      <c r="AF179" s="80">
        <v>1451</v>
      </c>
      <c r="AG179" s="80">
        <v>170</v>
      </c>
      <c r="AH179" s="80">
        <v>624</v>
      </c>
      <c r="AI179" s="80">
        <v>27078</v>
      </c>
      <c r="AJ179" s="80"/>
      <c r="AK179" s="80" t="s">
        <v>1934</v>
      </c>
      <c r="AL179" s="80" t="s">
        <v>2059</v>
      </c>
      <c r="AM179" s="86" t="str">
        <f>HYPERLINK("https://t.co/4n15gb4t06")</f>
        <v>https://t.co/4n15gb4t06</v>
      </c>
      <c r="AN179" s="80"/>
      <c r="AO179" s="82">
        <v>44180.414247685185</v>
      </c>
      <c r="AP179" s="86" t="str">
        <f>HYPERLINK("https://pbs.twimg.com/profile_banners/1338784960052916224/1638299639")</f>
        <v>https://pbs.twimg.com/profile_banners/1338784960052916224/1638299639</v>
      </c>
      <c r="AQ179" s="80" t="b">
        <v>1</v>
      </c>
      <c r="AR179" s="80" t="b">
        <v>0</v>
      </c>
      <c r="AS179" s="80" t="b">
        <v>0</v>
      </c>
      <c r="AT179" s="80"/>
      <c r="AU179" s="80">
        <v>0</v>
      </c>
      <c r="AV179" s="80"/>
      <c r="AW179" s="80" t="b">
        <v>0</v>
      </c>
      <c r="AX179" s="80" t="s">
        <v>2141</v>
      </c>
      <c r="AY179" s="86" t="str">
        <f>HYPERLINK("https://twitter.com/airastuomas")</f>
        <v>https://twitter.com/airastuomas</v>
      </c>
      <c r="AZ179" s="80" t="s">
        <v>66</v>
      </c>
      <c r="BA179" s="80" t="str">
        <f>REPLACE(INDEX(GroupVertices[Group],MATCH(Vertices[[#This Row],[Vertex]],GroupVertices[Vertex],0)),1,1,"")</f>
        <v>1</v>
      </c>
      <c r="BB179" s="49">
        <v>0</v>
      </c>
      <c r="BC179" s="50">
        <v>0</v>
      </c>
      <c r="BD179" s="49">
        <v>0</v>
      </c>
      <c r="BE179" s="50">
        <v>0</v>
      </c>
      <c r="BF179" s="49">
        <v>0</v>
      </c>
      <c r="BG179" s="50">
        <v>0</v>
      </c>
      <c r="BH179" s="49">
        <v>33</v>
      </c>
      <c r="BI179" s="50">
        <v>100</v>
      </c>
      <c r="BJ179" s="49">
        <v>33</v>
      </c>
      <c r="BK179" s="49" t="s">
        <v>3990</v>
      </c>
      <c r="BL179" s="49" t="s">
        <v>3990</v>
      </c>
      <c r="BM179" s="49" t="s">
        <v>582</v>
      </c>
      <c r="BN179" s="49" t="s">
        <v>582</v>
      </c>
      <c r="BO179" s="49"/>
      <c r="BP179" s="49"/>
      <c r="BQ179" s="116" t="s">
        <v>4267</v>
      </c>
      <c r="BR179" s="116" t="s">
        <v>4267</v>
      </c>
      <c r="BS179" s="116" t="s">
        <v>4346</v>
      </c>
      <c r="BT179" s="116" t="s">
        <v>4346</v>
      </c>
      <c r="BU179" s="2"/>
      <c r="BV179" s="3"/>
      <c r="BW179" s="3"/>
      <c r="BX179" s="3"/>
      <c r="BY179" s="3"/>
    </row>
    <row r="180" spans="1:77" ht="15">
      <c r="A180" s="65" t="s">
        <v>387</v>
      </c>
      <c r="B180" s="66"/>
      <c r="C180" s="66" t="s">
        <v>64</v>
      </c>
      <c r="D180" s="67"/>
      <c r="E180" s="69"/>
      <c r="F180" s="104" t="str">
        <f>HYPERLINK("https://pbs.twimg.com/profile_images/1366433537914773511/aZH10aQT_normal.jpg")</f>
        <v>https://pbs.twimg.com/profile_images/1366433537914773511/aZH10aQT_normal.jpg</v>
      </c>
      <c r="G180" s="66"/>
      <c r="H180" s="70" t="s">
        <v>387</v>
      </c>
      <c r="I180" s="71" t="s">
        <v>4393</v>
      </c>
      <c r="J180" s="71" t="s">
        <v>73</v>
      </c>
      <c r="K180" s="70" t="s">
        <v>2318</v>
      </c>
      <c r="L180" s="74">
        <v>1</v>
      </c>
      <c r="M180" s="75">
        <v>4396.68603515625</v>
      </c>
      <c r="N180" s="75">
        <v>9702.669921875</v>
      </c>
      <c r="O180" s="76"/>
      <c r="P180" s="77"/>
      <c r="Q180" s="77"/>
      <c r="R180" s="90"/>
      <c r="S180" s="49">
        <v>0</v>
      </c>
      <c r="T180" s="49">
        <v>1</v>
      </c>
      <c r="U180" s="50">
        <v>0</v>
      </c>
      <c r="V180" s="50">
        <v>0.239313</v>
      </c>
      <c r="W180" s="50">
        <v>0.067769</v>
      </c>
      <c r="X180" s="50">
        <v>0.003151</v>
      </c>
      <c r="Y180" s="50">
        <v>0</v>
      </c>
      <c r="Z180" s="50">
        <v>0</v>
      </c>
      <c r="AA180" s="72">
        <v>180</v>
      </c>
      <c r="AB180" s="72"/>
      <c r="AC180" s="73"/>
      <c r="AD180" s="80" t="s">
        <v>1411</v>
      </c>
      <c r="AE180" s="89" t="s">
        <v>1674</v>
      </c>
      <c r="AF180" s="80">
        <v>315</v>
      </c>
      <c r="AG180" s="80">
        <v>193</v>
      </c>
      <c r="AH180" s="80">
        <v>12783</v>
      </c>
      <c r="AI180" s="80">
        <v>27578</v>
      </c>
      <c r="AJ180" s="80"/>
      <c r="AK180" s="80" t="s">
        <v>1935</v>
      </c>
      <c r="AL180" s="80"/>
      <c r="AM180" s="80"/>
      <c r="AN180" s="80"/>
      <c r="AO180" s="82">
        <v>41621.53496527778</v>
      </c>
      <c r="AP180" s="86" t="str">
        <f>HYPERLINK("https://pbs.twimg.com/profile_banners/2223370258/1625152128")</f>
        <v>https://pbs.twimg.com/profile_banners/2223370258/1625152128</v>
      </c>
      <c r="AQ180" s="80" t="b">
        <v>1</v>
      </c>
      <c r="AR180" s="80" t="b">
        <v>0</v>
      </c>
      <c r="AS180" s="80" t="b">
        <v>0</v>
      </c>
      <c r="AT180" s="80"/>
      <c r="AU180" s="80">
        <v>0</v>
      </c>
      <c r="AV180" s="86" t="str">
        <f>HYPERLINK("https://abs.twimg.com/images/themes/theme1/bg.png")</f>
        <v>https://abs.twimg.com/images/themes/theme1/bg.png</v>
      </c>
      <c r="AW180" s="80" t="b">
        <v>0</v>
      </c>
      <c r="AX180" s="80" t="s">
        <v>2141</v>
      </c>
      <c r="AY180" s="86" t="str">
        <f>HYPERLINK("https://twitter.com/annkatarine")</f>
        <v>https://twitter.com/annkatarine</v>
      </c>
      <c r="AZ180" s="80" t="s">
        <v>66</v>
      </c>
      <c r="BA180" s="80" t="str">
        <f>REPLACE(INDEX(GroupVertices[Group],MATCH(Vertices[[#This Row],[Vertex]],GroupVertices[Vertex],0)),1,1,"")</f>
        <v>1</v>
      </c>
      <c r="BB180" s="49">
        <v>0</v>
      </c>
      <c r="BC180" s="50">
        <v>0</v>
      </c>
      <c r="BD180" s="49">
        <v>0</v>
      </c>
      <c r="BE180" s="50">
        <v>0</v>
      </c>
      <c r="BF180" s="49">
        <v>0</v>
      </c>
      <c r="BG180" s="50">
        <v>0</v>
      </c>
      <c r="BH180" s="49">
        <v>33</v>
      </c>
      <c r="BI180" s="50">
        <v>100</v>
      </c>
      <c r="BJ180" s="49">
        <v>33</v>
      </c>
      <c r="BK180" s="49" t="s">
        <v>3990</v>
      </c>
      <c r="BL180" s="49" t="s">
        <v>3990</v>
      </c>
      <c r="BM180" s="49" t="s">
        <v>582</v>
      </c>
      <c r="BN180" s="49" t="s">
        <v>582</v>
      </c>
      <c r="BO180" s="49"/>
      <c r="BP180" s="49"/>
      <c r="BQ180" s="116" t="s">
        <v>4267</v>
      </c>
      <c r="BR180" s="116" t="s">
        <v>4267</v>
      </c>
      <c r="BS180" s="116" t="s">
        <v>4346</v>
      </c>
      <c r="BT180" s="116" t="s">
        <v>4346</v>
      </c>
      <c r="BU180" s="2"/>
      <c r="BV180" s="3"/>
      <c r="BW180" s="3"/>
      <c r="BX180" s="3"/>
      <c r="BY180" s="3"/>
    </row>
    <row r="181" spans="1:77" ht="15">
      <c r="A181" s="65" t="s">
        <v>388</v>
      </c>
      <c r="B181" s="66"/>
      <c r="C181" s="66" t="s">
        <v>64</v>
      </c>
      <c r="D181" s="67"/>
      <c r="E181" s="69"/>
      <c r="F181" s="104" t="str">
        <f>HYPERLINK("https://pbs.twimg.com/profile_images/2796629331/228f4a490950e7de276364723b48763f_normal.jpeg")</f>
        <v>https://pbs.twimg.com/profile_images/2796629331/228f4a490950e7de276364723b48763f_normal.jpeg</v>
      </c>
      <c r="G181" s="66"/>
      <c r="H181" s="70" t="s">
        <v>388</v>
      </c>
      <c r="I181" s="71" t="s">
        <v>4393</v>
      </c>
      <c r="J181" s="71" t="s">
        <v>73</v>
      </c>
      <c r="K181" s="70" t="s">
        <v>2319</v>
      </c>
      <c r="L181" s="74">
        <v>1</v>
      </c>
      <c r="M181" s="75">
        <v>7272.9892578125</v>
      </c>
      <c r="N181" s="75">
        <v>6619.05224609375</v>
      </c>
      <c r="O181" s="76"/>
      <c r="P181" s="77"/>
      <c r="Q181" s="77"/>
      <c r="R181" s="90"/>
      <c r="S181" s="49">
        <v>0</v>
      </c>
      <c r="T181" s="49">
        <v>1</v>
      </c>
      <c r="U181" s="50">
        <v>0</v>
      </c>
      <c r="V181" s="50">
        <v>0.239313</v>
      </c>
      <c r="W181" s="50">
        <v>0.067769</v>
      </c>
      <c r="X181" s="50">
        <v>0.003151</v>
      </c>
      <c r="Y181" s="50">
        <v>0</v>
      </c>
      <c r="Z181" s="50">
        <v>0</v>
      </c>
      <c r="AA181" s="72">
        <v>181</v>
      </c>
      <c r="AB181" s="72"/>
      <c r="AC181" s="73"/>
      <c r="AD181" s="80" t="s">
        <v>1412</v>
      </c>
      <c r="AE181" s="89" t="s">
        <v>1675</v>
      </c>
      <c r="AF181" s="80">
        <v>2098</v>
      </c>
      <c r="AG181" s="80">
        <v>566</v>
      </c>
      <c r="AH181" s="80">
        <v>32637</v>
      </c>
      <c r="AI181" s="80">
        <v>17804</v>
      </c>
      <c r="AJ181" s="80"/>
      <c r="AK181" s="80"/>
      <c r="AL181" s="80" t="s">
        <v>2106</v>
      </c>
      <c r="AM181" s="86" t="str">
        <f>HYPERLINK("https://t.co/nTHir2C9Ph")</f>
        <v>https://t.co/nTHir2C9Ph</v>
      </c>
      <c r="AN181" s="80"/>
      <c r="AO181" s="82">
        <v>41006.426840277774</v>
      </c>
      <c r="AP181" s="80"/>
      <c r="AQ181" s="80" t="b">
        <v>1</v>
      </c>
      <c r="AR181" s="80" t="b">
        <v>0</v>
      </c>
      <c r="AS181" s="80" t="b">
        <v>0</v>
      </c>
      <c r="AT181" s="80"/>
      <c r="AU181" s="80">
        <v>81</v>
      </c>
      <c r="AV181" s="86" t="str">
        <f>HYPERLINK("https://abs.twimg.com/images/themes/theme1/bg.png")</f>
        <v>https://abs.twimg.com/images/themes/theme1/bg.png</v>
      </c>
      <c r="AW181" s="80" t="b">
        <v>0</v>
      </c>
      <c r="AX181" s="80" t="s">
        <v>2141</v>
      </c>
      <c r="AY181" s="86" t="str">
        <f>HYPERLINK("https://twitter.com/jormakarvonen")</f>
        <v>https://twitter.com/jormakarvonen</v>
      </c>
      <c r="AZ181" s="80" t="s">
        <v>66</v>
      </c>
      <c r="BA181" s="80" t="str">
        <f>REPLACE(INDEX(GroupVertices[Group],MATCH(Vertices[[#This Row],[Vertex]],GroupVertices[Vertex],0)),1,1,"")</f>
        <v>1</v>
      </c>
      <c r="BB181" s="49">
        <v>0</v>
      </c>
      <c r="BC181" s="50">
        <v>0</v>
      </c>
      <c r="BD181" s="49">
        <v>0</v>
      </c>
      <c r="BE181" s="50">
        <v>0</v>
      </c>
      <c r="BF181" s="49">
        <v>0</v>
      </c>
      <c r="BG181" s="50">
        <v>0</v>
      </c>
      <c r="BH181" s="49">
        <v>33</v>
      </c>
      <c r="BI181" s="50">
        <v>100</v>
      </c>
      <c r="BJ181" s="49">
        <v>33</v>
      </c>
      <c r="BK181" s="49" t="s">
        <v>3990</v>
      </c>
      <c r="BL181" s="49" t="s">
        <v>3990</v>
      </c>
      <c r="BM181" s="49" t="s">
        <v>582</v>
      </c>
      <c r="BN181" s="49" t="s">
        <v>582</v>
      </c>
      <c r="BO181" s="49"/>
      <c r="BP181" s="49"/>
      <c r="BQ181" s="116" t="s">
        <v>4267</v>
      </c>
      <c r="BR181" s="116" t="s">
        <v>4267</v>
      </c>
      <c r="BS181" s="116" t="s">
        <v>4346</v>
      </c>
      <c r="BT181" s="116" t="s">
        <v>4346</v>
      </c>
      <c r="BU181" s="2"/>
      <c r="BV181" s="3"/>
      <c r="BW181" s="3"/>
      <c r="BX181" s="3"/>
      <c r="BY181" s="3"/>
    </row>
    <row r="182" spans="1:77" ht="15">
      <c r="A182" s="65" t="s">
        <v>389</v>
      </c>
      <c r="B182" s="66"/>
      <c r="C182" s="66" t="s">
        <v>64</v>
      </c>
      <c r="D182" s="67"/>
      <c r="E182" s="69"/>
      <c r="F182" s="104" t="str">
        <f>HYPERLINK("https://pbs.twimg.com/profile_images/1224426667864723456/KRk9Np2r_normal.jpg")</f>
        <v>https://pbs.twimg.com/profile_images/1224426667864723456/KRk9Np2r_normal.jpg</v>
      </c>
      <c r="G182" s="66"/>
      <c r="H182" s="70" t="s">
        <v>389</v>
      </c>
      <c r="I182" s="71" t="s">
        <v>4393</v>
      </c>
      <c r="J182" s="71" t="s">
        <v>73</v>
      </c>
      <c r="K182" s="70" t="s">
        <v>2320</v>
      </c>
      <c r="L182" s="74">
        <v>1</v>
      </c>
      <c r="M182" s="75">
        <v>7532.30322265625</v>
      </c>
      <c r="N182" s="75">
        <v>7709.4833984375</v>
      </c>
      <c r="O182" s="76"/>
      <c r="P182" s="77"/>
      <c r="Q182" s="77"/>
      <c r="R182" s="90"/>
      <c r="S182" s="49">
        <v>0</v>
      </c>
      <c r="T182" s="49">
        <v>1</v>
      </c>
      <c r="U182" s="50">
        <v>0</v>
      </c>
      <c r="V182" s="50">
        <v>0.239313</v>
      </c>
      <c r="W182" s="50">
        <v>0.067769</v>
      </c>
      <c r="X182" s="50">
        <v>0.003151</v>
      </c>
      <c r="Y182" s="50">
        <v>0</v>
      </c>
      <c r="Z182" s="50">
        <v>0</v>
      </c>
      <c r="AA182" s="72">
        <v>182</v>
      </c>
      <c r="AB182" s="72"/>
      <c r="AC182" s="73"/>
      <c r="AD182" s="80" t="s">
        <v>1413</v>
      </c>
      <c r="AE182" s="89" t="s">
        <v>1676</v>
      </c>
      <c r="AF182" s="80">
        <v>1533</v>
      </c>
      <c r="AG182" s="80">
        <v>98</v>
      </c>
      <c r="AH182" s="80">
        <v>3971</v>
      </c>
      <c r="AI182" s="80">
        <v>19872</v>
      </c>
      <c r="AJ182" s="80"/>
      <c r="AK182" s="80"/>
      <c r="AL182" s="80" t="s">
        <v>1201</v>
      </c>
      <c r="AM182" s="80"/>
      <c r="AN182" s="80"/>
      <c r="AO182" s="82">
        <v>43390.71807870371</v>
      </c>
      <c r="AP182" s="86" t="str">
        <f>HYPERLINK("https://pbs.twimg.com/profile_banners/1052608688442068992/1581687129")</f>
        <v>https://pbs.twimg.com/profile_banners/1052608688442068992/1581687129</v>
      </c>
      <c r="AQ182" s="80" t="b">
        <v>1</v>
      </c>
      <c r="AR182" s="80" t="b">
        <v>0</v>
      </c>
      <c r="AS182" s="80" t="b">
        <v>0</v>
      </c>
      <c r="AT182" s="80"/>
      <c r="AU182" s="80">
        <v>0</v>
      </c>
      <c r="AV182" s="80"/>
      <c r="AW182" s="80" t="b">
        <v>0</v>
      </c>
      <c r="AX182" s="80" t="s">
        <v>2141</v>
      </c>
      <c r="AY182" s="86" t="str">
        <f>HYPERLINK("https://twitter.com/soilihietaniemi")</f>
        <v>https://twitter.com/soilihietaniemi</v>
      </c>
      <c r="AZ182" s="80" t="s">
        <v>66</v>
      </c>
      <c r="BA182" s="80" t="str">
        <f>REPLACE(INDEX(GroupVertices[Group],MATCH(Vertices[[#This Row],[Vertex]],GroupVertices[Vertex],0)),1,1,"")</f>
        <v>1</v>
      </c>
      <c r="BB182" s="49">
        <v>0</v>
      </c>
      <c r="BC182" s="50">
        <v>0</v>
      </c>
      <c r="BD182" s="49">
        <v>0</v>
      </c>
      <c r="BE182" s="50">
        <v>0</v>
      </c>
      <c r="BF182" s="49">
        <v>0</v>
      </c>
      <c r="BG182" s="50">
        <v>0</v>
      </c>
      <c r="BH182" s="49">
        <v>33</v>
      </c>
      <c r="BI182" s="50">
        <v>100</v>
      </c>
      <c r="BJ182" s="49">
        <v>33</v>
      </c>
      <c r="BK182" s="49" t="s">
        <v>3990</v>
      </c>
      <c r="BL182" s="49" t="s">
        <v>3990</v>
      </c>
      <c r="BM182" s="49" t="s">
        <v>582</v>
      </c>
      <c r="BN182" s="49" t="s">
        <v>582</v>
      </c>
      <c r="BO182" s="49"/>
      <c r="BP182" s="49"/>
      <c r="BQ182" s="116" t="s">
        <v>4267</v>
      </c>
      <c r="BR182" s="116" t="s">
        <v>4267</v>
      </c>
      <c r="BS182" s="116" t="s">
        <v>4346</v>
      </c>
      <c r="BT182" s="116" t="s">
        <v>4346</v>
      </c>
      <c r="BU182" s="2"/>
      <c r="BV182" s="3"/>
      <c r="BW182" s="3"/>
      <c r="BX182" s="3"/>
      <c r="BY182" s="3"/>
    </row>
    <row r="183" spans="1:77" ht="15">
      <c r="A183" s="65" t="s">
        <v>390</v>
      </c>
      <c r="B183" s="66"/>
      <c r="C183" s="66" t="s">
        <v>64</v>
      </c>
      <c r="D183" s="67"/>
      <c r="E183" s="69"/>
      <c r="F183" s="104" t="str">
        <f>HYPERLINK("https://pbs.twimg.com/profile_images/1462695340365205504/p_Gl349t_normal.png")</f>
        <v>https://pbs.twimg.com/profile_images/1462695340365205504/p_Gl349t_normal.png</v>
      </c>
      <c r="G183" s="66"/>
      <c r="H183" s="70" t="s">
        <v>390</v>
      </c>
      <c r="I183" s="71" t="s">
        <v>4393</v>
      </c>
      <c r="J183" s="71" t="s">
        <v>73</v>
      </c>
      <c r="K183" s="70" t="s">
        <v>2321</v>
      </c>
      <c r="L183" s="74">
        <v>1</v>
      </c>
      <c r="M183" s="75">
        <v>3072.6142578125</v>
      </c>
      <c r="N183" s="75">
        <v>9084.1787109375</v>
      </c>
      <c r="O183" s="76"/>
      <c r="P183" s="77"/>
      <c r="Q183" s="77"/>
      <c r="R183" s="90"/>
      <c r="S183" s="49">
        <v>0</v>
      </c>
      <c r="T183" s="49">
        <v>1</v>
      </c>
      <c r="U183" s="50">
        <v>0</v>
      </c>
      <c r="V183" s="50">
        <v>0.239313</v>
      </c>
      <c r="W183" s="50">
        <v>0.067769</v>
      </c>
      <c r="X183" s="50">
        <v>0.003151</v>
      </c>
      <c r="Y183" s="50">
        <v>0</v>
      </c>
      <c r="Z183" s="50">
        <v>0</v>
      </c>
      <c r="AA183" s="72">
        <v>183</v>
      </c>
      <c r="AB183" s="72"/>
      <c r="AC183" s="73"/>
      <c r="AD183" s="80" t="s">
        <v>1414</v>
      </c>
      <c r="AE183" s="89" t="s">
        <v>1677</v>
      </c>
      <c r="AF183" s="80">
        <v>274</v>
      </c>
      <c r="AG183" s="80">
        <v>409</v>
      </c>
      <c r="AH183" s="80">
        <v>1115</v>
      </c>
      <c r="AI183" s="80">
        <v>6425</v>
      </c>
      <c r="AJ183" s="80"/>
      <c r="AK183" s="80" t="s">
        <v>1936</v>
      </c>
      <c r="AL183" s="80" t="s">
        <v>1201</v>
      </c>
      <c r="AM183" s="86" t="str">
        <f>HYPERLINK("https://t.co/cY1l7Hpb3l")</f>
        <v>https://t.co/cY1l7Hpb3l</v>
      </c>
      <c r="AN183" s="80"/>
      <c r="AO183" s="82">
        <v>41250.47311342593</v>
      </c>
      <c r="AP183" s="86" t="str">
        <f>HYPERLINK("https://pbs.twimg.com/profile_banners/994844828/1637568800")</f>
        <v>https://pbs.twimg.com/profile_banners/994844828/1637568800</v>
      </c>
      <c r="AQ183" s="80" t="b">
        <v>0</v>
      </c>
      <c r="AR183" s="80" t="b">
        <v>0</v>
      </c>
      <c r="AS183" s="80" t="b">
        <v>1</v>
      </c>
      <c r="AT183" s="80"/>
      <c r="AU183" s="80">
        <v>8</v>
      </c>
      <c r="AV183" s="86" t="str">
        <f>HYPERLINK("https://abs.twimg.com/images/themes/theme12/bg.gif")</f>
        <v>https://abs.twimg.com/images/themes/theme12/bg.gif</v>
      </c>
      <c r="AW183" s="80" t="b">
        <v>0</v>
      </c>
      <c r="AX183" s="80" t="s">
        <v>2141</v>
      </c>
      <c r="AY183" s="86" t="str">
        <f>HYPERLINK("https://twitter.com/sannaruoho")</f>
        <v>https://twitter.com/sannaruoho</v>
      </c>
      <c r="AZ183" s="80" t="s">
        <v>66</v>
      </c>
      <c r="BA183" s="80" t="str">
        <f>REPLACE(INDEX(GroupVertices[Group],MATCH(Vertices[[#This Row],[Vertex]],GroupVertices[Vertex],0)),1,1,"")</f>
        <v>1</v>
      </c>
      <c r="BB183" s="49">
        <v>0</v>
      </c>
      <c r="BC183" s="50">
        <v>0</v>
      </c>
      <c r="BD183" s="49">
        <v>0</v>
      </c>
      <c r="BE183" s="50">
        <v>0</v>
      </c>
      <c r="BF183" s="49">
        <v>0</v>
      </c>
      <c r="BG183" s="50">
        <v>0</v>
      </c>
      <c r="BH183" s="49">
        <v>33</v>
      </c>
      <c r="BI183" s="50">
        <v>100</v>
      </c>
      <c r="BJ183" s="49">
        <v>33</v>
      </c>
      <c r="BK183" s="49" t="s">
        <v>3990</v>
      </c>
      <c r="BL183" s="49" t="s">
        <v>3990</v>
      </c>
      <c r="BM183" s="49" t="s">
        <v>582</v>
      </c>
      <c r="BN183" s="49" t="s">
        <v>582</v>
      </c>
      <c r="BO183" s="49"/>
      <c r="BP183" s="49"/>
      <c r="BQ183" s="116" t="s">
        <v>4267</v>
      </c>
      <c r="BR183" s="116" t="s">
        <v>4267</v>
      </c>
      <c r="BS183" s="116" t="s">
        <v>4346</v>
      </c>
      <c r="BT183" s="116" t="s">
        <v>4346</v>
      </c>
      <c r="BU183" s="2"/>
      <c r="BV183" s="3"/>
      <c r="BW183" s="3"/>
      <c r="BX183" s="3"/>
      <c r="BY183" s="3"/>
    </row>
    <row r="184" spans="1:77" ht="15">
      <c r="A184" s="65" t="s">
        <v>391</v>
      </c>
      <c r="B184" s="66"/>
      <c r="C184" s="66" t="s">
        <v>64</v>
      </c>
      <c r="D184" s="67"/>
      <c r="E184" s="69"/>
      <c r="F184" s="104" t="str">
        <f>HYPERLINK("https://pbs.twimg.com/profile_images/1364534351472570368/93J7WXh-_normal.jpg")</f>
        <v>https://pbs.twimg.com/profile_images/1364534351472570368/93J7WXh-_normal.jpg</v>
      </c>
      <c r="G184" s="66"/>
      <c r="H184" s="70" t="s">
        <v>391</v>
      </c>
      <c r="I184" s="71" t="s">
        <v>4393</v>
      </c>
      <c r="J184" s="71" t="s">
        <v>73</v>
      </c>
      <c r="K184" s="70" t="s">
        <v>2322</v>
      </c>
      <c r="L184" s="74">
        <v>1</v>
      </c>
      <c r="M184" s="75">
        <v>7238.64697265625</v>
      </c>
      <c r="N184" s="75">
        <v>5386.63427734375</v>
      </c>
      <c r="O184" s="76"/>
      <c r="P184" s="77"/>
      <c r="Q184" s="77"/>
      <c r="R184" s="90"/>
      <c r="S184" s="49">
        <v>0</v>
      </c>
      <c r="T184" s="49">
        <v>1</v>
      </c>
      <c r="U184" s="50">
        <v>0</v>
      </c>
      <c r="V184" s="50">
        <v>0.239313</v>
      </c>
      <c r="W184" s="50">
        <v>0.067769</v>
      </c>
      <c r="X184" s="50">
        <v>0.003151</v>
      </c>
      <c r="Y184" s="50">
        <v>0</v>
      </c>
      <c r="Z184" s="50">
        <v>0</v>
      </c>
      <c r="AA184" s="72">
        <v>184</v>
      </c>
      <c r="AB184" s="72"/>
      <c r="AC184" s="73"/>
      <c r="AD184" s="80" t="s">
        <v>1415</v>
      </c>
      <c r="AE184" s="89" t="s">
        <v>1678</v>
      </c>
      <c r="AF184" s="80">
        <v>1246</v>
      </c>
      <c r="AG184" s="80">
        <v>1634</v>
      </c>
      <c r="AH184" s="80">
        <v>5306</v>
      </c>
      <c r="AI184" s="80">
        <v>1873</v>
      </c>
      <c r="AJ184" s="80"/>
      <c r="AK184" s="80" t="s">
        <v>1937</v>
      </c>
      <c r="AL184" s="80"/>
      <c r="AM184" s="80"/>
      <c r="AN184" s="80"/>
      <c r="AO184" s="82">
        <v>40120.844305555554</v>
      </c>
      <c r="AP184" s="86" t="str">
        <f>HYPERLINK("https://pbs.twimg.com/profile_banners/87272179/1614165369")</f>
        <v>https://pbs.twimg.com/profile_banners/87272179/1614165369</v>
      </c>
      <c r="AQ184" s="80" t="b">
        <v>0</v>
      </c>
      <c r="AR184" s="80" t="b">
        <v>0</v>
      </c>
      <c r="AS184" s="80" t="b">
        <v>0</v>
      </c>
      <c r="AT184" s="80"/>
      <c r="AU184" s="80">
        <v>178</v>
      </c>
      <c r="AV184" s="86" t="str">
        <f>HYPERLINK("https://abs.twimg.com/images/themes/theme15/bg.png")</f>
        <v>https://abs.twimg.com/images/themes/theme15/bg.png</v>
      </c>
      <c r="AW184" s="80" t="b">
        <v>0</v>
      </c>
      <c r="AX184" s="80" t="s">
        <v>2141</v>
      </c>
      <c r="AY184" s="86" t="str">
        <f>HYPERLINK("https://twitter.com/slam70")</f>
        <v>https://twitter.com/slam70</v>
      </c>
      <c r="AZ184" s="80" t="s">
        <v>66</v>
      </c>
      <c r="BA184" s="80" t="str">
        <f>REPLACE(INDEX(GroupVertices[Group],MATCH(Vertices[[#This Row],[Vertex]],GroupVertices[Vertex],0)),1,1,"")</f>
        <v>1</v>
      </c>
      <c r="BB184" s="49">
        <v>0</v>
      </c>
      <c r="BC184" s="50">
        <v>0</v>
      </c>
      <c r="BD184" s="49">
        <v>0</v>
      </c>
      <c r="BE184" s="50">
        <v>0</v>
      </c>
      <c r="BF184" s="49">
        <v>0</v>
      </c>
      <c r="BG184" s="50">
        <v>0</v>
      </c>
      <c r="BH184" s="49">
        <v>33</v>
      </c>
      <c r="BI184" s="50">
        <v>100</v>
      </c>
      <c r="BJ184" s="49">
        <v>33</v>
      </c>
      <c r="BK184" s="49" t="s">
        <v>3990</v>
      </c>
      <c r="BL184" s="49" t="s">
        <v>3990</v>
      </c>
      <c r="BM184" s="49" t="s">
        <v>582</v>
      </c>
      <c r="BN184" s="49" t="s">
        <v>582</v>
      </c>
      <c r="BO184" s="49"/>
      <c r="BP184" s="49"/>
      <c r="BQ184" s="116" t="s">
        <v>4267</v>
      </c>
      <c r="BR184" s="116" t="s">
        <v>4267</v>
      </c>
      <c r="BS184" s="116" t="s">
        <v>4346</v>
      </c>
      <c r="BT184" s="116" t="s">
        <v>4346</v>
      </c>
      <c r="BU184" s="2"/>
      <c r="BV184" s="3"/>
      <c r="BW184" s="3"/>
      <c r="BX184" s="3"/>
      <c r="BY184" s="3"/>
    </row>
    <row r="185" spans="1:77" ht="15">
      <c r="A185" s="65" t="s">
        <v>392</v>
      </c>
      <c r="B185" s="66"/>
      <c r="C185" s="66" t="s">
        <v>64</v>
      </c>
      <c r="D185" s="67"/>
      <c r="E185" s="69"/>
      <c r="F185" s="104" t="str">
        <f>HYPERLINK("https://pbs.twimg.com/profile_images/1196350175557623808/sBe6jxdd_normal.jpg")</f>
        <v>https://pbs.twimg.com/profile_images/1196350175557623808/sBe6jxdd_normal.jpg</v>
      </c>
      <c r="G185" s="66"/>
      <c r="H185" s="70" t="s">
        <v>392</v>
      </c>
      <c r="I185" s="71" t="s">
        <v>4393</v>
      </c>
      <c r="J185" s="71" t="s">
        <v>73</v>
      </c>
      <c r="K185" s="70" t="s">
        <v>2323</v>
      </c>
      <c r="L185" s="74">
        <v>1</v>
      </c>
      <c r="M185" s="75">
        <v>5673.96923828125</v>
      </c>
      <c r="N185" s="75">
        <v>4219.10693359375</v>
      </c>
      <c r="O185" s="76"/>
      <c r="P185" s="77"/>
      <c r="Q185" s="77"/>
      <c r="R185" s="90"/>
      <c r="S185" s="49">
        <v>0</v>
      </c>
      <c r="T185" s="49">
        <v>1</v>
      </c>
      <c r="U185" s="50">
        <v>0</v>
      </c>
      <c r="V185" s="50">
        <v>0.239313</v>
      </c>
      <c r="W185" s="50">
        <v>0.067769</v>
      </c>
      <c r="X185" s="50">
        <v>0.003151</v>
      </c>
      <c r="Y185" s="50">
        <v>0</v>
      </c>
      <c r="Z185" s="50">
        <v>0</v>
      </c>
      <c r="AA185" s="72">
        <v>185</v>
      </c>
      <c r="AB185" s="72"/>
      <c r="AC185" s="73"/>
      <c r="AD185" s="80" t="s">
        <v>1416</v>
      </c>
      <c r="AE185" s="89" t="s">
        <v>1171</v>
      </c>
      <c r="AF185" s="80">
        <v>1164</v>
      </c>
      <c r="AG185" s="80">
        <v>1275</v>
      </c>
      <c r="AH185" s="80">
        <v>6622</v>
      </c>
      <c r="AI185" s="80">
        <v>6239</v>
      </c>
      <c r="AJ185" s="80"/>
      <c r="AK185" s="80" t="s">
        <v>1938</v>
      </c>
      <c r="AL185" s="80"/>
      <c r="AM185" s="86" t="str">
        <f>HYPERLINK("https://t.co/uvkJuHsThO")</f>
        <v>https://t.co/uvkJuHsThO</v>
      </c>
      <c r="AN185" s="80"/>
      <c r="AO185" s="82">
        <v>40645.297476851854</v>
      </c>
      <c r="AP185" s="86" t="str">
        <f>HYPERLINK("https://pbs.twimg.com/profile_banners/280895855/1591777837")</f>
        <v>https://pbs.twimg.com/profile_banners/280895855/1591777837</v>
      </c>
      <c r="AQ185" s="80" t="b">
        <v>1</v>
      </c>
      <c r="AR185" s="80" t="b">
        <v>0</v>
      </c>
      <c r="AS185" s="80" t="b">
        <v>1</v>
      </c>
      <c r="AT185" s="80"/>
      <c r="AU185" s="80">
        <v>181</v>
      </c>
      <c r="AV185" s="86" t="str">
        <f>HYPERLINK("https://abs.twimg.com/images/themes/theme1/bg.png")</f>
        <v>https://abs.twimg.com/images/themes/theme1/bg.png</v>
      </c>
      <c r="AW185" s="80" t="b">
        <v>0</v>
      </c>
      <c r="AX185" s="80" t="s">
        <v>2141</v>
      </c>
      <c r="AY185" s="86" t="str">
        <f>HYPERLINK("https://twitter.com/ellupaljarvi")</f>
        <v>https://twitter.com/ellupaljarvi</v>
      </c>
      <c r="AZ185" s="80" t="s">
        <v>66</v>
      </c>
      <c r="BA185" s="80" t="str">
        <f>REPLACE(INDEX(GroupVertices[Group],MATCH(Vertices[[#This Row],[Vertex]],GroupVertices[Vertex],0)),1,1,"")</f>
        <v>1</v>
      </c>
      <c r="BB185" s="49">
        <v>0</v>
      </c>
      <c r="BC185" s="50">
        <v>0</v>
      </c>
      <c r="BD185" s="49">
        <v>0</v>
      </c>
      <c r="BE185" s="50">
        <v>0</v>
      </c>
      <c r="BF185" s="49">
        <v>0</v>
      </c>
      <c r="BG185" s="50">
        <v>0</v>
      </c>
      <c r="BH185" s="49">
        <v>16</v>
      </c>
      <c r="BI185" s="50">
        <v>100</v>
      </c>
      <c r="BJ185" s="49">
        <v>16</v>
      </c>
      <c r="BK185" s="49" t="s">
        <v>4002</v>
      </c>
      <c r="BL185" s="49" t="s">
        <v>4002</v>
      </c>
      <c r="BM185" s="49" t="s">
        <v>585</v>
      </c>
      <c r="BN185" s="49" t="s">
        <v>585</v>
      </c>
      <c r="BO185" s="49" t="s">
        <v>591</v>
      </c>
      <c r="BP185" s="49" t="s">
        <v>591</v>
      </c>
      <c r="BQ185" s="116" t="s">
        <v>4284</v>
      </c>
      <c r="BR185" s="116" t="s">
        <v>4284</v>
      </c>
      <c r="BS185" s="116" t="s">
        <v>4362</v>
      </c>
      <c r="BT185" s="116" t="s">
        <v>4362</v>
      </c>
      <c r="BU185" s="2"/>
      <c r="BV185" s="3"/>
      <c r="BW185" s="3"/>
      <c r="BX185" s="3"/>
      <c r="BY185" s="3"/>
    </row>
    <row r="186" spans="1:77" ht="15">
      <c r="A186" s="65" t="s">
        <v>393</v>
      </c>
      <c r="B186" s="66"/>
      <c r="C186" s="66" t="s">
        <v>64</v>
      </c>
      <c r="D186" s="67"/>
      <c r="E186" s="69"/>
      <c r="F186" s="104" t="str">
        <f>HYPERLINK("https://pbs.twimg.com/profile_images/1394634843653296129/LGowRRa1_normal.jpg")</f>
        <v>https://pbs.twimg.com/profile_images/1394634843653296129/LGowRRa1_normal.jpg</v>
      </c>
      <c r="G186" s="66"/>
      <c r="H186" s="70" t="s">
        <v>393</v>
      </c>
      <c r="I186" s="71" t="s">
        <v>4393</v>
      </c>
      <c r="J186" s="71" t="s">
        <v>73</v>
      </c>
      <c r="K186" s="70" t="s">
        <v>2324</v>
      </c>
      <c r="L186" s="74">
        <v>1</v>
      </c>
      <c r="M186" s="75">
        <v>4920.6640625</v>
      </c>
      <c r="N186" s="75">
        <v>9741.9931640625</v>
      </c>
      <c r="O186" s="76"/>
      <c r="P186" s="77"/>
      <c r="Q186" s="77"/>
      <c r="R186" s="90"/>
      <c r="S186" s="49">
        <v>0</v>
      </c>
      <c r="T186" s="49">
        <v>1</v>
      </c>
      <c r="U186" s="50">
        <v>0</v>
      </c>
      <c r="V186" s="50">
        <v>0.239313</v>
      </c>
      <c r="W186" s="50">
        <v>0.067769</v>
      </c>
      <c r="X186" s="50">
        <v>0.003151</v>
      </c>
      <c r="Y186" s="50">
        <v>0</v>
      </c>
      <c r="Z186" s="50">
        <v>0</v>
      </c>
      <c r="AA186" s="72">
        <v>186</v>
      </c>
      <c r="AB186" s="72"/>
      <c r="AC186" s="73"/>
      <c r="AD186" s="80" t="s">
        <v>1417</v>
      </c>
      <c r="AE186" s="89" t="s">
        <v>1679</v>
      </c>
      <c r="AF186" s="80">
        <v>723</v>
      </c>
      <c r="AG186" s="80">
        <v>713</v>
      </c>
      <c r="AH186" s="80">
        <v>2533</v>
      </c>
      <c r="AI186" s="80">
        <v>3908</v>
      </c>
      <c r="AJ186" s="80"/>
      <c r="AK186" s="80" t="s">
        <v>1939</v>
      </c>
      <c r="AL186" s="80" t="s">
        <v>2071</v>
      </c>
      <c r="AM186" s="86" t="str">
        <f>HYPERLINK("https://t.co/19S0EGmJzo")</f>
        <v>https://t.co/19S0EGmJzo</v>
      </c>
      <c r="AN186" s="80"/>
      <c r="AO186" s="82">
        <v>42389.837372685186</v>
      </c>
      <c r="AP186" s="86" t="str">
        <f>HYPERLINK("https://pbs.twimg.com/profile_banners/4830720418/1633688369")</f>
        <v>https://pbs.twimg.com/profile_banners/4830720418/1633688369</v>
      </c>
      <c r="AQ186" s="80" t="b">
        <v>1</v>
      </c>
      <c r="AR186" s="80" t="b">
        <v>0</v>
      </c>
      <c r="AS186" s="80" t="b">
        <v>1</v>
      </c>
      <c r="AT186" s="80"/>
      <c r="AU186" s="80">
        <v>0</v>
      </c>
      <c r="AV186" s="80"/>
      <c r="AW186" s="80" t="b">
        <v>0</v>
      </c>
      <c r="AX186" s="80" t="s">
        <v>2141</v>
      </c>
      <c r="AY186" s="86" t="str">
        <f>HYPERLINK("https://twitter.com/leinovil")</f>
        <v>https://twitter.com/leinovil</v>
      </c>
      <c r="AZ186" s="80" t="s">
        <v>66</v>
      </c>
      <c r="BA186" s="80" t="str">
        <f>REPLACE(INDEX(GroupVertices[Group],MATCH(Vertices[[#This Row],[Vertex]],GroupVertices[Vertex],0)),1,1,"")</f>
        <v>1</v>
      </c>
      <c r="BB186" s="49">
        <v>0</v>
      </c>
      <c r="BC186" s="50">
        <v>0</v>
      </c>
      <c r="BD186" s="49">
        <v>0</v>
      </c>
      <c r="BE186" s="50">
        <v>0</v>
      </c>
      <c r="BF186" s="49">
        <v>0</v>
      </c>
      <c r="BG186" s="50">
        <v>0</v>
      </c>
      <c r="BH186" s="49">
        <v>33</v>
      </c>
      <c r="BI186" s="50">
        <v>100</v>
      </c>
      <c r="BJ186" s="49">
        <v>33</v>
      </c>
      <c r="BK186" s="49" t="s">
        <v>3990</v>
      </c>
      <c r="BL186" s="49" t="s">
        <v>3990</v>
      </c>
      <c r="BM186" s="49" t="s">
        <v>582</v>
      </c>
      <c r="BN186" s="49" t="s">
        <v>582</v>
      </c>
      <c r="BO186" s="49"/>
      <c r="BP186" s="49"/>
      <c r="BQ186" s="116" t="s">
        <v>4267</v>
      </c>
      <c r="BR186" s="116" t="s">
        <v>4267</v>
      </c>
      <c r="BS186" s="116" t="s">
        <v>4346</v>
      </c>
      <c r="BT186" s="116" t="s">
        <v>4346</v>
      </c>
      <c r="BU186" s="2"/>
      <c r="BV186" s="3"/>
      <c r="BW186" s="3"/>
      <c r="BX186" s="3"/>
      <c r="BY186" s="3"/>
    </row>
    <row r="187" spans="1:77" ht="15">
      <c r="A187" s="65" t="s">
        <v>394</v>
      </c>
      <c r="B187" s="66"/>
      <c r="C187" s="66" t="s">
        <v>64</v>
      </c>
      <c r="D187" s="67"/>
      <c r="E187" s="69"/>
      <c r="F187" s="104" t="str">
        <f>HYPERLINK("https://pbs.twimg.com/profile_images/1400008016133603329/dPdoUaoD_normal.jpg")</f>
        <v>https://pbs.twimg.com/profile_images/1400008016133603329/dPdoUaoD_normal.jpg</v>
      </c>
      <c r="G187" s="66"/>
      <c r="H187" s="70" t="s">
        <v>394</v>
      </c>
      <c r="I187" s="71" t="s">
        <v>4393</v>
      </c>
      <c r="J187" s="71" t="s">
        <v>73</v>
      </c>
      <c r="K187" s="70" t="s">
        <v>2325</v>
      </c>
      <c r="L187" s="74">
        <v>1</v>
      </c>
      <c r="M187" s="75">
        <v>3386.642333984375</v>
      </c>
      <c r="N187" s="75">
        <v>8111.86962890625</v>
      </c>
      <c r="O187" s="76"/>
      <c r="P187" s="77"/>
      <c r="Q187" s="77"/>
      <c r="R187" s="90"/>
      <c r="S187" s="49">
        <v>0</v>
      </c>
      <c r="T187" s="49">
        <v>1</v>
      </c>
      <c r="U187" s="50">
        <v>0</v>
      </c>
      <c r="V187" s="50">
        <v>0.239313</v>
      </c>
      <c r="W187" s="50">
        <v>0.067769</v>
      </c>
      <c r="X187" s="50">
        <v>0.003151</v>
      </c>
      <c r="Y187" s="50">
        <v>0</v>
      </c>
      <c r="Z187" s="50">
        <v>0</v>
      </c>
      <c r="AA187" s="72">
        <v>187</v>
      </c>
      <c r="AB187" s="72"/>
      <c r="AC187" s="73"/>
      <c r="AD187" s="80" t="s">
        <v>1418</v>
      </c>
      <c r="AE187" s="89" t="s">
        <v>1680</v>
      </c>
      <c r="AF187" s="80">
        <v>587</v>
      </c>
      <c r="AG187" s="80">
        <v>195</v>
      </c>
      <c r="AH187" s="80">
        <v>2654</v>
      </c>
      <c r="AI187" s="80">
        <v>1078</v>
      </c>
      <c r="AJ187" s="80"/>
      <c r="AK187" s="80" t="s">
        <v>1940</v>
      </c>
      <c r="AL187" s="80"/>
      <c r="AM187" s="86" t="str">
        <f>HYPERLINK("https://t.co/06nznrNNTt")</f>
        <v>https://t.co/06nznrNNTt</v>
      </c>
      <c r="AN187" s="80"/>
      <c r="AO187" s="82">
        <v>40524.763773148145</v>
      </c>
      <c r="AP187" s="86" t="str">
        <f>HYPERLINK("https://pbs.twimg.com/profile_banners/225884204/1622015073")</f>
        <v>https://pbs.twimg.com/profile_banners/225884204/1622015073</v>
      </c>
      <c r="AQ187" s="80" t="b">
        <v>0</v>
      </c>
      <c r="AR187" s="80" t="b">
        <v>0</v>
      </c>
      <c r="AS187" s="80" t="b">
        <v>0</v>
      </c>
      <c r="AT187" s="80"/>
      <c r="AU187" s="80">
        <v>41</v>
      </c>
      <c r="AV187" s="86" t="str">
        <f>HYPERLINK("https://abs.twimg.com/images/themes/theme1/bg.png")</f>
        <v>https://abs.twimg.com/images/themes/theme1/bg.png</v>
      </c>
      <c r="AW187" s="80" t="b">
        <v>0</v>
      </c>
      <c r="AX187" s="80" t="s">
        <v>2141</v>
      </c>
      <c r="AY187" s="86" t="str">
        <f>HYPERLINK("https://twitter.com/juhokas")</f>
        <v>https://twitter.com/juhokas</v>
      </c>
      <c r="AZ187" s="80" t="s">
        <v>66</v>
      </c>
      <c r="BA187" s="80" t="str">
        <f>REPLACE(INDEX(GroupVertices[Group],MATCH(Vertices[[#This Row],[Vertex]],GroupVertices[Vertex],0)),1,1,"")</f>
        <v>1</v>
      </c>
      <c r="BB187" s="49">
        <v>0</v>
      </c>
      <c r="BC187" s="50">
        <v>0</v>
      </c>
      <c r="BD187" s="49">
        <v>0</v>
      </c>
      <c r="BE187" s="50">
        <v>0</v>
      </c>
      <c r="BF187" s="49">
        <v>0</v>
      </c>
      <c r="BG187" s="50">
        <v>0</v>
      </c>
      <c r="BH187" s="49">
        <v>33</v>
      </c>
      <c r="BI187" s="50">
        <v>100</v>
      </c>
      <c r="BJ187" s="49">
        <v>33</v>
      </c>
      <c r="BK187" s="49" t="s">
        <v>3990</v>
      </c>
      <c r="BL187" s="49" t="s">
        <v>3990</v>
      </c>
      <c r="BM187" s="49" t="s">
        <v>582</v>
      </c>
      <c r="BN187" s="49" t="s">
        <v>582</v>
      </c>
      <c r="BO187" s="49"/>
      <c r="BP187" s="49"/>
      <c r="BQ187" s="116" t="s">
        <v>4267</v>
      </c>
      <c r="BR187" s="116" t="s">
        <v>4267</v>
      </c>
      <c r="BS187" s="116" t="s">
        <v>4346</v>
      </c>
      <c r="BT187" s="116" t="s">
        <v>4346</v>
      </c>
      <c r="BU187" s="2"/>
      <c r="BV187" s="3"/>
      <c r="BW187" s="3"/>
      <c r="BX187" s="3"/>
      <c r="BY187" s="3"/>
    </row>
    <row r="188" spans="1:77" ht="15">
      <c r="A188" s="65" t="s">
        <v>395</v>
      </c>
      <c r="B188" s="66"/>
      <c r="C188" s="66" t="s">
        <v>64</v>
      </c>
      <c r="D188" s="67"/>
      <c r="E188" s="69"/>
      <c r="F188" s="104" t="str">
        <f>HYPERLINK("https://pbs.twimg.com/profile_images/1262324917804175361/qXFV4Oxk_normal.jpg")</f>
        <v>https://pbs.twimg.com/profile_images/1262324917804175361/qXFV4Oxk_normal.jpg</v>
      </c>
      <c r="G188" s="66"/>
      <c r="H188" s="70" t="s">
        <v>395</v>
      </c>
      <c r="I188" s="71" t="s">
        <v>4393</v>
      </c>
      <c r="J188" s="71" t="s">
        <v>73</v>
      </c>
      <c r="K188" s="70" t="s">
        <v>2326</v>
      </c>
      <c r="L188" s="74">
        <v>1</v>
      </c>
      <c r="M188" s="75">
        <v>2026.7064208984375</v>
      </c>
      <c r="N188" s="75">
        <v>6603.6787109375</v>
      </c>
      <c r="O188" s="76"/>
      <c r="P188" s="77"/>
      <c r="Q188" s="77"/>
      <c r="R188" s="90"/>
      <c r="S188" s="49">
        <v>0</v>
      </c>
      <c r="T188" s="49">
        <v>1</v>
      </c>
      <c r="U188" s="50">
        <v>0</v>
      </c>
      <c r="V188" s="50">
        <v>0.239313</v>
      </c>
      <c r="W188" s="50">
        <v>0.067769</v>
      </c>
      <c r="X188" s="50">
        <v>0.003151</v>
      </c>
      <c r="Y188" s="50">
        <v>0</v>
      </c>
      <c r="Z188" s="50">
        <v>0</v>
      </c>
      <c r="AA188" s="72">
        <v>188</v>
      </c>
      <c r="AB188" s="72"/>
      <c r="AC188" s="73"/>
      <c r="AD188" s="80" t="s">
        <v>1419</v>
      </c>
      <c r="AE188" s="89" t="s">
        <v>1681</v>
      </c>
      <c r="AF188" s="80">
        <v>671</v>
      </c>
      <c r="AG188" s="80">
        <v>1348</v>
      </c>
      <c r="AH188" s="80">
        <v>3317</v>
      </c>
      <c r="AI188" s="80">
        <v>7544</v>
      </c>
      <c r="AJ188" s="80"/>
      <c r="AK188" s="80" t="s">
        <v>1941</v>
      </c>
      <c r="AL188" s="80" t="s">
        <v>2039</v>
      </c>
      <c r="AM188" s="86" t="str">
        <f>HYPERLINK("https://t.co/iXSvuFwLdG")</f>
        <v>https://t.co/iXSvuFwLdG</v>
      </c>
      <c r="AN188" s="80"/>
      <c r="AO188" s="82">
        <v>39981.4666087963</v>
      </c>
      <c r="AP188" s="86" t="str">
        <f>HYPERLINK("https://pbs.twimg.com/profile_banners/47927071/1589797233")</f>
        <v>https://pbs.twimg.com/profile_banners/47927071/1589797233</v>
      </c>
      <c r="AQ188" s="80" t="b">
        <v>0</v>
      </c>
      <c r="AR188" s="80" t="b">
        <v>0</v>
      </c>
      <c r="AS188" s="80" t="b">
        <v>1</v>
      </c>
      <c r="AT188" s="80"/>
      <c r="AU188" s="80">
        <v>17</v>
      </c>
      <c r="AV188" s="86" t="str">
        <f>HYPERLINK("https://abs.twimg.com/images/themes/theme2/bg.gif")</f>
        <v>https://abs.twimg.com/images/themes/theme2/bg.gif</v>
      </c>
      <c r="AW188" s="80" t="b">
        <v>0</v>
      </c>
      <c r="AX188" s="80" t="s">
        <v>2141</v>
      </c>
      <c r="AY188" s="86" t="str">
        <f>HYPERLINK("https://twitter.com/mapaavon")</f>
        <v>https://twitter.com/mapaavon</v>
      </c>
      <c r="AZ188" s="80" t="s">
        <v>66</v>
      </c>
      <c r="BA188" s="80" t="str">
        <f>REPLACE(INDEX(GroupVertices[Group],MATCH(Vertices[[#This Row],[Vertex]],GroupVertices[Vertex],0)),1,1,"")</f>
        <v>1</v>
      </c>
      <c r="BB188" s="49">
        <v>0</v>
      </c>
      <c r="BC188" s="50">
        <v>0</v>
      </c>
      <c r="BD188" s="49">
        <v>0</v>
      </c>
      <c r="BE188" s="50">
        <v>0</v>
      </c>
      <c r="BF188" s="49">
        <v>0</v>
      </c>
      <c r="BG188" s="50">
        <v>0</v>
      </c>
      <c r="BH188" s="49">
        <v>33</v>
      </c>
      <c r="BI188" s="50">
        <v>100</v>
      </c>
      <c r="BJ188" s="49">
        <v>33</v>
      </c>
      <c r="BK188" s="49" t="s">
        <v>3990</v>
      </c>
      <c r="BL188" s="49" t="s">
        <v>3990</v>
      </c>
      <c r="BM188" s="49" t="s">
        <v>582</v>
      </c>
      <c r="BN188" s="49" t="s">
        <v>582</v>
      </c>
      <c r="BO188" s="49"/>
      <c r="BP188" s="49"/>
      <c r="BQ188" s="116" t="s">
        <v>4267</v>
      </c>
      <c r="BR188" s="116" t="s">
        <v>4267</v>
      </c>
      <c r="BS188" s="116" t="s">
        <v>4346</v>
      </c>
      <c r="BT188" s="116" t="s">
        <v>4346</v>
      </c>
      <c r="BU188" s="2"/>
      <c r="BV188" s="3"/>
      <c r="BW188" s="3"/>
      <c r="BX188" s="3"/>
      <c r="BY188" s="3"/>
    </row>
    <row r="189" spans="1:77" ht="15">
      <c r="A189" s="65" t="s">
        <v>396</v>
      </c>
      <c r="B189" s="66"/>
      <c r="C189" s="66" t="s">
        <v>64</v>
      </c>
      <c r="D189" s="67"/>
      <c r="E189" s="69"/>
      <c r="F189" s="104" t="str">
        <f>HYPERLINK("https://pbs.twimg.com/profile_images/3027860416/13023b81d4ed99b712aa2da8156eb41d_normal.jpeg")</f>
        <v>https://pbs.twimg.com/profile_images/3027860416/13023b81d4ed99b712aa2da8156eb41d_normal.jpeg</v>
      </c>
      <c r="G189" s="66"/>
      <c r="H189" s="70" t="s">
        <v>396</v>
      </c>
      <c r="I189" s="71" t="s">
        <v>4393</v>
      </c>
      <c r="J189" s="71" t="s">
        <v>73</v>
      </c>
      <c r="K189" s="70" t="s">
        <v>2327</v>
      </c>
      <c r="L189" s="74">
        <v>1</v>
      </c>
      <c r="M189" s="75">
        <v>5419.349609375</v>
      </c>
      <c r="N189" s="75">
        <v>8503.3291015625</v>
      </c>
      <c r="O189" s="76"/>
      <c r="P189" s="77"/>
      <c r="Q189" s="77"/>
      <c r="R189" s="90"/>
      <c r="S189" s="49">
        <v>0</v>
      </c>
      <c r="T189" s="49">
        <v>1</v>
      </c>
      <c r="U189" s="50">
        <v>0</v>
      </c>
      <c r="V189" s="50">
        <v>0.239313</v>
      </c>
      <c r="W189" s="50">
        <v>0.067769</v>
      </c>
      <c r="X189" s="50">
        <v>0.003151</v>
      </c>
      <c r="Y189" s="50">
        <v>0</v>
      </c>
      <c r="Z189" s="50">
        <v>0</v>
      </c>
      <c r="AA189" s="72">
        <v>189</v>
      </c>
      <c r="AB189" s="72"/>
      <c r="AC189" s="73"/>
      <c r="AD189" s="80" t="s">
        <v>1420</v>
      </c>
      <c r="AE189" s="89" t="s">
        <v>1682</v>
      </c>
      <c r="AF189" s="80">
        <v>218</v>
      </c>
      <c r="AG189" s="80">
        <v>61</v>
      </c>
      <c r="AH189" s="80">
        <v>1507</v>
      </c>
      <c r="AI189" s="80">
        <v>4613</v>
      </c>
      <c r="AJ189" s="80"/>
      <c r="AK189" s="80" t="s">
        <v>1942</v>
      </c>
      <c r="AL189" s="80" t="s">
        <v>2059</v>
      </c>
      <c r="AM189" s="86" t="str">
        <f>HYPERLINK("https://t.co/iEJnCzIn7G")</f>
        <v>https://t.co/iEJnCzIn7G</v>
      </c>
      <c r="AN189" s="80"/>
      <c r="AO189" s="82">
        <v>41270.45276620371</v>
      </c>
      <c r="AP189" s="86" t="str">
        <f>HYPERLINK("https://pbs.twimg.com/profile_banners/1039349058/1641926786")</f>
        <v>https://pbs.twimg.com/profile_banners/1039349058/1641926786</v>
      </c>
      <c r="AQ189" s="80" t="b">
        <v>1</v>
      </c>
      <c r="AR189" s="80" t="b">
        <v>0</v>
      </c>
      <c r="AS189" s="80" t="b">
        <v>1</v>
      </c>
      <c r="AT189" s="80"/>
      <c r="AU189" s="80">
        <v>0</v>
      </c>
      <c r="AV189" s="86" t="str">
        <f>HYPERLINK("https://abs.twimg.com/images/themes/theme1/bg.png")</f>
        <v>https://abs.twimg.com/images/themes/theme1/bg.png</v>
      </c>
      <c r="AW189" s="80" t="b">
        <v>0</v>
      </c>
      <c r="AX189" s="80" t="s">
        <v>2141</v>
      </c>
      <c r="AY189" s="86" t="str">
        <f>HYPERLINK("https://twitter.com/katjalappi")</f>
        <v>https://twitter.com/katjalappi</v>
      </c>
      <c r="AZ189" s="80" t="s">
        <v>66</v>
      </c>
      <c r="BA189" s="80" t="str">
        <f>REPLACE(INDEX(GroupVertices[Group],MATCH(Vertices[[#This Row],[Vertex]],GroupVertices[Vertex],0)),1,1,"")</f>
        <v>1</v>
      </c>
      <c r="BB189" s="49">
        <v>0</v>
      </c>
      <c r="BC189" s="50">
        <v>0</v>
      </c>
      <c r="BD189" s="49">
        <v>0</v>
      </c>
      <c r="BE189" s="50">
        <v>0</v>
      </c>
      <c r="BF189" s="49">
        <v>0</v>
      </c>
      <c r="BG189" s="50">
        <v>0</v>
      </c>
      <c r="BH189" s="49">
        <v>33</v>
      </c>
      <c r="BI189" s="50">
        <v>100</v>
      </c>
      <c r="BJ189" s="49">
        <v>33</v>
      </c>
      <c r="BK189" s="49" t="s">
        <v>3990</v>
      </c>
      <c r="BL189" s="49" t="s">
        <v>3990</v>
      </c>
      <c r="BM189" s="49" t="s">
        <v>582</v>
      </c>
      <c r="BN189" s="49" t="s">
        <v>582</v>
      </c>
      <c r="BO189" s="49"/>
      <c r="BP189" s="49"/>
      <c r="BQ189" s="116" t="s">
        <v>4267</v>
      </c>
      <c r="BR189" s="116" t="s">
        <v>4267</v>
      </c>
      <c r="BS189" s="116" t="s">
        <v>4346</v>
      </c>
      <c r="BT189" s="116" t="s">
        <v>4346</v>
      </c>
      <c r="BU189" s="2"/>
      <c r="BV189" s="3"/>
      <c r="BW189" s="3"/>
      <c r="BX189" s="3"/>
      <c r="BY189" s="3"/>
    </row>
    <row r="190" spans="1:77" ht="15">
      <c r="A190" s="65" t="s">
        <v>397</v>
      </c>
      <c r="B190" s="66"/>
      <c r="C190" s="66" t="s">
        <v>64</v>
      </c>
      <c r="D190" s="67"/>
      <c r="E190" s="69"/>
      <c r="F190" s="104" t="str">
        <f>HYPERLINK("https://pbs.twimg.com/profile_images/414399845604925442/KRoKKe0N_normal.jpeg")</f>
        <v>https://pbs.twimg.com/profile_images/414399845604925442/KRoKKe0N_normal.jpeg</v>
      </c>
      <c r="G190" s="66"/>
      <c r="H190" s="70" t="s">
        <v>397</v>
      </c>
      <c r="I190" s="71" t="s">
        <v>4393</v>
      </c>
      <c r="J190" s="71" t="s">
        <v>73</v>
      </c>
      <c r="K190" s="70" t="s">
        <v>2328</v>
      </c>
      <c r="L190" s="74">
        <v>1</v>
      </c>
      <c r="M190" s="75">
        <v>7919.8818359375</v>
      </c>
      <c r="N190" s="75">
        <v>7487.83642578125</v>
      </c>
      <c r="O190" s="76"/>
      <c r="P190" s="77"/>
      <c r="Q190" s="77"/>
      <c r="R190" s="90"/>
      <c r="S190" s="49">
        <v>0</v>
      </c>
      <c r="T190" s="49">
        <v>1</v>
      </c>
      <c r="U190" s="50">
        <v>0</v>
      </c>
      <c r="V190" s="50">
        <v>0.239313</v>
      </c>
      <c r="W190" s="50">
        <v>0.067769</v>
      </c>
      <c r="X190" s="50">
        <v>0.003151</v>
      </c>
      <c r="Y190" s="50">
        <v>0</v>
      </c>
      <c r="Z190" s="50">
        <v>0</v>
      </c>
      <c r="AA190" s="72">
        <v>190</v>
      </c>
      <c r="AB190" s="72"/>
      <c r="AC190" s="73"/>
      <c r="AD190" s="80" t="s">
        <v>1421</v>
      </c>
      <c r="AE190" s="89" t="s">
        <v>1683</v>
      </c>
      <c r="AF190" s="80">
        <v>364</v>
      </c>
      <c r="AG190" s="80">
        <v>382</v>
      </c>
      <c r="AH190" s="80">
        <v>2181</v>
      </c>
      <c r="AI190" s="80">
        <v>4341</v>
      </c>
      <c r="AJ190" s="80"/>
      <c r="AK190" s="80" t="s">
        <v>1943</v>
      </c>
      <c r="AL190" s="80" t="s">
        <v>2099</v>
      </c>
      <c r="AM190" s="80"/>
      <c r="AN190" s="80"/>
      <c r="AO190" s="82">
        <v>41629.591574074075</v>
      </c>
      <c r="AP190" s="86" t="str">
        <f>HYPERLINK("https://pbs.twimg.com/profile_banners/2256522678/1410793564")</f>
        <v>https://pbs.twimg.com/profile_banners/2256522678/1410793564</v>
      </c>
      <c r="AQ190" s="80" t="b">
        <v>1</v>
      </c>
      <c r="AR190" s="80" t="b">
        <v>0</v>
      </c>
      <c r="AS190" s="80" t="b">
        <v>1</v>
      </c>
      <c r="AT190" s="80"/>
      <c r="AU190" s="80">
        <v>11</v>
      </c>
      <c r="AV190" s="86" t="str">
        <f>HYPERLINK("https://abs.twimg.com/images/themes/theme1/bg.png")</f>
        <v>https://abs.twimg.com/images/themes/theme1/bg.png</v>
      </c>
      <c r="AW190" s="80" t="b">
        <v>0</v>
      </c>
      <c r="AX190" s="80" t="s">
        <v>2141</v>
      </c>
      <c r="AY190" s="86" t="str">
        <f>HYPERLINK("https://twitter.com/tolkkitimo")</f>
        <v>https://twitter.com/tolkkitimo</v>
      </c>
      <c r="AZ190" s="80" t="s">
        <v>66</v>
      </c>
      <c r="BA190" s="80" t="str">
        <f>REPLACE(INDEX(GroupVertices[Group],MATCH(Vertices[[#This Row],[Vertex]],GroupVertices[Vertex],0)),1,1,"")</f>
        <v>1</v>
      </c>
      <c r="BB190" s="49">
        <v>0</v>
      </c>
      <c r="BC190" s="50">
        <v>0</v>
      </c>
      <c r="BD190" s="49">
        <v>0</v>
      </c>
      <c r="BE190" s="50">
        <v>0</v>
      </c>
      <c r="BF190" s="49">
        <v>0</v>
      </c>
      <c r="BG190" s="50">
        <v>0</v>
      </c>
      <c r="BH190" s="49">
        <v>33</v>
      </c>
      <c r="BI190" s="50">
        <v>100</v>
      </c>
      <c r="BJ190" s="49">
        <v>33</v>
      </c>
      <c r="BK190" s="49" t="s">
        <v>3990</v>
      </c>
      <c r="BL190" s="49" t="s">
        <v>3990</v>
      </c>
      <c r="BM190" s="49" t="s">
        <v>582</v>
      </c>
      <c r="BN190" s="49" t="s">
        <v>582</v>
      </c>
      <c r="BO190" s="49"/>
      <c r="BP190" s="49"/>
      <c r="BQ190" s="116" t="s">
        <v>4267</v>
      </c>
      <c r="BR190" s="116" t="s">
        <v>4267</v>
      </c>
      <c r="BS190" s="116" t="s">
        <v>4346</v>
      </c>
      <c r="BT190" s="116" t="s">
        <v>4346</v>
      </c>
      <c r="BU190" s="2"/>
      <c r="BV190" s="3"/>
      <c r="BW190" s="3"/>
      <c r="BX190" s="3"/>
      <c r="BY190" s="3"/>
    </row>
    <row r="191" spans="1:77" ht="15">
      <c r="A191" s="65" t="s">
        <v>398</v>
      </c>
      <c r="B191" s="66"/>
      <c r="C191" s="66" t="s">
        <v>64</v>
      </c>
      <c r="D191" s="67"/>
      <c r="E191" s="69"/>
      <c r="F191" s="104" t="str">
        <f>HYPERLINK("https://pbs.twimg.com/profile_images/1483544644604633091/9KXBYuBA_normal.jpg")</f>
        <v>https://pbs.twimg.com/profile_images/1483544644604633091/9KXBYuBA_normal.jpg</v>
      </c>
      <c r="G191" s="66"/>
      <c r="H191" s="70" t="s">
        <v>398</v>
      </c>
      <c r="I191" s="71" t="s">
        <v>4393</v>
      </c>
      <c r="J191" s="71" t="s">
        <v>73</v>
      </c>
      <c r="K191" s="70" t="s">
        <v>2329</v>
      </c>
      <c r="L191" s="74">
        <v>1</v>
      </c>
      <c r="M191" s="75">
        <v>4512.427734375</v>
      </c>
      <c r="N191" s="75">
        <v>4558.86328125</v>
      </c>
      <c r="O191" s="76"/>
      <c r="P191" s="77"/>
      <c r="Q191" s="77"/>
      <c r="R191" s="90"/>
      <c r="S191" s="49">
        <v>0</v>
      </c>
      <c r="T191" s="49">
        <v>1</v>
      </c>
      <c r="U191" s="50">
        <v>0</v>
      </c>
      <c r="V191" s="50">
        <v>0.239313</v>
      </c>
      <c r="W191" s="50">
        <v>0.067769</v>
      </c>
      <c r="X191" s="50">
        <v>0.003151</v>
      </c>
      <c r="Y191" s="50">
        <v>0</v>
      </c>
      <c r="Z191" s="50">
        <v>0</v>
      </c>
      <c r="AA191" s="72">
        <v>191</v>
      </c>
      <c r="AB191" s="72"/>
      <c r="AC191" s="73"/>
      <c r="AD191" s="80" t="s">
        <v>1422</v>
      </c>
      <c r="AE191" s="89" t="s">
        <v>1684</v>
      </c>
      <c r="AF191" s="80">
        <v>629</v>
      </c>
      <c r="AG191" s="80">
        <v>736</v>
      </c>
      <c r="AH191" s="80">
        <v>9931</v>
      </c>
      <c r="AI191" s="80">
        <v>49962</v>
      </c>
      <c r="AJ191" s="80"/>
      <c r="AK191" s="80" t="s">
        <v>1944</v>
      </c>
      <c r="AL191" s="80" t="s">
        <v>2107</v>
      </c>
      <c r="AM191" s="80"/>
      <c r="AN191" s="80"/>
      <c r="AO191" s="82">
        <v>42845.791030092594</v>
      </c>
      <c r="AP191" s="86" t="str">
        <f>HYPERLINK("https://pbs.twimg.com/profile_banners/855133736282849281/1604054379")</f>
        <v>https://pbs.twimg.com/profile_banners/855133736282849281/1604054379</v>
      </c>
      <c r="AQ191" s="80" t="b">
        <v>0</v>
      </c>
      <c r="AR191" s="80" t="b">
        <v>0</v>
      </c>
      <c r="AS191" s="80" t="b">
        <v>1</v>
      </c>
      <c r="AT191" s="80"/>
      <c r="AU191" s="80">
        <v>3</v>
      </c>
      <c r="AV191" s="86" t="str">
        <f>HYPERLINK("https://abs.twimg.com/images/themes/theme1/bg.png")</f>
        <v>https://abs.twimg.com/images/themes/theme1/bg.png</v>
      </c>
      <c r="AW191" s="80" t="b">
        <v>0</v>
      </c>
      <c r="AX191" s="80" t="s">
        <v>2141</v>
      </c>
      <c r="AY191" s="86" t="str">
        <f>HYPERLINK("https://twitter.com/muumiainen")</f>
        <v>https://twitter.com/muumiainen</v>
      </c>
      <c r="AZ191" s="80" t="s">
        <v>66</v>
      </c>
      <c r="BA191" s="80" t="str">
        <f>REPLACE(INDEX(GroupVertices[Group],MATCH(Vertices[[#This Row],[Vertex]],GroupVertices[Vertex],0)),1,1,"")</f>
        <v>1</v>
      </c>
      <c r="BB191" s="49">
        <v>0</v>
      </c>
      <c r="BC191" s="50">
        <v>0</v>
      </c>
      <c r="BD191" s="49">
        <v>0</v>
      </c>
      <c r="BE191" s="50">
        <v>0</v>
      </c>
      <c r="BF191" s="49">
        <v>0</v>
      </c>
      <c r="BG191" s="50">
        <v>0</v>
      </c>
      <c r="BH191" s="49">
        <v>33</v>
      </c>
      <c r="BI191" s="50">
        <v>100</v>
      </c>
      <c r="BJ191" s="49">
        <v>33</v>
      </c>
      <c r="BK191" s="49" t="s">
        <v>3990</v>
      </c>
      <c r="BL191" s="49" t="s">
        <v>3990</v>
      </c>
      <c r="BM191" s="49" t="s">
        <v>582</v>
      </c>
      <c r="BN191" s="49" t="s">
        <v>582</v>
      </c>
      <c r="BO191" s="49"/>
      <c r="BP191" s="49"/>
      <c r="BQ191" s="116" t="s">
        <v>4267</v>
      </c>
      <c r="BR191" s="116" t="s">
        <v>4267</v>
      </c>
      <c r="BS191" s="116" t="s">
        <v>4346</v>
      </c>
      <c r="BT191" s="116" t="s">
        <v>4346</v>
      </c>
      <c r="BU191" s="2"/>
      <c r="BV191" s="3"/>
      <c r="BW191" s="3"/>
      <c r="BX191" s="3"/>
      <c r="BY191" s="3"/>
    </row>
    <row r="192" spans="1:77" ht="15">
      <c r="A192" s="65" t="s">
        <v>399</v>
      </c>
      <c r="B192" s="66"/>
      <c r="C192" s="66" t="s">
        <v>64</v>
      </c>
      <c r="D192" s="67"/>
      <c r="E192" s="69"/>
      <c r="F192" s="104" t="str">
        <f>HYPERLINK("https://pbs.twimg.com/profile_images/1489244885068570625/Lshpr7LQ_normal.jpg")</f>
        <v>https://pbs.twimg.com/profile_images/1489244885068570625/Lshpr7LQ_normal.jpg</v>
      </c>
      <c r="G192" s="66"/>
      <c r="H192" s="70" t="s">
        <v>399</v>
      </c>
      <c r="I192" s="71" t="s">
        <v>4393</v>
      </c>
      <c r="J192" s="71" t="s">
        <v>73</v>
      </c>
      <c r="K192" s="70" t="s">
        <v>2330</v>
      </c>
      <c r="L192" s="74">
        <v>1</v>
      </c>
      <c r="M192" s="75">
        <v>5279.1318359375</v>
      </c>
      <c r="N192" s="75">
        <v>3885.867919921875</v>
      </c>
      <c r="O192" s="76"/>
      <c r="P192" s="77"/>
      <c r="Q192" s="77"/>
      <c r="R192" s="90"/>
      <c r="S192" s="49">
        <v>0</v>
      </c>
      <c r="T192" s="49">
        <v>1</v>
      </c>
      <c r="U192" s="50">
        <v>0</v>
      </c>
      <c r="V192" s="50">
        <v>0.239313</v>
      </c>
      <c r="W192" s="50">
        <v>0.067769</v>
      </c>
      <c r="X192" s="50">
        <v>0.003151</v>
      </c>
      <c r="Y192" s="50">
        <v>0</v>
      </c>
      <c r="Z192" s="50">
        <v>0</v>
      </c>
      <c r="AA192" s="72">
        <v>192</v>
      </c>
      <c r="AB192" s="72"/>
      <c r="AC192" s="73"/>
      <c r="AD192" s="80" t="s">
        <v>1423</v>
      </c>
      <c r="AE192" s="89" t="s">
        <v>1685</v>
      </c>
      <c r="AF192" s="80">
        <v>1673</v>
      </c>
      <c r="AG192" s="80">
        <v>750</v>
      </c>
      <c r="AH192" s="80">
        <v>4780</v>
      </c>
      <c r="AI192" s="80">
        <v>4473</v>
      </c>
      <c r="AJ192" s="80"/>
      <c r="AK192" s="80" t="s">
        <v>1945</v>
      </c>
      <c r="AL192" s="80" t="s">
        <v>2108</v>
      </c>
      <c r="AM192" s="80"/>
      <c r="AN192" s="80"/>
      <c r="AO192" s="82">
        <v>39959.78560185185</v>
      </c>
      <c r="AP192" s="86" t="str">
        <f>HYPERLINK("https://pbs.twimg.com/profile_banners/42689979/1620462132")</f>
        <v>https://pbs.twimg.com/profile_banners/42689979/1620462132</v>
      </c>
      <c r="AQ192" s="80" t="b">
        <v>0</v>
      </c>
      <c r="AR192" s="80" t="b">
        <v>0</v>
      </c>
      <c r="AS192" s="80" t="b">
        <v>1</v>
      </c>
      <c r="AT192" s="80"/>
      <c r="AU192" s="80">
        <v>24</v>
      </c>
      <c r="AV192" s="86" t="str">
        <f>HYPERLINK("https://abs.twimg.com/images/themes/theme2/bg.gif")</f>
        <v>https://abs.twimg.com/images/themes/theme2/bg.gif</v>
      </c>
      <c r="AW192" s="80" t="b">
        <v>0</v>
      </c>
      <c r="AX192" s="80" t="s">
        <v>2141</v>
      </c>
      <c r="AY192" s="86" t="str">
        <f>HYPERLINK("https://twitter.com/auraotto")</f>
        <v>https://twitter.com/auraotto</v>
      </c>
      <c r="AZ192" s="80" t="s">
        <v>66</v>
      </c>
      <c r="BA192" s="80" t="str">
        <f>REPLACE(INDEX(GroupVertices[Group],MATCH(Vertices[[#This Row],[Vertex]],GroupVertices[Vertex],0)),1,1,"")</f>
        <v>1</v>
      </c>
      <c r="BB192" s="49">
        <v>0</v>
      </c>
      <c r="BC192" s="50">
        <v>0</v>
      </c>
      <c r="BD192" s="49">
        <v>0</v>
      </c>
      <c r="BE192" s="50">
        <v>0</v>
      </c>
      <c r="BF192" s="49">
        <v>0</v>
      </c>
      <c r="BG192" s="50">
        <v>0</v>
      </c>
      <c r="BH192" s="49">
        <v>33</v>
      </c>
      <c r="BI192" s="50">
        <v>100</v>
      </c>
      <c r="BJ192" s="49">
        <v>33</v>
      </c>
      <c r="BK192" s="49" t="s">
        <v>3990</v>
      </c>
      <c r="BL192" s="49" t="s">
        <v>3990</v>
      </c>
      <c r="BM192" s="49" t="s">
        <v>582</v>
      </c>
      <c r="BN192" s="49" t="s">
        <v>582</v>
      </c>
      <c r="BO192" s="49"/>
      <c r="BP192" s="49"/>
      <c r="BQ192" s="116" t="s">
        <v>4267</v>
      </c>
      <c r="BR192" s="116" t="s">
        <v>4267</v>
      </c>
      <c r="BS192" s="116" t="s">
        <v>4346</v>
      </c>
      <c r="BT192" s="116" t="s">
        <v>4346</v>
      </c>
      <c r="BU192" s="2"/>
      <c r="BV192" s="3"/>
      <c r="BW192" s="3"/>
      <c r="BX192" s="3"/>
      <c r="BY192" s="3"/>
    </row>
    <row r="193" spans="1:77" ht="15">
      <c r="A193" s="65" t="s">
        <v>400</v>
      </c>
      <c r="B193" s="66"/>
      <c r="C193" s="66" t="s">
        <v>64</v>
      </c>
      <c r="D193" s="67"/>
      <c r="E193" s="69"/>
      <c r="F193" s="104" t="str">
        <f>HYPERLINK("https://pbs.twimg.com/profile_images/719840346079948800/o0ci_6Pz_normal.jpg")</f>
        <v>https://pbs.twimg.com/profile_images/719840346079948800/o0ci_6Pz_normal.jpg</v>
      </c>
      <c r="G193" s="66"/>
      <c r="H193" s="70" t="s">
        <v>400</v>
      </c>
      <c r="I193" s="71" t="s">
        <v>4393</v>
      </c>
      <c r="J193" s="71" t="s">
        <v>73</v>
      </c>
      <c r="K193" s="70" t="s">
        <v>2331</v>
      </c>
      <c r="L193" s="74">
        <v>1</v>
      </c>
      <c r="M193" s="75">
        <v>2687.205810546875</v>
      </c>
      <c r="N193" s="75">
        <v>8688.0078125</v>
      </c>
      <c r="O193" s="76"/>
      <c r="P193" s="77"/>
      <c r="Q193" s="77"/>
      <c r="R193" s="90"/>
      <c r="S193" s="49">
        <v>0</v>
      </c>
      <c r="T193" s="49">
        <v>1</v>
      </c>
      <c r="U193" s="50">
        <v>0</v>
      </c>
      <c r="V193" s="50">
        <v>0.239313</v>
      </c>
      <c r="W193" s="50">
        <v>0.067769</v>
      </c>
      <c r="X193" s="50">
        <v>0.003151</v>
      </c>
      <c r="Y193" s="50">
        <v>0</v>
      </c>
      <c r="Z193" s="50">
        <v>0</v>
      </c>
      <c r="AA193" s="72">
        <v>193</v>
      </c>
      <c r="AB193" s="72"/>
      <c r="AC193" s="73"/>
      <c r="AD193" s="80" t="s">
        <v>1424</v>
      </c>
      <c r="AE193" s="89" t="s">
        <v>1686</v>
      </c>
      <c r="AF193" s="80">
        <v>307</v>
      </c>
      <c r="AG193" s="80">
        <v>150</v>
      </c>
      <c r="AH193" s="80">
        <v>3430</v>
      </c>
      <c r="AI193" s="80">
        <v>12762</v>
      </c>
      <c r="AJ193" s="80"/>
      <c r="AK193" s="80" t="s">
        <v>1946</v>
      </c>
      <c r="AL193" s="80" t="s">
        <v>2038</v>
      </c>
      <c r="AM193" s="80"/>
      <c r="AN193" s="80"/>
      <c r="AO193" s="82">
        <v>41611.433275462965</v>
      </c>
      <c r="AP193" s="80"/>
      <c r="AQ193" s="80" t="b">
        <v>1</v>
      </c>
      <c r="AR193" s="80" t="b">
        <v>0</v>
      </c>
      <c r="AS193" s="80" t="b">
        <v>1</v>
      </c>
      <c r="AT193" s="80"/>
      <c r="AU193" s="80">
        <v>0</v>
      </c>
      <c r="AV193" s="86" t="str">
        <f>HYPERLINK("https://abs.twimg.com/images/themes/theme1/bg.png")</f>
        <v>https://abs.twimg.com/images/themes/theme1/bg.png</v>
      </c>
      <c r="AW193" s="80" t="b">
        <v>0</v>
      </c>
      <c r="AX193" s="80" t="s">
        <v>2141</v>
      </c>
      <c r="AY193" s="86" t="str">
        <f>HYPERLINK("https://twitter.com/petriwanner")</f>
        <v>https://twitter.com/petriwanner</v>
      </c>
      <c r="AZ193" s="80" t="s">
        <v>66</v>
      </c>
      <c r="BA193" s="80" t="str">
        <f>REPLACE(INDEX(GroupVertices[Group],MATCH(Vertices[[#This Row],[Vertex]],GroupVertices[Vertex],0)),1,1,"")</f>
        <v>1</v>
      </c>
      <c r="BB193" s="49">
        <v>0</v>
      </c>
      <c r="BC193" s="50">
        <v>0</v>
      </c>
      <c r="BD193" s="49">
        <v>0</v>
      </c>
      <c r="BE193" s="50">
        <v>0</v>
      </c>
      <c r="BF193" s="49">
        <v>0</v>
      </c>
      <c r="BG193" s="50">
        <v>0</v>
      </c>
      <c r="BH193" s="49">
        <v>33</v>
      </c>
      <c r="BI193" s="50">
        <v>100</v>
      </c>
      <c r="BJ193" s="49">
        <v>33</v>
      </c>
      <c r="BK193" s="49" t="s">
        <v>3990</v>
      </c>
      <c r="BL193" s="49" t="s">
        <v>3990</v>
      </c>
      <c r="BM193" s="49" t="s">
        <v>582</v>
      </c>
      <c r="BN193" s="49" t="s">
        <v>582</v>
      </c>
      <c r="BO193" s="49"/>
      <c r="BP193" s="49"/>
      <c r="BQ193" s="116" t="s">
        <v>4267</v>
      </c>
      <c r="BR193" s="116" t="s">
        <v>4267</v>
      </c>
      <c r="BS193" s="116" t="s">
        <v>4346</v>
      </c>
      <c r="BT193" s="116" t="s">
        <v>4346</v>
      </c>
      <c r="BU193" s="2"/>
      <c r="BV193" s="3"/>
      <c r="BW193" s="3"/>
      <c r="BX193" s="3"/>
      <c r="BY193" s="3"/>
    </row>
    <row r="194" spans="1:77" ht="15">
      <c r="A194" s="65" t="s">
        <v>401</v>
      </c>
      <c r="B194" s="66"/>
      <c r="C194" s="66" t="s">
        <v>64</v>
      </c>
      <c r="D194" s="67"/>
      <c r="E194" s="69"/>
      <c r="F194" s="104" t="str">
        <f>HYPERLINK("https://pbs.twimg.com/profile_images/986880876058501121/UBpvBCnM_normal.jpg")</f>
        <v>https://pbs.twimg.com/profile_images/986880876058501121/UBpvBCnM_normal.jpg</v>
      </c>
      <c r="G194" s="66"/>
      <c r="H194" s="70" t="s">
        <v>401</v>
      </c>
      <c r="I194" s="71" t="s">
        <v>4393</v>
      </c>
      <c r="J194" s="71" t="s">
        <v>73</v>
      </c>
      <c r="K194" s="70" t="s">
        <v>2332</v>
      </c>
      <c r="L194" s="74">
        <v>1</v>
      </c>
      <c r="M194" s="75">
        <v>6922.306640625</v>
      </c>
      <c r="N194" s="75">
        <v>7500.95849609375</v>
      </c>
      <c r="O194" s="76"/>
      <c r="P194" s="77"/>
      <c r="Q194" s="77"/>
      <c r="R194" s="90"/>
      <c r="S194" s="49">
        <v>0</v>
      </c>
      <c r="T194" s="49">
        <v>1</v>
      </c>
      <c r="U194" s="50">
        <v>0</v>
      </c>
      <c r="V194" s="50">
        <v>0.239313</v>
      </c>
      <c r="W194" s="50">
        <v>0.067769</v>
      </c>
      <c r="X194" s="50">
        <v>0.003151</v>
      </c>
      <c r="Y194" s="50">
        <v>0</v>
      </c>
      <c r="Z194" s="50">
        <v>0</v>
      </c>
      <c r="AA194" s="72">
        <v>194</v>
      </c>
      <c r="AB194" s="72"/>
      <c r="AC194" s="73"/>
      <c r="AD194" s="80" t="s">
        <v>1425</v>
      </c>
      <c r="AE194" s="89" t="s">
        <v>1687</v>
      </c>
      <c r="AF194" s="80">
        <v>2902</v>
      </c>
      <c r="AG194" s="80">
        <v>1970</v>
      </c>
      <c r="AH194" s="80">
        <v>4380</v>
      </c>
      <c r="AI194" s="80">
        <v>46116</v>
      </c>
      <c r="AJ194" s="80"/>
      <c r="AK194" s="80" t="s">
        <v>1947</v>
      </c>
      <c r="AL194" s="80" t="s">
        <v>2109</v>
      </c>
      <c r="AM194" s="86" t="str">
        <f>HYPERLINK("https://t.co/7AStIvFpjn")</f>
        <v>https://t.co/7AStIvFpjn</v>
      </c>
      <c r="AN194" s="80"/>
      <c r="AO194" s="82">
        <v>40969.38778935185</v>
      </c>
      <c r="AP194" s="86" t="str">
        <f>HYPERLINK("https://pbs.twimg.com/profile_banners/509965946/1626465675")</f>
        <v>https://pbs.twimg.com/profile_banners/509965946/1626465675</v>
      </c>
      <c r="AQ194" s="80" t="b">
        <v>1</v>
      </c>
      <c r="AR194" s="80" t="b">
        <v>0</v>
      </c>
      <c r="AS194" s="80" t="b">
        <v>1</v>
      </c>
      <c r="AT194" s="80"/>
      <c r="AU194" s="80">
        <v>30</v>
      </c>
      <c r="AV194" s="86" t="str">
        <f>HYPERLINK("https://abs.twimg.com/images/themes/theme1/bg.png")</f>
        <v>https://abs.twimg.com/images/themes/theme1/bg.png</v>
      </c>
      <c r="AW194" s="80" t="b">
        <v>0</v>
      </c>
      <c r="AX194" s="80" t="s">
        <v>2141</v>
      </c>
      <c r="AY194" s="86" t="str">
        <f>HYPERLINK("https://twitter.com/laineaki")</f>
        <v>https://twitter.com/laineaki</v>
      </c>
      <c r="AZ194" s="80" t="s">
        <v>66</v>
      </c>
      <c r="BA194" s="80" t="str">
        <f>REPLACE(INDEX(GroupVertices[Group],MATCH(Vertices[[#This Row],[Vertex]],GroupVertices[Vertex],0)),1,1,"")</f>
        <v>1</v>
      </c>
      <c r="BB194" s="49">
        <v>0</v>
      </c>
      <c r="BC194" s="50">
        <v>0</v>
      </c>
      <c r="BD194" s="49">
        <v>0</v>
      </c>
      <c r="BE194" s="50">
        <v>0</v>
      </c>
      <c r="BF194" s="49">
        <v>0</v>
      </c>
      <c r="BG194" s="50">
        <v>0</v>
      </c>
      <c r="BH194" s="49">
        <v>33</v>
      </c>
      <c r="BI194" s="50">
        <v>100</v>
      </c>
      <c r="BJ194" s="49">
        <v>33</v>
      </c>
      <c r="BK194" s="49" t="s">
        <v>3990</v>
      </c>
      <c r="BL194" s="49" t="s">
        <v>3990</v>
      </c>
      <c r="BM194" s="49" t="s">
        <v>582</v>
      </c>
      <c r="BN194" s="49" t="s">
        <v>582</v>
      </c>
      <c r="BO194" s="49"/>
      <c r="BP194" s="49"/>
      <c r="BQ194" s="116" t="s">
        <v>4267</v>
      </c>
      <c r="BR194" s="116" t="s">
        <v>4267</v>
      </c>
      <c r="BS194" s="116" t="s">
        <v>4346</v>
      </c>
      <c r="BT194" s="116" t="s">
        <v>4346</v>
      </c>
      <c r="BU194" s="2"/>
      <c r="BV194" s="3"/>
      <c r="BW194" s="3"/>
      <c r="BX194" s="3"/>
      <c r="BY194" s="3"/>
    </row>
    <row r="195" spans="1:77" ht="15">
      <c r="A195" s="65" t="s">
        <v>402</v>
      </c>
      <c r="B195" s="66"/>
      <c r="C195" s="66" t="s">
        <v>64</v>
      </c>
      <c r="D195" s="67">
        <v>10</v>
      </c>
      <c r="E195" s="69"/>
      <c r="F195" s="104" t="str">
        <f>HYPERLINK("https://pbs.twimg.com/profile_images/1233461544454893568/Uk_xnkji_normal.jpg")</f>
        <v>https://pbs.twimg.com/profile_images/1233461544454893568/Uk_xnkji_normal.jpg</v>
      </c>
      <c r="G195" s="66"/>
      <c r="H195" s="70" t="s">
        <v>402</v>
      </c>
      <c r="I195" s="71" t="s">
        <v>4398</v>
      </c>
      <c r="J195" s="71" t="s">
        <v>73</v>
      </c>
      <c r="K195" s="70" t="s">
        <v>2333</v>
      </c>
      <c r="L195" s="74">
        <v>99.01960784313725</v>
      </c>
      <c r="M195" s="75"/>
      <c r="N195" s="75"/>
      <c r="O195" s="76"/>
      <c r="P195" s="77"/>
      <c r="Q195" s="77"/>
      <c r="R195" s="90"/>
      <c r="S195" s="49">
        <v>1</v>
      </c>
      <c r="T195" s="49">
        <v>1</v>
      </c>
      <c r="U195" s="50">
        <v>0</v>
      </c>
      <c r="V195" s="50">
        <v>0</v>
      </c>
      <c r="W195" s="50">
        <v>0</v>
      </c>
      <c r="X195" s="50">
        <v>0.003623</v>
      </c>
      <c r="Y195" s="50">
        <v>0</v>
      </c>
      <c r="Z195" s="50">
        <v>0</v>
      </c>
      <c r="AA195" s="72">
        <v>195</v>
      </c>
      <c r="AB195" s="72"/>
      <c r="AC195" s="73"/>
      <c r="AD195" s="80" t="s">
        <v>1426</v>
      </c>
      <c r="AE195" s="89" t="s">
        <v>1688</v>
      </c>
      <c r="AF195" s="80">
        <v>846</v>
      </c>
      <c r="AG195" s="80">
        <v>635</v>
      </c>
      <c r="AH195" s="80">
        <v>4636</v>
      </c>
      <c r="AI195" s="80">
        <v>4124</v>
      </c>
      <c r="AJ195" s="80"/>
      <c r="AK195" s="80" t="s">
        <v>1948</v>
      </c>
      <c r="AL195" s="80" t="s">
        <v>2110</v>
      </c>
      <c r="AM195" s="86" t="str">
        <f>HYPERLINK("https://t.co/WbfS1zKVh7")</f>
        <v>https://t.co/WbfS1zKVh7</v>
      </c>
      <c r="AN195" s="80"/>
      <c r="AO195" s="82">
        <v>40267.48101851852</v>
      </c>
      <c r="AP195" s="86" t="str">
        <f>HYPERLINK("https://pbs.twimg.com/profile_banners/127837248/1582915282")</f>
        <v>https://pbs.twimg.com/profile_banners/127837248/1582915282</v>
      </c>
      <c r="AQ195" s="80" t="b">
        <v>0</v>
      </c>
      <c r="AR195" s="80" t="b">
        <v>0</v>
      </c>
      <c r="AS195" s="80" t="b">
        <v>1</v>
      </c>
      <c r="AT195" s="80"/>
      <c r="AU195" s="80">
        <v>39</v>
      </c>
      <c r="AV195" s="86" t="str">
        <f>HYPERLINK("https://abs.twimg.com/images/themes/theme2/bg.gif")</f>
        <v>https://abs.twimg.com/images/themes/theme2/bg.gif</v>
      </c>
      <c r="AW195" s="80" t="b">
        <v>0</v>
      </c>
      <c r="AX195" s="80" t="s">
        <v>2141</v>
      </c>
      <c r="AY195" s="86" t="str">
        <f>HYPERLINK("https://twitter.com/jkoskenkorva")</f>
        <v>https://twitter.com/jkoskenkorva</v>
      </c>
      <c r="AZ195" s="80" t="s">
        <v>66</v>
      </c>
      <c r="BA195" s="80" t="str">
        <f>REPLACE(INDEX(GroupVertices[Group],MATCH(Vertices[[#This Row],[Vertex]],GroupVertices[Vertex],0)),1,1,"")</f>
        <v>3</v>
      </c>
      <c r="BB195" s="49">
        <v>0</v>
      </c>
      <c r="BC195" s="50">
        <v>0</v>
      </c>
      <c r="BD195" s="49">
        <v>0</v>
      </c>
      <c r="BE195" s="50">
        <v>0</v>
      </c>
      <c r="BF195" s="49">
        <v>0</v>
      </c>
      <c r="BG195" s="50">
        <v>0</v>
      </c>
      <c r="BH195" s="49">
        <v>13</v>
      </c>
      <c r="BI195" s="50">
        <v>100</v>
      </c>
      <c r="BJ195" s="49">
        <v>13</v>
      </c>
      <c r="BK195" s="49" t="s">
        <v>4227</v>
      </c>
      <c r="BL195" s="49" t="s">
        <v>4227</v>
      </c>
      <c r="BM195" s="49" t="s">
        <v>580</v>
      </c>
      <c r="BN195" s="49" t="s">
        <v>580</v>
      </c>
      <c r="BO195" s="49"/>
      <c r="BP195" s="49"/>
      <c r="BQ195" s="116" t="s">
        <v>4285</v>
      </c>
      <c r="BR195" s="116" t="s">
        <v>4285</v>
      </c>
      <c r="BS195" s="116" t="s">
        <v>4363</v>
      </c>
      <c r="BT195" s="116" t="s">
        <v>4363</v>
      </c>
      <c r="BU195" s="2"/>
      <c r="BV195" s="3"/>
      <c r="BW195" s="3"/>
      <c r="BX195" s="3"/>
      <c r="BY195" s="3"/>
    </row>
    <row r="196" spans="1:77" ht="15">
      <c r="A196" s="65" t="s">
        <v>403</v>
      </c>
      <c r="B196" s="66"/>
      <c r="C196" s="66" t="s">
        <v>64</v>
      </c>
      <c r="D196" s="67"/>
      <c r="E196" s="69"/>
      <c r="F196" s="104" t="str">
        <f>HYPERLINK("https://pbs.twimg.com/profile_images/1313162474095603712/8AA0QCZH_normal.jpg")</f>
        <v>https://pbs.twimg.com/profile_images/1313162474095603712/8AA0QCZH_normal.jpg</v>
      </c>
      <c r="G196" s="66"/>
      <c r="H196" s="70" t="s">
        <v>403</v>
      </c>
      <c r="I196" s="71" t="s">
        <v>4393</v>
      </c>
      <c r="J196" s="71" t="s">
        <v>73</v>
      </c>
      <c r="K196" s="70" t="s">
        <v>2334</v>
      </c>
      <c r="L196" s="74">
        <v>1</v>
      </c>
      <c r="M196" s="75">
        <v>7295.07861328125</v>
      </c>
      <c r="N196" s="75">
        <v>4886.60888671875</v>
      </c>
      <c r="O196" s="76"/>
      <c r="P196" s="77"/>
      <c r="Q196" s="77"/>
      <c r="R196" s="90"/>
      <c r="S196" s="49">
        <v>0</v>
      </c>
      <c r="T196" s="49">
        <v>1</v>
      </c>
      <c r="U196" s="50">
        <v>0</v>
      </c>
      <c r="V196" s="50">
        <v>0.239313</v>
      </c>
      <c r="W196" s="50">
        <v>0.067769</v>
      </c>
      <c r="X196" s="50">
        <v>0.003151</v>
      </c>
      <c r="Y196" s="50">
        <v>0</v>
      </c>
      <c r="Z196" s="50">
        <v>0</v>
      </c>
      <c r="AA196" s="72">
        <v>196</v>
      </c>
      <c r="AB196" s="72"/>
      <c r="AC196" s="73"/>
      <c r="AD196" s="80" t="s">
        <v>1427</v>
      </c>
      <c r="AE196" s="89" t="s">
        <v>1689</v>
      </c>
      <c r="AF196" s="80">
        <v>1098</v>
      </c>
      <c r="AG196" s="80">
        <v>587</v>
      </c>
      <c r="AH196" s="80">
        <v>12469</v>
      </c>
      <c r="AI196" s="80">
        <v>168985</v>
      </c>
      <c r="AJ196" s="80"/>
      <c r="AK196" s="80" t="s">
        <v>1949</v>
      </c>
      <c r="AL196" s="80" t="s">
        <v>2111</v>
      </c>
      <c r="AM196" s="86" t="str">
        <f>HYPERLINK("https://t.co/VgqRypGs5t")</f>
        <v>https://t.co/VgqRypGs5t</v>
      </c>
      <c r="AN196" s="80"/>
      <c r="AO196" s="82">
        <v>42436.7296875</v>
      </c>
      <c r="AP196" s="86" t="str">
        <f>HYPERLINK("https://pbs.twimg.com/profile_banners/706894869130772480/1512665344")</f>
        <v>https://pbs.twimg.com/profile_banners/706894869130772480/1512665344</v>
      </c>
      <c r="AQ196" s="80" t="b">
        <v>0</v>
      </c>
      <c r="AR196" s="80" t="b">
        <v>0</v>
      </c>
      <c r="AS196" s="80" t="b">
        <v>0</v>
      </c>
      <c r="AT196" s="80"/>
      <c r="AU196" s="80">
        <v>5</v>
      </c>
      <c r="AV196" s="86" t="str">
        <f>HYPERLINK("https://abs.twimg.com/images/themes/theme1/bg.png")</f>
        <v>https://abs.twimg.com/images/themes/theme1/bg.png</v>
      </c>
      <c r="AW196" s="80" t="b">
        <v>0</v>
      </c>
      <c r="AX196" s="80" t="s">
        <v>2141</v>
      </c>
      <c r="AY196" s="86" t="str">
        <f>HYPERLINK("https://twitter.com/miianfaksi")</f>
        <v>https://twitter.com/miianfaksi</v>
      </c>
      <c r="AZ196" s="80" t="s">
        <v>66</v>
      </c>
      <c r="BA196" s="80" t="str">
        <f>REPLACE(INDEX(GroupVertices[Group],MATCH(Vertices[[#This Row],[Vertex]],GroupVertices[Vertex],0)),1,1,"")</f>
        <v>1</v>
      </c>
      <c r="BB196" s="49">
        <v>0</v>
      </c>
      <c r="BC196" s="50">
        <v>0</v>
      </c>
      <c r="BD196" s="49">
        <v>0</v>
      </c>
      <c r="BE196" s="50">
        <v>0</v>
      </c>
      <c r="BF196" s="49">
        <v>0</v>
      </c>
      <c r="BG196" s="50">
        <v>0</v>
      </c>
      <c r="BH196" s="49">
        <v>33</v>
      </c>
      <c r="BI196" s="50">
        <v>100</v>
      </c>
      <c r="BJ196" s="49">
        <v>33</v>
      </c>
      <c r="BK196" s="49" t="s">
        <v>3990</v>
      </c>
      <c r="BL196" s="49" t="s">
        <v>3990</v>
      </c>
      <c r="BM196" s="49" t="s">
        <v>582</v>
      </c>
      <c r="BN196" s="49" t="s">
        <v>582</v>
      </c>
      <c r="BO196" s="49"/>
      <c r="BP196" s="49"/>
      <c r="BQ196" s="116" t="s">
        <v>4267</v>
      </c>
      <c r="BR196" s="116" t="s">
        <v>4267</v>
      </c>
      <c r="BS196" s="116" t="s">
        <v>4346</v>
      </c>
      <c r="BT196" s="116" t="s">
        <v>4346</v>
      </c>
      <c r="BU196" s="2"/>
      <c r="BV196" s="3"/>
      <c r="BW196" s="3"/>
      <c r="BX196" s="3"/>
      <c r="BY196" s="3"/>
    </row>
    <row r="197" spans="1:77" ht="15">
      <c r="A197" s="65" t="s">
        <v>404</v>
      </c>
      <c r="B197" s="66"/>
      <c r="C197" s="66" t="s">
        <v>64</v>
      </c>
      <c r="D197" s="67"/>
      <c r="E197" s="69"/>
      <c r="F197" s="104" t="str">
        <f>HYPERLINK("https://pbs.twimg.com/profile_images/1163319074354552834/p5mNSohc_normal.jpg")</f>
        <v>https://pbs.twimg.com/profile_images/1163319074354552834/p5mNSohc_normal.jpg</v>
      </c>
      <c r="G197" s="66"/>
      <c r="H197" s="70" t="s">
        <v>404</v>
      </c>
      <c r="I197" s="71" t="s">
        <v>4393</v>
      </c>
      <c r="J197" s="71" t="s">
        <v>73</v>
      </c>
      <c r="K197" s="70" t="s">
        <v>2335</v>
      </c>
      <c r="L197" s="74">
        <v>1</v>
      </c>
      <c r="M197" s="75">
        <v>4242.0224609375</v>
      </c>
      <c r="N197" s="75">
        <v>8446.412109375</v>
      </c>
      <c r="O197" s="76"/>
      <c r="P197" s="77"/>
      <c r="Q197" s="77"/>
      <c r="R197" s="90"/>
      <c r="S197" s="49">
        <v>0</v>
      </c>
      <c r="T197" s="49">
        <v>1</v>
      </c>
      <c r="U197" s="50">
        <v>0</v>
      </c>
      <c r="V197" s="50">
        <v>0.239313</v>
      </c>
      <c r="W197" s="50">
        <v>0.067769</v>
      </c>
      <c r="X197" s="50">
        <v>0.003151</v>
      </c>
      <c r="Y197" s="50">
        <v>0</v>
      </c>
      <c r="Z197" s="50">
        <v>0</v>
      </c>
      <c r="AA197" s="72">
        <v>197</v>
      </c>
      <c r="AB197" s="72"/>
      <c r="AC197" s="73"/>
      <c r="AD197" s="80" t="s">
        <v>1428</v>
      </c>
      <c r="AE197" s="89" t="s">
        <v>1690</v>
      </c>
      <c r="AF197" s="80">
        <v>571</v>
      </c>
      <c r="AG197" s="80">
        <v>437</v>
      </c>
      <c r="AH197" s="80">
        <v>1888</v>
      </c>
      <c r="AI197" s="80">
        <v>4088</v>
      </c>
      <c r="AJ197" s="80"/>
      <c r="AK197" s="80" t="s">
        <v>1950</v>
      </c>
      <c r="AL197" s="80" t="s">
        <v>2112</v>
      </c>
      <c r="AM197" s="86" t="str">
        <f>HYPERLINK("https://t.co/VbmWG6fxHJ")</f>
        <v>https://t.co/VbmWG6fxHJ</v>
      </c>
      <c r="AN197" s="80"/>
      <c r="AO197" s="82">
        <v>41376.256527777776</v>
      </c>
      <c r="AP197" s="86" t="str">
        <f>HYPERLINK("https://pbs.twimg.com/profile_banners/1346098824/1426164262")</f>
        <v>https://pbs.twimg.com/profile_banners/1346098824/1426164262</v>
      </c>
      <c r="AQ197" s="80" t="b">
        <v>0</v>
      </c>
      <c r="AR197" s="80" t="b">
        <v>0</v>
      </c>
      <c r="AS197" s="80" t="b">
        <v>0</v>
      </c>
      <c r="AT197" s="80"/>
      <c r="AU197" s="80">
        <v>7</v>
      </c>
      <c r="AV197" s="86" t="str">
        <f>HYPERLINK("https://abs.twimg.com/images/themes/theme1/bg.png")</f>
        <v>https://abs.twimg.com/images/themes/theme1/bg.png</v>
      </c>
      <c r="AW197" s="80" t="b">
        <v>0</v>
      </c>
      <c r="AX197" s="80" t="s">
        <v>2141</v>
      </c>
      <c r="AY197" s="86" t="str">
        <f>HYPERLINK("https://twitter.com/mariannejuntu")</f>
        <v>https://twitter.com/mariannejuntu</v>
      </c>
      <c r="AZ197" s="80" t="s">
        <v>66</v>
      </c>
      <c r="BA197" s="80" t="str">
        <f>REPLACE(INDEX(GroupVertices[Group],MATCH(Vertices[[#This Row],[Vertex]],GroupVertices[Vertex],0)),1,1,"")</f>
        <v>1</v>
      </c>
      <c r="BB197" s="49">
        <v>0</v>
      </c>
      <c r="BC197" s="50">
        <v>0</v>
      </c>
      <c r="BD197" s="49">
        <v>0</v>
      </c>
      <c r="BE197" s="50">
        <v>0</v>
      </c>
      <c r="BF197" s="49">
        <v>0</v>
      </c>
      <c r="BG197" s="50">
        <v>0</v>
      </c>
      <c r="BH197" s="49">
        <v>33</v>
      </c>
      <c r="BI197" s="50">
        <v>100</v>
      </c>
      <c r="BJ197" s="49">
        <v>33</v>
      </c>
      <c r="BK197" s="49" t="s">
        <v>3990</v>
      </c>
      <c r="BL197" s="49" t="s">
        <v>3990</v>
      </c>
      <c r="BM197" s="49" t="s">
        <v>582</v>
      </c>
      <c r="BN197" s="49" t="s">
        <v>582</v>
      </c>
      <c r="BO197" s="49"/>
      <c r="BP197" s="49"/>
      <c r="BQ197" s="116" t="s">
        <v>4267</v>
      </c>
      <c r="BR197" s="116" t="s">
        <v>4267</v>
      </c>
      <c r="BS197" s="116" t="s">
        <v>4346</v>
      </c>
      <c r="BT197" s="116" t="s">
        <v>4346</v>
      </c>
      <c r="BU197" s="2"/>
      <c r="BV197" s="3"/>
      <c r="BW197" s="3"/>
      <c r="BX197" s="3"/>
      <c r="BY197" s="3"/>
    </row>
    <row r="198" spans="1:77" ht="15">
      <c r="A198" s="65" t="s">
        <v>405</v>
      </c>
      <c r="B198" s="66"/>
      <c r="C198" s="66" t="s">
        <v>64</v>
      </c>
      <c r="D198" s="67"/>
      <c r="E198" s="69"/>
      <c r="F198" s="104" t="str">
        <f>HYPERLINK("https://pbs.twimg.com/profile_images/1175351992052568064/-MWnG4Ny_normal.jpg")</f>
        <v>https://pbs.twimg.com/profile_images/1175351992052568064/-MWnG4Ny_normal.jpg</v>
      </c>
      <c r="G198" s="66"/>
      <c r="H198" s="70" t="s">
        <v>405</v>
      </c>
      <c r="I198" s="71" t="s">
        <v>4399</v>
      </c>
      <c r="J198" s="71" t="s">
        <v>73</v>
      </c>
      <c r="K198" s="70" t="s">
        <v>2336</v>
      </c>
      <c r="L198" s="74">
        <v>1</v>
      </c>
      <c r="M198" s="75">
        <v>6120.91357421875</v>
      </c>
      <c r="N198" s="75">
        <v>2834.412109375</v>
      </c>
      <c r="O198" s="76"/>
      <c r="P198" s="77"/>
      <c r="Q198" s="77"/>
      <c r="R198" s="90"/>
      <c r="S198" s="49">
        <v>0</v>
      </c>
      <c r="T198" s="49">
        <v>1</v>
      </c>
      <c r="U198" s="50">
        <v>0</v>
      </c>
      <c r="V198" s="50">
        <v>0.199193</v>
      </c>
      <c r="W198" s="50">
        <v>0.006144</v>
      </c>
      <c r="X198" s="50">
        <v>0.003155</v>
      </c>
      <c r="Y198" s="50">
        <v>0</v>
      </c>
      <c r="Z198" s="50">
        <v>0</v>
      </c>
      <c r="AA198" s="72">
        <v>198</v>
      </c>
      <c r="AB198" s="72"/>
      <c r="AC198" s="73"/>
      <c r="AD198" s="80" t="s">
        <v>1429</v>
      </c>
      <c r="AE198" s="89" t="s">
        <v>1691</v>
      </c>
      <c r="AF198" s="80">
        <v>102</v>
      </c>
      <c r="AG198" s="80">
        <v>43</v>
      </c>
      <c r="AH198" s="80">
        <v>4459</v>
      </c>
      <c r="AI198" s="80">
        <v>1155</v>
      </c>
      <c r="AJ198" s="80"/>
      <c r="AK198" s="80" t="s">
        <v>1951</v>
      </c>
      <c r="AL198" s="80" t="s">
        <v>2113</v>
      </c>
      <c r="AM198" s="80"/>
      <c r="AN198" s="80"/>
      <c r="AO198" s="82">
        <v>39831.39344907407</v>
      </c>
      <c r="AP198" s="86" t="str">
        <f>HYPERLINK("https://pbs.twimg.com/profile_banners/19140583/1569558237")</f>
        <v>https://pbs.twimg.com/profile_banners/19140583/1569558237</v>
      </c>
      <c r="AQ198" s="80" t="b">
        <v>1</v>
      </c>
      <c r="AR198" s="80" t="b">
        <v>0</v>
      </c>
      <c r="AS198" s="80" t="b">
        <v>1</v>
      </c>
      <c r="AT198" s="80"/>
      <c r="AU198" s="80">
        <v>7</v>
      </c>
      <c r="AV198" s="86" t="str">
        <f>HYPERLINK("https://abs.twimg.com/images/themes/theme1/bg.png")</f>
        <v>https://abs.twimg.com/images/themes/theme1/bg.png</v>
      </c>
      <c r="AW198" s="80" t="b">
        <v>0</v>
      </c>
      <c r="AX198" s="80" t="s">
        <v>2141</v>
      </c>
      <c r="AY198" s="86" t="str">
        <f>HYPERLINK("https://twitter.com/m_simo")</f>
        <v>https://twitter.com/m_simo</v>
      </c>
      <c r="AZ198" s="80" t="s">
        <v>66</v>
      </c>
      <c r="BA198" s="80" t="str">
        <f>REPLACE(INDEX(GroupVertices[Group],MATCH(Vertices[[#This Row],[Vertex]],GroupVertices[Vertex],0)),1,1,"")</f>
        <v>2</v>
      </c>
      <c r="BB198" s="49">
        <v>0</v>
      </c>
      <c r="BC198" s="50">
        <v>0</v>
      </c>
      <c r="BD198" s="49">
        <v>0</v>
      </c>
      <c r="BE198" s="50">
        <v>0</v>
      </c>
      <c r="BF198" s="49">
        <v>0</v>
      </c>
      <c r="BG198" s="50">
        <v>0</v>
      </c>
      <c r="BH198" s="49">
        <v>6</v>
      </c>
      <c r="BI198" s="50">
        <v>100</v>
      </c>
      <c r="BJ198" s="49">
        <v>6</v>
      </c>
      <c r="BK198" s="49"/>
      <c r="BL198" s="49"/>
      <c r="BM198" s="49"/>
      <c r="BN198" s="49"/>
      <c r="BO198" s="49"/>
      <c r="BP198" s="49"/>
      <c r="BQ198" s="116" t="s">
        <v>4241</v>
      </c>
      <c r="BR198" s="116" t="s">
        <v>4241</v>
      </c>
      <c r="BS198" s="116" t="s">
        <v>4322</v>
      </c>
      <c r="BT198" s="116" t="s">
        <v>4322</v>
      </c>
      <c r="BU198" s="2"/>
      <c r="BV198" s="3"/>
      <c r="BW198" s="3"/>
      <c r="BX198" s="3"/>
      <c r="BY198" s="3"/>
    </row>
    <row r="199" spans="1:77" ht="15">
      <c r="A199" s="65" t="s">
        <v>406</v>
      </c>
      <c r="B199" s="66"/>
      <c r="C199" s="66" t="s">
        <v>64</v>
      </c>
      <c r="D199" s="67">
        <v>436.36979249265914</v>
      </c>
      <c r="E199" s="69"/>
      <c r="F199" s="104" t="str">
        <f>HYPERLINK("https://pbs.twimg.com/profile_images/1199561765597700096/Hp6WT8Ge_normal.jpg")</f>
        <v>https://pbs.twimg.com/profile_images/1199561765597700096/Hp6WT8Ge_normal.jpg</v>
      </c>
      <c r="G199" s="66"/>
      <c r="H199" s="70" t="s">
        <v>406</v>
      </c>
      <c r="I199" s="71" t="s">
        <v>4407</v>
      </c>
      <c r="J199" s="71" t="s">
        <v>73</v>
      </c>
      <c r="K199" s="70" t="s">
        <v>2337</v>
      </c>
      <c r="L199" s="74">
        <v>197.0392156862745</v>
      </c>
      <c r="M199" s="75">
        <v>8665.357421875</v>
      </c>
      <c r="N199" s="75">
        <v>4928.4169921875</v>
      </c>
      <c r="O199" s="76"/>
      <c r="P199" s="77"/>
      <c r="Q199" s="77"/>
      <c r="R199" s="90"/>
      <c r="S199" s="49">
        <v>2</v>
      </c>
      <c r="T199" s="49">
        <v>1</v>
      </c>
      <c r="U199" s="50">
        <v>0</v>
      </c>
      <c r="V199" s="50">
        <v>0.003636</v>
      </c>
      <c r="W199" s="50">
        <v>0</v>
      </c>
      <c r="X199" s="50">
        <v>0.003876</v>
      </c>
      <c r="Y199" s="50">
        <v>0</v>
      </c>
      <c r="Z199" s="50">
        <v>0</v>
      </c>
      <c r="AA199" s="72">
        <v>199</v>
      </c>
      <c r="AB199" s="72"/>
      <c r="AC199" s="73"/>
      <c r="AD199" s="80" t="s">
        <v>1430</v>
      </c>
      <c r="AE199" s="89" t="s">
        <v>1692</v>
      </c>
      <c r="AF199" s="80">
        <v>1089</v>
      </c>
      <c r="AG199" s="80">
        <v>688</v>
      </c>
      <c r="AH199" s="80">
        <v>11023</v>
      </c>
      <c r="AI199" s="80">
        <v>34877</v>
      </c>
      <c r="AJ199" s="80"/>
      <c r="AK199" s="80" t="s">
        <v>1952</v>
      </c>
      <c r="AL199" s="80" t="s">
        <v>1201</v>
      </c>
      <c r="AM199" s="80"/>
      <c r="AN199" s="80"/>
      <c r="AO199" s="82">
        <v>41886.49186342592</v>
      </c>
      <c r="AP199" s="86" t="str">
        <f>HYPERLINK("https://pbs.twimg.com/profile_banners/2789619840/1410182529")</f>
        <v>https://pbs.twimg.com/profile_banners/2789619840/1410182529</v>
      </c>
      <c r="AQ199" s="80" t="b">
        <v>0</v>
      </c>
      <c r="AR199" s="80" t="b">
        <v>0</v>
      </c>
      <c r="AS199" s="80" t="b">
        <v>1</v>
      </c>
      <c r="AT199" s="80"/>
      <c r="AU199" s="80">
        <v>26</v>
      </c>
      <c r="AV199" s="86" t="str">
        <f>HYPERLINK("https://abs.twimg.com/images/themes/theme1/bg.png")</f>
        <v>https://abs.twimg.com/images/themes/theme1/bg.png</v>
      </c>
      <c r="AW199" s="80" t="b">
        <v>0</v>
      </c>
      <c r="AX199" s="80" t="s">
        <v>2141</v>
      </c>
      <c r="AY199" s="86" t="str">
        <f>HYPERLINK("https://twitter.com/jonnemi")</f>
        <v>https://twitter.com/jonnemi</v>
      </c>
      <c r="AZ199" s="80" t="s">
        <v>66</v>
      </c>
      <c r="BA199" s="80" t="str">
        <f>REPLACE(INDEX(GroupVertices[Group],MATCH(Vertices[[#This Row],[Vertex]],GroupVertices[Vertex],0)),1,1,"")</f>
        <v>13</v>
      </c>
      <c r="BB199" s="49">
        <v>0</v>
      </c>
      <c r="BC199" s="50">
        <v>0</v>
      </c>
      <c r="BD199" s="49">
        <v>0</v>
      </c>
      <c r="BE199" s="50">
        <v>0</v>
      </c>
      <c r="BF199" s="49">
        <v>0</v>
      </c>
      <c r="BG199" s="50">
        <v>0</v>
      </c>
      <c r="BH199" s="49">
        <v>10</v>
      </c>
      <c r="BI199" s="50">
        <v>100</v>
      </c>
      <c r="BJ199" s="49">
        <v>10</v>
      </c>
      <c r="BK199" s="49" t="s">
        <v>3996</v>
      </c>
      <c r="BL199" s="49" t="s">
        <v>3996</v>
      </c>
      <c r="BM199" s="49" t="s">
        <v>584</v>
      </c>
      <c r="BN199" s="49" t="s">
        <v>584</v>
      </c>
      <c r="BO199" s="49"/>
      <c r="BP199" s="49"/>
      <c r="BQ199" s="116" t="s">
        <v>4286</v>
      </c>
      <c r="BR199" s="116" t="s">
        <v>4286</v>
      </c>
      <c r="BS199" s="116" t="s">
        <v>4364</v>
      </c>
      <c r="BT199" s="116" t="s">
        <v>4364</v>
      </c>
      <c r="BU199" s="2"/>
      <c r="BV199" s="3"/>
      <c r="BW199" s="3"/>
      <c r="BX199" s="3"/>
      <c r="BY199" s="3"/>
    </row>
    <row r="200" spans="1:77" ht="15">
      <c r="A200" s="65" t="s">
        <v>407</v>
      </c>
      <c r="B200" s="66"/>
      <c r="C200" s="66" t="s">
        <v>64</v>
      </c>
      <c r="D200" s="67"/>
      <c r="E200" s="69"/>
      <c r="F200" s="104" t="str">
        <f>HYPERLINK("https://pbs.twimg.com/profile_images/938470745008693248/28hwBaiT_normal.jpg")</f>
        <v>https://pbs.twimg.com/profile_images/938470745008693248/28hwBaiT_normal.jpg</v>
      </c>
      <c r="G200" s="66"/>
      <c r="H200" s="70" t="s">
        <v>407</v>
      </c>
      <c r="I200" s="71" t="s">
        <v>4407</v>
      </c>
      <c r="J200" s="71" t="s">
        <v>73</v>
      </c>
      <c r="K200" s="70" t="s">
        <v>2338</v>
      </c>
      <c r="L200" s="74">
        <v>1</v>
      </c>
      <c r="M200" s="75">
        <v>8322.306640625</v>
      </c>
      <c r="N200" s="75">
        <v>4928.4169921875</v>
      </c>
      <c r="O200" s="76"/>
      <c r="P200" s="77"/>
      <c r="Q200" s="77"/>
      <c r="R200" s="90"/>
      <c r="S200" s="49">
        <v>0</v>
      </c>
      <c r="T200" s="49">
        <v>1</v>
      </c>
      <c r="U200" s="50">
        <v>0</v>
      </c>
      <c r="V200" s="50">
        <v>0.003636</v>
      </c>
      <c r="W200" s="50">
        <v>0</v>
      </c>
      <c r="X200" s="50">
        <v>0.00337</v>
      </c>
      <c r="Y200" s="50">
        <v>0</v>
      </c>
      <c r="Z200" s="50">
        <v>0</v>
      </c>
      <c r="AA200" s="72">
        <v>200</v>
      </c>
      <c r="AB200" s="72"/>
      <c r="AC200" s="73"/>
      <c r="AD200" s="80" t="s">
        <v>1431</v>
      </c>
      <c r="AE200" s="89" t="s">
        <v>1693</v>
      </c>
      <c r="AF200" s="80">
        <v>1744</v>
      </c>
      <c r="AG200" s="80">
        <v>1576</v>
      </c>
      <c r="AH200" s="80">
        <v>3199</v>
      </c>
      <c r="AI200" s="80">
        <v>2139</v>
      </c>
      <c r="AJ200" s="80"/>
      <c r="AK200" s="80" t="s">
        <v>1953</v>
      </c>
      <c r="AL200" s="80"/>
      <c r="AM200" s="80"/>
      <c r="AN200" s="80"/>
      <c r="AO200" s="82">
        <v>41221.80247685185</v>
      </c>
      <c r="AP200" s="86" t="str">
        <f>HYPERLINK("https://pbs.twimg.com/profile_banners/935229134/1384373559")</f>
        <v>https://pbs.twimg.com/profile_banners/935229134/1384373559</v>
      </c>
      <c r="AQ200" s="80" t="b">
        <v>1</v>
      </c>
      <c r="AR200" s="80" t="b">
        <v>0</v>
      </c>
      <c r="AS200" s="80" t="b">
        <v>1</v>
      </c>
      <c r="AT200" s="80"/>
      <c r="AU200" s="80">
        <v>29</v>
      </c>
      <c r="AV200" s="86" t="str">
        <f>HYPERLINK("https://abs.twimg.com/images/themes/theme1/bg.png")</f>
        <v>https://abs.twimg.com/images/themes/theme1/bg.png</v>
      </c>
      <c r="AW200" s="80" t="b">
        <v>0</v>
      </c>
      <c r="AX200" s="80" t="s">
        <v>2141</v>
      </c>
      <c r="AY200" s="86" t="str">
        <f>HYPERLINK("https://twitter.com/hannuverronen")</f>
        <v>https://twitter.com/hannuverronen</v>
      </c>
      <c r="AZ200" s="80" t="s">
        <v>66</v>
      </c>
      <c r="BA200" s="80" t="str">
        <f>REPLACE(INDEX(GroupVertices[Group],MATCH(Vertices[[#This Row],[Vertex]],GroupVertices[Vertex],0)),1,1,"")</f>
        <v>13</v>
      </c>
      <c r="BB200" s="49">
        <v>0</v>
      </c>
      <c r="BC200" s="50">
        <v>0</v>
      </c>
      <c r="BD200" s="49">
        <v>0</v>
      </c>
      <c r="BE200" s="50">
        <v>0</v>
      </c>
      <c r="BF200" s="49">
        <v>0</v>
      </c>
      <c r="BG200" s="50">
        <v>0</v>
      </c>
      <c r="BH200" s="49">
        <v>10</v>
      </c>
      <c r="BI200" s="50">
        <v>100</v>
      </c>
      <c r="BJ200" s="49">
        <v>10</v>
      </c>
      <c r="BK200" s="49" t="s">
        <v>3996</v>
      </c>
      <c r="BL200" s="49" t="s">
        <v>3996</v>
      </c>
      <c r="BM200" s="49" t="s">
        <v>584</v>
      </c>
      <c r="BN200" s="49" t="s">
        <v>584</v>
      </c>
      <c r="BO200" s="49"/>
      <c r="BP200" s="49"/>
      <c r="BQ200" s="116" t="s">
        <v>4286</v>
      </c>
      <c r="BR200" s="116" t="s">
        <v>4286</v>
      </c>
      <c r="BS200" s="116" t="s">
        <v>4364</v>
      </c>
      <c r="BT200" s="116" t="s">
        <v>4364</v>
      </c>
      <c r="BU200" s="2"/>
      <c r="BV200" s="3"/>
      <c r="BW200" s="3"/>
      <c r="BX200" s="3"/>
      <c r="BY200" s="3"/>
    </row>
    <row r="201" spans="1:77" ht="15">
      <c r="A201" s="65" t="s">
        <v>408</v>
      </c>
      <c r="B201" s="66"/>
      <c r="C201" s="66" t="s">
        <v>64</v>
      </c>
      <c r="D201" s="67"/>
      <c r="E201" s="69"/>
      <c r="F201" s="104" t="str">
        <f>HYPERLINK("https://pbs.twimg.com/profile_images/2749579108/2aac7f6038d98246f9762b5fb87b2e01_normal.png")</f>
        <v>https://pbs.twimg.com/profile_images/2749579108/2aac7f6038d98246f9762b5fb87b2e01_normal.png</v>
      </c>
      <c r="G201" s="66"/>
      <c r="H201" s="70" t="s">
        <v>408</v>
      </c>
      <c r="I201" s="71" t="s">
        <v>4393</v>
      </c>
      <c r="J201" s="71" t="s">
        <v>73</v>
      </c>
      <c r="K201" s="70" t="s">
        <v>2339</v>
      </c>
      <c r="L201" s="74">
        <v>1</v>
      </c>
      <c r="M201" s="75">
        <v>3725.701171875</v>
      </c>
      <c r="N201" s="75">
        <v>7693.5732421875</v>
      </c>
      <c r="O201" s="76"/>
      <c r="P201" s="77"/>
      <c r="Q201" s="77"/>
      <c r="R201" s="90"/>
      <c r="S201" s="49">
        <v>0</v>
      </c>
      <c r="T201" s="49">
        <v>2</v>
      </c>
      <c r="U201" s="50">
        <v>0</v>
      </c>
      <c r="V201" s="50">
        <v>0.239736</v>
      </c>
      <c r="W201" s="50">
        <v>0.07618</v>
      </c>
      <c r="X201" s="50">
        <v>0.003297</v>
      </c>
      <c r="Y201" s="50">
        <v>0.5</v>
      </c>
      <c r="Z201" s="50">
        <v>0</v>
      </c>
      <c r="AA201" s="72">
        <v>201</v>
      </c>
      <c r="AB201" s="72"/>
      <c r="AC201" s="73"/>
      <c r="AD201" s="80" t="s">
        <v>1432</v>
      </c>
      <c r="AE201" s="89" t="s">
        <v>1694</v>
      </c>
      <c r="AF201" s="80">
        <v>112</v>
      </c>
      <c r="AG201" s="80">
        <v>147</v>
      </c>
      <c r="AH201" s="80">
        <v>32161</v>
      </c>
      <c r="AI201" s="80">
        <v>12826</v>
      </c>
      <c r="AJ201" s="80"/>
      <c r="AK201" s="80"/>
      <c r="AL201" s="80" t="s">
        <v>2114</v>
      </c>
      <c r="AM201" s="80"/>
      <c r="AN201" s="80"/>
      <c r="AO201" s="82">
        <v>41158.3031712963</v>
      </c>
      <c r="AP201" s="86" t="str">
        <f>HYPERLINK("https://pbs.twimg.com/profile_banners/806254592/1357554220")</f>
        <v>https://pbs.twimg.com/profile_banners/806254592/1357554220</v>
      </c>
      <c r="AQ201" s="80" t="b">
        <v>0</v>
      </c>
      <c r="AR201" s="80" t="b">
        <v>0</v>
      </c>
      <c r="AS201" s="80" t="b">
        <v>0</v>
      </c>
      <c r="AT201" s="80"/>
      <c r="AU201" s="80">
        <v>9</v>
      </c>
      <c r="AV201" s="86" t="str">
        <f>HYPERLINK("https://abs.twimg.com/images/themes/theme1/bg.png")</f>
        <v>https://abs.twimg.com/images/themes/theme1/bg.png</v>
      </c>
      <c r="AW201" s="80" t="b">
        <v>0</v>
      </c>
      <c r="AX201" s="80" t="s">
        <v>2141</v>
      </c>
      <c r="AY201" s="86" t="str">
        <f>HYPERLINK("https://twitter.com/pave_ko")</f>
        <v>https://twitter.com/pave_ko</v>
      </c>
      <c r="AZ201" s="80" t="s">
        <v>66</v>
      </c>
      <c r="BA201" s="80" t="str">
        <f>REPLACE(INDEX(GroupVertices[Group],MATCH(Vertices[[#This Row],[Vertex]],GroupVertices[Vertex],0)),1,1,"")</f>
        <v>1</v>
      </c>
      <c r="BB201" s="49">
        <v>0</v>
      </c>
      <c r="BC201" s="50">
        <v>0</v>
      </c>
      <c r="BD201" s="49">
        <v>0</v>
      </c>
      <c r="BE201" s="50">
        <v>0</v>
      </c>
      <c r="BF201" s="49">
        <v>0</v>
      </c>
      <c r="BG201" s="50">
        <v>0</v>
      </c>
      <c r="BH201" s="49">
        <v>22</v>
      </c>
      <c r="BI201" s="50">
        <v>100</v>
      </c>
      <c r="BJ201" s="49">
        <v>22</v>
      </c>
      <c r="BK201" s="49" t="s">
        <v>3991</v>
      </c>
      <c r="BL201" s="49" t="s">
        <v>3991</v>
      </c>
      <c r="BM201" s="49" t="s">
        <v>580</v>
      </c>
      <c r="BN201" s="49" t="s">
        <v>580</v>
      </c>
      <c r="BO201" s="49" t="s">
        <v>591</v>
      </c>
      <c r="BP201" s="49" t="s">
        <v>591</v>
      </c>
      <c r="BQ201" s="116" t="s">
        <v>4287</v>
      </c>
      <c r="BR201" s="116" t="s">
        <v>4287</v>
      </c>
      <c r="BS201" s="116" t="s">
        <v>4365</v>
      </c>
      <c r="BT201" s="116" t="s">
        <v>4365</v>
      </c>
      <c r="BU201" s="2"/>
      <c r="BV201" s="3"/>
      <c r="BW201" s="3"/>
      <c r="BX201" s="3"/>
      <c r="BY201" s="3"/>
    </row>
    <row r="202" spans="1:77" ht="15">
      <c r="A202" s="65" t="s">
        <v>428</v>
      </c>
      <c r="B202" s="66"/>
      <c r="C202" s="66" t="s">
        <v>64</v>
      </c>
      <c r="D202" s="67">
        <v>685.7801325411256</v>
      </c>
      <c r="E202" s="69"/>
      <c r="F202" s="104" t="str">
        <f>HYPERLINK("https://pbs.twimg.com/profile_images/1453806723001618432/KTbN1yZ3_normal.jpg")</f>
        <v>https://pbs.twimg.com/profile_images/1453806723001618432/KTbN1yZ3_normal.jpg</v>
      </c>
      <c r="G202" s="66"/>
      <c r="H202" s="70" t="s">
        <v>428</v>
      </c>
      <c r="I202" s="71" t="s">
        <v>4393</v>
      </c>
      <c r="J202" s="71" t="s">
        <v>73</v>
      </c>
      <c r="K202" s="70" t="s">
        <v>2340</v>
      </c>
      <c r="L202" s="74">
        <v>295.05882352941177</v>
      </c>
      <c r="M202" s="75">
        <v>4251.24609375</v>
      </c>
      <c r="N202" s="75">
        <v>7621.7646484375</v>
      </c>
      <c r="O202" s="76"/>
      <c r="P202" s="77"/>
      <c r="Q202" s="77"/>
      <c r="R202" s="90"/>
      <c r="S202" s="49">
        <v>3</v>
      </c>
      <c r="T202" s="49">
        <v>1</v>
      </c>
      <c r="U202" s="50">
        <v>3</v>
      </c>
      <c r="V202" s="50">
        <v>0.240588</v>
      </c>
      <c r="W202" s="50">
        <v>0.089296</v>
      </c>
      <c r="X202" s="50">
        <v>0.003893</v>
      </c>
      <c r="Y202" s="50">
        <v>0.25</v>
      </c>
      <c r="Z202" s="50">
        <v>0</v>
      </c>
      <c r="AA202" s="72">
        <v>202</v>
      </c>
      <c r="AB202" s="72"/>
      <c r="AC202" s="73"/>
      <c r="AD202" s="80" t="s">
        <v>1433</v>
      </c>
      <c r="AE202" s="89" t="s">
        <v>1695</v>
      </c>
      <c r="AF202" s="80">
        <v>4621</v>
      </c>
      <c r="AG202" s="80">
        <v>18993</v>
      </c>
      <c r="AH202" s="80">
        <v>90115</v>
      </c>
      <c r="AI202" s="80">
        <v>126379</v>
      </c>
      <c r="AJ202" s="80"/>
      <c r="AK202" s="80" t="s">
        <v>1954</v>
      </c>
      <c r="AL202" s="80" t="s">
        <v>2042</v>
      </c>
      <c r="AM202" s="80"/>
      <c r="AN202" s="80"/>
      <c r="AO202" s="82">
        <v>41252.341782407406</v>
      </c>
      <c r="AP202" s="86" t="str">
        <f>HYPERLINK("https://pbs.twimg.com/profile_banners/998827386/1548946944")</f>
        <v>https://pbs.twimg.com/profile_banners/998827386/1548946944</v>
      </c>
      <c r="AQ202" s="80" t="b">
        <v>1</v>
      </c>
      <c r="AR202" s="80" t="b">
        <v>0</v>
      </c>
      <c r="AS202" s="80" t="b">
        <v>1</v>
      </c>
      <c r="AT202" s="80"/>
      <c r="AU202" s="80">
        <v>40</v>
      </c>
      <c r="AV202" s="86" t="str">
        <f>HYPERLINK("https://abs.twimg.com/images/themes/theme1/bg.png")</f>
        <v>https://abs.twimg.com/images/themes/theme1/bg.png</v>
      </c>
      <c r="AW202" s="80" t="b">
        <v>0</v>
      </c>
      <c r="AX202" s="80" t="s">
        <v>2141</v>
      </c>
      <c r="AY202" s="86" t="str">
        <f>HYPERLINK("https://twitter.com/mattimuukkonen")</f>
        <v>https://twitter.com/mattimuukkonen</v>
      </c>
      <c r="AZ202" s="80" t="s">
        <v>66</v>
      </c>
      <c r="BA202" s="80" t="str">
        <f>REPLACE(INDEX(GroupVertices[Group],MATCH(Vertices[[#This Row],[Vertex]],GroupVertices[Vertex],0)),1,1,"")</f>
        <v>1</v>
      </c>
      <c r="BB202" s="49">
        <v>0</v>
      </c>
      <c r="BC202" s="50">
        <v>0</v>
      </c>
      <c r="BD202" s="49">
        <v>0</v>
      </c>
      <c r="BE202" s="50">
        <v>0</v>
      </c>
      <c r="BF202" s="49">
        <v>0</v>
      </c>
      <c r="BG202" s="50">
        <v>0</v>
      </c>
      <c r="BH202" s="49">
        <v>22</v>
      </c>
      <c r="BI202" s="50">
        <v>100</v>
      </c>
      <c r="BJ202" s="49">
        <v>22</v>
      </c>
      <c r="BK202" s="49" t="s">
        <v>3991</v>
      </c>
      <c r="BL202" s="49" t="s">
        <v>3991</v>
      </c>
      <c r="BM202" s="49" t="s">
        <v>580</v>
      </c>
      <c r="BN202" s="49" t="s">
        <v>580</v>
      </c>
      <c r="BO202" s="49" t="s">
        <v>591</v>
      </c>
      <c r="BP202" s="49" t="s">
        <v>591</v>
      </c>
      <c r="BQ202" s="116" t="s">
        <v>4287</v>
      </c>
      <c r="BR202" s="116" t="s">
        <v>4287</v>
      </c>
      <c r="BS202" s="116" t="s">
        <v>4365</v>
      </c>
      <c r="BT202" s="116" t="s">
        <v>4365</v>
      </c>
      <c r="BU202" s="2"/>
      <c r="BV202" s="3"/>
      <c r="BW202" s="3"/>
      <c r="BX202" s="3"/>
      <c r="BY202" s="3"/>
    </row>
    <row r="203" spans="1:77" ht="15">
      <c r="A203" s="65" t="s">
        <v>409</v>
      </c>
      <c r="B203" s="66"/>
      <c r="C203" s="66" t="s">
        <v>64</v>
      </c>
      <c r="D203" s="67"/>
      <c r="E203" s="69"/>
      <c r="F203" s="104" t="str">
        <f>HYPERLINK("https://pbs.twimg.com/profile_images/1152851481227341831/vWJb0f42_normal.jpg")</f>
        <v>https://pbs.twimg.com/profile_images/1152851481227341831/vWJb0f42_normal.jpg</v>
      </c>
      <c r="G203" s="66"/>
      <c r="H203" s="70" t="s">
        <v>409</v>
      </c>
      <c r="I203" s="71" t="s">
        <v>4393</v>
      </c>
      <c r="J203" s="71" t="s">
        <v>73</v>
      </c>
      <c r="K203" s="70" t="s">
        <v>2341</v>
      </c>
      <c r="L203" s="74">
        <v>1</v>
      </c>
      <c r="M203" s="75">
        <v>2843.561279296875</v>
      </c>
      <c r="N203" s="75">
        <v>8153.4091796875</v>
      </c>
      <c r="O203" s="76"/>
      <c r="P203" s="77"/>
      <c r="Q203" s="77"/>
      <c r="R203" s="90"/>
      <c r="S203" s="49">
        <v>0</v>
      </c>
      <c r="T203" s="49">
        <v>1</v>
      </c>
      <c r="U203" s="50">
        <v>0</v>
      </c>
      <c r="V203" s="50">
        <v>0.239313</v>
      </c>
      <c r="W203" s="50">
        <v>0.067769</v>
      </c>
      <c r="X203" s="50">
        <v>0.003151</v>
      </c>
      <c r="Y203" s="50">
        <v>0</v>
      </c>
      <c r="Z203" s="50">
        <v>0</v>
      </c>
      <c r="AA203" s="72">
        <v>203</v>
      </c>
      <c r="AB203" s="72"/>
      <c r="AC203" s="73"/>
      <c r="AD203" s="80" t="s">
        <v>1434</v>
      </c>
      <c r="AE203" s="89" t="s">
        <v>1696</v>
      </c>
      <c r="AF203" s="80">
        <v>1534</v>
      </c>
      <c r="AG203" s="80">
        <v>673</v>
      </c>
      <c r="AH203" s="80">
        <v>7969</v>
      </c>
      <c r="AI203" s="80">
        <v>43838</v>
      </c>
      <c r="AJ203" s="80"/>
      <c r="AK203" s="80" t="s">
        <v>1955</v>
      </c>
      <c r="AL203" s="80" t="s">
        <v>2115</v>
      </c>
      <c r="AM203" s="80"/>
      <c r="AN203" s="80"/>
      <c r="AO203" s="82">
        <v>40782.55025462963</v>
      </c>
      <c r="AP203" s="86" t="str">
        <f>HYPERLINK("https://pbs.twimg.com/profile_banners/363055470/1406199443")</f>
        <v>https://pbs.twimg.com/profile_banners/363055470/1406199443</v>
      </c>
      <c r="AQ203" s="80" t="b">
        <v>0</v>
      </c>
      <c r="AR203" s="80" t="b">
        <v>0</v>
      </c>
      <c r="AS203" s="80" t="b">
        <v>1</v>
      </c>
      <c r="AT203" s="80"/>
      <c r="AU203" s="80">
        <v>5</v>
      </c>
      <c r="AV203" s="86" t="str">
        <f>HYPERLINK("https://abs.twimg.com/images/themes/theme14/bg.gif")</f>
        <v>https://abs.twimg.com/images/themes/theme14/bg.gif</v>
      </c>
      <c r="AW203" s="80" t="b">
        <v>0</v>
      </c>
      <c r="AX203" s="80" t="s">
        <v>2141</v>
      </c>
      <c r="AY203" s="86" t="str">
        <f>HYPERLINK("https://twitter.com/sammyrajala")</f>
        <v>https://twitter.com/sammyrajala</v>
      </c>
      <c r="AZ203" s="80" t="s">
        <v>66</v>
      </c>
      <c r="BA203" s="80" t="str">
        <f>REPLACE(INDEX(GroupVertices[Group],MATCH(Vertices[[#This Row],[Vertex]],GroupVertices[Vertex],0)),1,1,"")</f>
        <v>1</v>
      </c>
      <c r="BB203" s="49">
        <v>0</v>
      </c>
      <c r="BC203" s="50">
        <v>0</v>
      </c>
      <c r="BD203" s="49">
        <v>0</v>
      </c>
      <c r="BE203" s="50">
        <v>0</v>
      </c>
      <c r="BF203" s="49">
        <v>0</v>
      </c>
      <c r="BG203" s="50">
        <v>0</v>
      </c>
      <c r="BH203" s="49">
        <v>33</v>
      </c>
      <c r="BI203" s="50">
        <v>100</v>
      </c>
      <c r="BJ203" s="49">
        <v>33</v>
      </c>
      <c r="BK203" s="49" t="s">
        <v>3990</v>
      </c>
      <c r="BL203" s="49" t="s">
        <v>3990</v>
      </c>
      <c r="BM203" s="49" t="s">
        <v>582</v>
      </c>
      <c r="BN203" s="49" t="s">
        <v>582</v>
      </c>
      <c r="BO203" s="49"/>
      <c r="BP203" s="49"/>
      <c r="BQ203" s="116" t="s">
        <v>4267</v>
      </c>
      <c r="BR203" s="116" t="s">
        <v>4267</v>
      </c>
      <c r="BS203" s="116" t="s">
        <v>4346</v>
      </c>
      <c r="BT203" s="116" t="s">
        <v>4346</v>
      </c>
      <c r="BU203" s="2"/>
      <c r="BV203" s="3"/>
      <c r="BW203" s="3"/>
      <c r="BX203" s="3"/>
      <c r="BY203" s="3"/>
    </row>
    <row r="204" spans="1:77" ht="15">
      <c r="A204" s="65" t="s">
        <v>410</v>
      </c>
      <c r="B204" s="66"/>
      <c r="C204" s="66" t="s">
        <v>64</v>
      </c>
      <c r="D204" s="67"/>
      <c r="E204" s="69"/>
      <c r="F204" s="104" t="str">
        <f>HYPERLINK("https://pbs.twimg.com/profile_images/1071482727675891712/6Reekj13_normal.jpg")</f>
        <v>https://pbs.twimg.com/profile_images/1071482727675891712/6Reekj13_normal.jpg</v>
      </c>
      <c r="G204" s="66"/>
      <c r="H204" s="70" t="s">
        <v>410</v>
      </c>
      <c r="I204" s="71" t="s">
        <v>4393</v>
      </c>
      <c r="J204" s="71" t="s">
        <v>73</v>
      </c>
      <c r="K204" s="70" t="s">
        <v>2342</v>
      </c>
      <c r="L204" s="74">
        <v>1</v>
      </c>
      <c r="M204" s="75">
        <v>5449.60986328125</v>
      </c>
      <c r="N204" s="75">
        <v>9762.056640625</v>
      </c>
      <c r="O204" s="76"/>
      <c r="P204" s="77"/>
      <c r="Q204" s="77"/>
      <c r="R204" s="90"/>
      <c r="S204" s="49">
        <v>0</v>
      </c>
      <c r="T204" s="49">
        <v>1</v>
      </c>
      <c r="U204" s="50">
        <v>0</v>
      </c>
      <c r="V204" s="50">
        <v>0.239313</v>
      </c>
      <c r="W204" s="50">
        <v>0.067769</v>
      </c>
      <c r="X204" s="50">
        <v>0.003151</v>
      </c>
      <c r="Y204" s="50">
        <v>0</v>
      </c>
      <c r="Z204" s="50">
        <v>0</v>
      </c>
      <c r="AA204" s="72">
        <v>204</v>
      </c>
      <c r="AB204" s="72"/>
      <c r="AC204" s="73"/>
      <c r="AD204" s="80" t="s">
        <v>1435</v>
      </c>
      <c r="AE204" s="89" t="s">
        <v>1697</v>
      </c>
      <c r="AF204" s="80">
        <v>3696</v>
      </c>
      <c r="AG204" s="80">
        <v>5559</v>
      </c>
      <c r="AH204" s="80">
        <v>168173</v>
      </c>
      <c r="AI204" s="80">
        <v>278417</v>
      </c>
      <c r="AJ204" s="80"/>
      <c r="AK204" s="80" t="s">
        <v>1956</v>
      </c>
      <c r="AL204" s="80" t="s">
        <v>2116</v>
      </c>
      <c r="AM204" s="86" t="str">
        <f>HYPERLINK("https://t.co/T9aAHMta5P")</f>
        <v>https://t.co/T9aAHMta5P</v>
      </c>
      <c r="AN204" s="80"/>
      <c r="AO204" s="82">
        <v>40025.84997685185</v>
      </c>
      <c r="AP204" s="86" t="str">
        <f>HYPERLINK("https://pbs.twimg.com/profile_banners/61865978/1555179018")</f>
        <v>https://pbs.twimg.com/profile_banners/61865978/1555179018</v>
      </c>
      <c r="AQ204" s="80" t="b">
        <v>0</v>
      </c>
      <c r="AR204" s="80" t="b">
        <v>0</v>
      </c>
      <c r="AS204" s="80" t="b">
        <v>1</v>
      </c>
      <c r="AT204" s="80"/>
      <c r="AU204" s="80">
        <v>86</v>
      </c>
      <c r="AV204" s="86" t="str">
        <f>HYPERLINK("https://abs.twimg.com/images/themes/theme9/bg.gif")</f>
        <v>https://abs.twimg.com/images/themes/theme9/bg.gif</v>
      </c>
      <c r="AW204" s="80" t="b">
        <v>0</v>
      </c>
      <c r="AX204" s="80" t="s">
        <v>2141</v>
      </c>
      <c r="AY204" s="86" t="str">
        <f>HYPERLINK("https://twitter.com/kestinen")</f>
        <v>https://twitter.com/kestinen</v>
      </c>
      <c r="AZ204" s="80" t="s">
        <v>66</v>
      </c>
      <c r="BA204" s="80" t="str">
        <f>REPLACE(INDEX(GroupVertices[Group],MATCH(Vertices[[#This Row],[Vertex]],GroupVertices[Vertex],0)),1,1,"")</f>
        <v>1</v>
      </c>
      <c r="BB204" s="49">
        <v>0</v>
      </c>
      <c r="BC204" s="50">
        <v>0</v>
      </c>
      <c r="BD204" s="49">
        <v>0</v>
      </c>
      <c r="BE204" s="50">
        <v>0</v>
      </c>
      <c r="BF204" s="49">
        <v>0</v>
      </c>
      <c r="BG204" s="50">
        <v>0</v>
      </c>
      <c r="BH204" s="49">
        <v>33</v>
      </c>
      <c r="BI204" s="50">
        <v>100</v>
      </c>
      <c r="BJ204" s="49">
        <v>33</v>
      </c>
      <c r="BK204" s="49" t="s">
        <v>3990</v>
      </c>
      <c r="BL204" s="49" t="s">
        <v>3990</v>
      </c>
      <c r="BM204" s="49" t="s">
        <v>582</v>
      </c>
      <c r="BN204" s="49" t="s">
        <v>582</v>
      </c>
      <c r="BO204" s="49"/>
      <c r="BP204" s="49"/>
      <c r="BQ204" s="116" t="s">
        <v>4267</v>
      </c>
      <c r="BR204" s="116" t="s">
        <v>4267</v>
      </c>
      <c r="BS204" s="116" t="s">
        <v>4346</v>
      </c>
      <c r="BT204" s="116" t="s">
        <v>4346</v>
      </c>
      <c r="BU204" s="2"/>
      <c r="BV204" s="3"/>
      <c r="BW204" s="3"/>
      <c r="BX204" s="3"/>
      <c r="BY204" s="3"/>
    </row>
    <row r="205" spans="1:77" ht="15">
      <c r="A205" s="65" t="s">
        <v>411</v>
      </c>
      <c r="B205" s="66"/>
      <c r="C205" s="66" t="s">
        <v>64</v>
      </c>
      <c r="D205" s="67"/>
      <c r="E205" s="69"/>
      <c r="F205" s="104" t="str">
        <f>HYPERLINK("https://pbs.twimg.com/profile_images/1497519653698031616/u6HZUVly_normal.jpg")</f>
        <v>https://pbs.twimg.com/profile_images/1497519653698031616/u6HZUVly_normal.jpg</v>
      </c>
      <c r="G205" s="66"/>
      <c r="H205" s="70" t="s">
        <v>411</v>
      </c>
      <c r="I205" s="71" t="s">
        <v>4393</v>
      </c>
      <c r="J205" s="71" t="s">
        <v>73</v>
      </c>
      <c r="K205" s="70" t="s">
        <v>2343</v>
      </c>
      <c r="L205" s="74">
        <v>1</v>
      </c>
      <c r="M205" s="75">
        <v>8017.8125</v>
      </c>
      <c r="N205" s="75">
        <v>6641.92724609375</v>
      </c>
      <c r="O205" s="76"/>
      <c r="P205" s="77"/>
      <c r="Q205" s="77"/>
      <c r="R205" s="90"/>
      <c r="S205" s="49">
        <v>0</v>
      </c>
      <c r="T205" s="49">
        <v>1</v>
      </c>
      <c r="U205" s="50">
        <v>0</v>
      </c>
      <c r="V205" s="50">
        <v>0.239313</v>
      </c>
      <c r="W205" s="50">
        <v>0.067769</v>
      </c>
      <c r="X205" s="50">
        <v>0.003151</v>
      </c>
      <c r="Y205" s="50">
        <v>0</v>
      </c>
      <c r="Z205" s="50">
        <v>0</v>
      </c>
      <c r="AA205" s="72">
        <v>205</v>
      </c>
      <c r="AB205" s="72"/>
      <c r="AC205" s="73"/>
      <c r="AD205" s="80" t="s">
        <v>1436</v>
      </c>
      <c r="AE205" s="89" t="s">
        <v>1698</v>
      </c>
      <c r="AF205" s="80">
        <v>320</v>
      </c>
      <c r="AG205" s="80">
        <v>170</v>
      </c>
      <c r="AH205" s="80">
        <v>1340</v>
      </c>
      <c r="AI205" s="80">
        <v>1293</v>
      </c>
      <c r="AJ205" s="80"/>
      <c r="AK205" s="80" t="s">
        <v>1957</v>
      </c>
      <c r="AL205" s="80" t="s">
        <v>2117</v>
      </c>
      <c r="AM205" s="80"/>
      <c r="AN205" s="80"/>
      <c r="AO205" s="82">
        <v>41323.783055555556</v>
      </c>
      <c r="AP205" s="86" t="str">
        <f>HYPERLINK("https://pbs.twimg.com/profile_banners/1194415825/1645871513")</f>
        <v>https://pbs.twimg.com/profile_banners/1194415825/1645871513</v>
      </c>
      <c r="AQ205" s="80" t="b">
        <v>0</v>
      </c>
      <c r="AR205" s="80" t="b">
        <v>0</v>
      </c>
      <c r="AS205" s="80" t="b">
        <v>1</v>
      </c>
      <c r="AT205" s="80"/>
      <c r="AU205" s="80">
        <v>0</v>
      </c>
      <c r="AV205" s="86" t="str">
        <f>HYPERLINK("https://abs.twimg.com/images/themes/theme1/bg.png")</f>
        <v>https://abs.twimg.com/images/themes/theme1/bg.png</v>
      </c>
      <c r="AW205" s="80" t="b">
        <v>0</v>
      </c>
      <c r="AX205" s="80" t="s">
        <v>2141</v>
      </c>
      <c r="AY205" s="86" t="str">
        <f>HYPERLINK("https://twitter.com/pursiainenolli")</f>
        <v>https://twitter.com/pursiainenolli</v>
      </c>
      <c r="AZ205" s="80" t="s">
        <v>66</v>
      </c>
      <c r="BA205" s="80" t="str">
        <f>REPLACE(INDEX(GroupVertices[Group],MATCH(Vertices[[#This Row],[Vertex]],GroupVertices[Vertex],0)),1,1,"")</f>
        <v>1</v>
      </c>
      <c r="BB205" s="49">
        <v>0</v>
      </c>
      <c r="BC205" s="50">
        <v>0</v>
      </c>
      <c r="BD205" s="49">
        <v>0</v>
      </c>
      <c r="BE205" s="50">
        <v>0</v>
      </c>
      <c r="BF205" s="49">
        <v>0</v>
      </c>
      <c r="BG205" s="50">
        <v>0</v>
      </c>
      <c r="BH205" s="49">
        <v>33</v>
      </c>
      <c r="BI205" s="50">
        <v>100</v>
      </c>
      <c r="BJ205" s="49">
        <v>33</v>
      </c>
      <c r="BK205" s="49" t="s">
        <v>3990</v>
      </c>
      <c r="BL205" s="49" t="s">
        <v>3990</v>
      </c>
      <c r="BM205" s="49" t="s">
        <v>582</v>
      </c>
      <c r="BN205" s="49" t="s">
        <v>582</v>
      </c>
      <c r="BO205" s="49"/>
      <c r="BP205" s="49"/>
      <c r="BQ205" s="116" t="s">
        <v>4267</v>
      </c>
      <c r="BR205" s="116" t="s">
        <v>4267</v>
      </c>
      <c r="BS205" s="116" t="s">
        <v>4346</v>
      </c>
      <c r="BT205" s="116" t="s">
        <v>4346</v>
      </c>
      <c r="BU205" s="2"/>
      <c r="BV205" s="3"/>
      <c r="BW205" s="3"/>
      <c r="BX205" s="3"/>
      <c r="BY205" s="3"/>
    </row>
    <row r="206" spans="1:77" ht="15">
      <c r="A206" s="65" t="s">
        <v>412</v>
      </c>
      <c r="B206" s="66"/>
      <c r="C206" s="66" t="s">
        <v>64</v>
      </c>
      <c r="D206" s="67"/>
      <c r="E206" s="69"/>
      <c r="F206" s="104" t="str">
        <f>HYPERLINK("https://pbs.twimg.com/profile_images/1490817185161359361/kyTkYE8__normal.jpg")</f>
        <v>https://pbs.twimg.com/profile_images/1490817185161359361/kyTkYE8__normal.jpg</v>
      </c>
      <c r="G206" s="66"/>
      <c r="H206" s="70" t="s">
        <v>412</v>
      </c>
      <c r="I206" s="71" t="s">
        <v>4393</v>
      </c>
      <c r="J206" s="71" t="s">
        <v>73</v>
      </c>
      <c r="K206" s="70" t="s">
        <v>2344</v>
      </c>
      <c r="L206" s="74">
        <v>1</v>
      </c>
      <c r="M206" s="75">
        <v>7451.0830078125</v>
      </c>
      <c r="N206" s="75">
        <v>8577.6962890625</v>
      </c>
      <c r="O206" s="76"/>
      <c r="P206" s="77"/>
      <c r="Q206" s="77"/>
      <c r="R206" s="90"/>
      <c r="S206" s="49">
        <v>0</v>
      </c>
      <c r="T206" s="49">
        <v>1</v>
      </c>
      <c r="U206" s="50">
        <v>0</v>
      </c>
      <c r="V206" s="50">
        <v>0.239313</v>
      </c>
      <c r="W206" s="50">
        <v>0.067769</v>
      </c>
      <c r="X206" s="50">
        <v>0.003151</v>
      </c>
      <c r="Y206" s="50">
        <v>0</v>
      </c>
      <c r="Z206" s="50">
        <v>0</v>
      </c>
      <c r="AA206" s="72">
        <v>206</v>
      </c>
      <c r="AB206" s="72"/>
      <c r="AC206" s="73"/>
      <c r="AD206" s="80" t="s">
        <v>1437</v>
      </c>
      <c r="AE206" s="89" t="s">
        <v>1699</v>
      </c>
      <c r="AF206" s="80">
        <v>501</v>
      </c>
      <c r="AG206" s="80">
        <v>94</v>
      </c>
      <c r="AH206" s="80">
        <v>2522</v>
      </c>
      <c r="AI206" s="80">
        <v>15183</v>
      </c>
      <c r="AJ206" s="80"/>
      <c r="AK206" s="80" t="s">
        <v>1958</v>
      </c>
      <c r="AL206" s="80" t="s">
        <v>2118</v>
      </c>
      <c r="AM206" s="80"/>
      <c r="AN206" s="80"/>
      <c r="AO206" s="82">
        <v>40900.61819444445</v>
      </c>
      <c r="AP206" s="86" t="str">
        <f>HYPERLINK("https://pbs.twimg.com/profile_banners/444696054/1629570155")</f>
        <v>https://pbs.twimg.com/profile_banners/444696054/1629570155</v>
      </c>
      <c r="AQ206" s="80" t="b">
        <v>1</v>
      </c>
      <c r="AR206" s="80" t="b">
        <v>0</v>
      </c>
      <c r="AS206" s="80" t="b">
        <v>1</v>
      </c>
      <c r="AT206" s="80"/>
      <c r="AU206" s="80">
        <v>4</v>
      </c>
      <c r="AV206" s="86" t="str">
        <f>HYPERLINK("https://abs.twimg.com/images/themes/theme1/bg.png")</f>
        <v>https://abs.twimg.com/images/themes/theme1/bg.png</v>
      </c>
      <c r="AW206" s="80" t="b">
        <v>0</v>
      </c>
      <c r="AX206" s="80" t="s">
        <v>2141</v>
      </c>
      <c r="AY206" s="86" t="str">
        <f>HYPERLINK("https://twitter.com/korrud")</f>
        <v>https://twitter.com/korrud</v>
      </c>
      <c r="AZ206" s="80" t="s">
        <v>66</v>
      </c>
      <c r="BA206" s="80" t="str">
        <f>REPLACE(INDEX(GroupVertices[Group],MATCH(Vertices[[#This Row],[Vertex]],GroupVertices[Vertex],0)),1,1,"")</f>
        <v>1</v>
      </c>
      <c r="BB206" s="49">
        <v>0</v>
      </c>
      <c r="BC206" s="50">
        <v>0</v>
      </c>
      <c r="BD206" s="49">
        <v>0</v>
      </c>
      <c r="BE206" s="50">
        <v>0</v>
      </c>
      <c r="BF206" s="49">
        <v>0</v>
      </c>
      <c r="BG206" s="50">
        <v>0</v>
      </c>
      <c r="BH206" s="49">
        <v>33</v>
      </c>
      <c r="BI206" s="50">
        <v>100</v>
      </c>
      <c r="BJ206" s="49">
        <v>33</v>
      </c>
      <c r="BK206" s="49" t="s">
        <v>3990</v>
      </c>
      <c r="BL206" s="49" t="s">
        <v>3990</v>
      </c>
      <c r="BM206" s="49" t="s">
        <v>582</v>
      </c>
      <c r="BN206" s="49" t="s">
        <v>582</v>
      </c>
      <c r="BO206" s="49"/>
      <c r="BP206" s="49"/>
      <c r="BQ206" s="116" t="s">
        <v>4267</v>
      </c>
      <c r="BR206" s="116" t="s">
        <v>4267</v>
      </c>
      <c r="BS206" s="116" t="s">
        <v>4346</v>
      </c>
      <c r="BT206" s="116" t="s">
        <v>4346</v>
      </c>
      <c r="BU206" s="2"/>
      <c r="BV206" s="3"/>
      <c r="BW206" s="3"/>
      <c r="BX206" s="3"/>
      <c r="BY206" s="3"/>
    </row>
    <row r="207" spans="1:77" ht="15">
      <c r="A207" s="65" t="s">
        <v>413</v>
      </c>
      <c r="B207" s="66"/>
      <c r="C207" s="66" t="s">
        <v>64</v>
      </c>
      <c r="D207" s="67"/>
      <c r="E207" s="69"/>
      <c r="F207" s="104" t="str">
        <f>HYPERLINK("https://pbs.twimg.com/profile_images/1490322032139059201/CK0IVjn5_normal.jpg")</f>
        <v>https://pbs.twimg.com/profile_images/1490322032139059201/CK0IVjn5_normal.jpg</v>
      </c>
      <c r="G207" s="66"/>
      <c r="H207" s="70" t="s">
        <v>413</v>
      </c>
      <c r="I207" s="71" t="s">
        <v>4393</v>
      </c>
      <c r="J207" s="71" t="s">
        <v>73</v>
      </c>
      <c r="K207" s="70" t="s">
        <v>2345</v>
      </c>
      <c r="L207" s="74">
        <v>1</v>
      </c>
      <c r="M207" s="75">
        <v>4647.00146484375</v>
      </c>
      <c r="N207" s="75">
        <v>9247.814453125</v>
      </c>
      <c r="O207" s="76"/>
      <c r="P207" s="77"/>
      <c r="Q207" s="77"/>
      <c r="R207" s="90"/>
      <c r="S207" s="49">
        <v>0</v>
      </c>
      <c r="T207" s="49">
        <v>1</v>
      </c>
      <c r="U207" s="50">
        <v>0</v>
      </c>
      <c r="V207" s="50">
        <v>0.239313</v>
      </c>
      <c r="W207" s="50">
        <v>0.067769</v>
      </c>
      <c r="X207" s="50">
        <v>0.003151</v>
      </c>
      <c r="Y207" s="50">
        <v>0</v>
      </c>
      <c r="Z207" s="50">
        <v>0</v>
      </c>
      <c r="AA207" s="72">
        <v>207</v>
      </c>
      <c r="AB207" s="72"/>
      <c r="AC207" s="73"/>
      <c r="AD207" s="80" t="s">
        <v>1438</v>
      </c>
      <c r="AE207" s="89" t="s">
        <v>1700</v>
      </c>
      <c r="AF207" s="80">
        <v>595</v>
      </c>
      <c r="AG207" s="80">
        <v>753</v>
      </c>
      <c r="AH207" s="80">
        <v>2478</v>
      </c>
      <c r="AI207" s="80">
        <v>27178</v>
      </c>
      <c r="AJ207" s="80"/>
      <c r="AK207" s="80" t="s">
        <v>1959</v>
      </c>
      <c r="AL207" s="80" t="s">
        <v>2119</v>
      </c>
      <c r="AM207" s="86" t="str">
        <f>HYPERLINK("https://t.co/HUoRJ2g8i6")</f>
        <v>https://t.co/HUoRJ2g8i6</v>
      </c>
      <c r="AN207" s="80"/>
      <c r="AO207" s="82">
        <v>43305.021585648145</v>
      </c>
      <c r="AP207" s="86" t="str">
        <f>HYPERLINK("https://pbs.twimg.com/profile_banners/1021553319511252997/1631803570")</f>
        <v>https://pbs.twimg.com/profile_banners/1021553319511252997/1631803570</v>
      </c>
      <c r="AQ207" s="80" t="b">
        <v>0</v>
      </c>
      <c r="AR207" s="80" t="b">
        <v>0</v>
      </c>
      <c r="AS207" s="80" t="b">
        <v>1</v>
      </c>
      <c r="AT207" s="80"/>
      <c r="AU207" s="80">
        <v>1</v>
      </c>
      <c r="AV207" s="86" t="str">
        <f>HYPERLINK("https://abs.twimg.com/images/themes/theme1/bg.png")</f>
        <v>https://abs.twimg.com/images/themes/theme1/bg.png</v>
      </c>
      <c r="AW207" s="80" t="b">
        <v>0</v>
      </c>
      <c r="AX207" s="80" t="s">
        <v>2141</v>
      </c>
      <c r="AY207" s="86" t="str">
        <f>HYPERLINK("https://twitter.com/ctikerpuu")</f>
        <v>https://twitter.com/ctikerpuu</v>
      </c>
      <c r="AZ207" s="80" t="s">
        <v>66</v>
      </c>
      <c r="BA207" s="80" t="str">
        <f>REPLACE(INDEX(GroupVertices[Group],MATCH(Vertices[[#This Row],[Vertex]],GroupVertices[Vertex],0)),1,1,"")</f>
        <v>1</v>
      </c>
      <c r="BB207" s="49">
        <v>0</v>
      </c>
      <c r="BC207" s="50">
        <v>0</v>
      </c>
      <c r="BD207" s="49">
        <v>0</v>
      </c>
      <c r="BE207" s="50">
        <v>0</v>
      </c>
      <c r="BF207" s="49">
        <v>0</v>
      </c>
      <c r="BG207" s="50">
        <v>0</v>
      </c>
      <c r="BH207" s="49">
        <v>33</v>
      </c>
      <c r="BI207" s="50">
        <v>100</v>
      </c>
      <c r="BJ207" s="49">
        <v>33</v>
      </c>
      <c r="BK207" s="49" t="s">
        <v>3990</v>
      </c>
      <c r="BL207" s="49" t="s">
        <v>3990</v>
      </c>
      <c r="BM207" s="49" t="s">
        <v>582</v>
      </c>
      <c r="BN207" s="49" t="s">
        <v>582</v>
      </c>
      <c r="BO207" s="49"/>
      <c r="BP207" s="49"/>
      <c r="BQ207" s="116" t="s">
        <v>4267</v>
      </c>
      <c r="BR207" s="116" t="s">
        <v>4267</v>
      </c>
      <c r="BS207" s="116" t="s">
        <v>4346</v>
      </c>
      <c r="BT207" s="116" t="s">
        <v>4346</v>
      </c>
      <c r="BU207" s="2"/>
      <c r="BV207" s="3"/>
      <c r="BW207" s="3"/>
      <c r="BX207" s="3"/>
      <c r="BY207" s="3"/>
    </row>
    <row r="208" spans="1:77" ht="15">
      <c r="A208" s="65" t="s">
        <v>414</v>
      </c>
      <c r="B208" s="66"/>
      <c r="C208" s="66" t="s">
        <v>64</v>
      </c>
      <c r="D208" s="67"/>
      <c r="E208" s="69"/>
      <c r="F208" s="104" t="str">
        <f>HYPERLINK("https://pbs.twimg.com/profile_images/1383746473393725442/lDUAwDP4_normal.jpg")</f>
        <v>https://pbs.twimg.com/profile_images/1383746473393725442/lDUAwDP4_normal.jpg</v>
      </c>
      <c r="G208" s="66"/>
      <c r="H208" s="70" t="s">
        <v>414</v>
      </c>
      <c r="I208" s="71" t="s">
        <v>4393</v>
      </c>
      <c r="J208" s="71" t="s">
        <v>73</v>
      </c>
      <c r="K208" s="70" t="s">
        <v>2346</v>
      </c>
      <c r="L208" s="74">
        <v>1</v>
      </c>
      <c r="M208" s="75">
        <v>3674.868408203125</v>
      </c>
      <c r="N208" s="75">
        <v>6093.3056640625</v>
      </c>
      <c r="O208" s="76"/>
      <c r="P208" s="77"/>
      <c r="Q208" s="77"/>
      <c r="R208" s="90"/>
      <c r="S208" s="49">
        <v>0</v>
      </c>
      <c r="T208" s="49">
        <v>1</v>
      </c>
      <c r="U208" s="50">
        <v>0</v>
      </c>
      <c r="V208" s="50">
        <v>0.239313</v>
      </c>
      <c r="W208" s="50">
        <v>0.067769</v>
      </c>
      <c r="X208" s="50">
        <v>0.003151</v>
      </c>
      <c r="Y208" s="50">
        <v>0</v>
      </c>
      <c r="Z208" s="50">
        <v>0</v>
      </c>
      <c r="AA208" s="72">
        <v>208</v>
      </c>
      <c r="AB208" s="72"/>
      <c r="AC208" s="73"/>
      <c r="AD208" s="80" t="s">
        <v>1439</v>
      </c>
      <c r="AE208" s="89" t="s">
        <v>1701</v>
      </c>
      <c r="AF208" s="80">
        <v>1030</v>
      </c>
      <c r="AG208" s="80">
        <v>1459</v>
      </c>
      <c r="AH208" s="80">
        <v>17608</v>
      </c>
      <c r="AI208" s="80">
        <v>44237</v>
      </c>
      <c r="AJ208" s="80"/>
      <c r="AK208" s="80" t="s">
        <v>1960</v>
      </c>
      <c r="AL208" s="80" t="s">
        <v>2042</v>
      </c>
      <c r="AM208" s="80"/>
      <c r="AN208" s="80"/>
      <c r="AO208" s="82">
        <v>39845.73806712963</v>
      </c>
      <c r="AP208" s="86" t="str">
        <f>HYPERLINK("https://pbs.twimg.com/profile_banners/19867664/1584706819")</f>
        <v>https://pbs.twimg.com/profile_banners/19867664/1584706819</v>
      </c>
      <c r="AQ208" s="80" t="b">
        <v>0</v>
      </c>
      <c r="AR208" s="80" t="b">
        <v>0</v>
      </c>
      <c r="AS208" s="80" t="b">
        <v>1</v>
      </c>
      <c r="AT208" s="80"/>
      <c r="AU208" s="80">
        <v>13</v>
      </c>
      <c r="AV208" s="86" t="str">
        <f>HYPERLINK("https://abs.twimg.com/images/themes/theme14/bg.gif")</f>
        <v>https://abs.twimg.com/images/themes/theme14/bg.gif</v>
      </c>
      <c r="AW208" s="80" t="b">
        <v>0</v>
      </c>
      <c r="AX208" s="80" t="s">
        <v>2141</v>
      </c>
      <c r="AY208" s="86" t="str">
        <f>HYPERLINK("https://twitter.com/tarjuccia")</f>
        <v>https://twitter.com/tarjuccia</v>
      </c>
      <c r="AZ208" s="80" t="s">
        <v>66</v>
      </c>
      <c r="BA208" s="80" t="str">
        <f>REPLACE(INDEX(GroupVertices[Group],MATCH(Vertices[[#This Row],[Vertex]],GroupVertices[Vertex],0)),1,1,"")</f>
        <v>1</v>
      </c>
      <c r="BB208" s="49">
        <v>0</v>
      </c>
      <c r="BC208" s="50">
        <v>0</v>
      </c>
      <c r="BD208" s="49">
        <v>0</v>
      </c>
      <c r="BE208" s="50">
        <v>0</v>
      </c>
      <c r="BF208" s="49">
        <v>0</v>
      </c>
      <c r="BG208" s="50">
        <v>0</v>
      </c>
      <c r="BH208" s="49">
        <v>33</v>
      </c>
      <c r="BI208" s="50">
        <v>100</v>
      </c>
      <c r="BJ208" s="49">
        <v>33</v>
      </c>
      <c r="BK208" s="49" t="s">
        <v>3990</v>
      </c>
      <c r="BL208" s="49" t="s">
        <v>3990</v>
      </c>
      <c r="BM208" s="49" t="s">
        <v>582</v>
      </c>
      <c r="BN208" s="49" t="s">
        <v>582</v>
      </c>
      <c r="BO208" s="49"/>
      <c r="BP208" s="49"/>
      <c r="BQ208" s="116" t="s">
        <v>4267</v>
      </c>
      <c r="BR208" s="116" t="s">
        <v>4267</v>
      </c>
      <c r="BS208" s="116" t="s">
        <v>4346</v>
      </c>
      <c r="BT208" s="116" t="s">
        <v>4346</v>
      </c>
      <c r="BU208" s="2"/>
      <c r="BV208" s="3"/>
      <c r="BW208" s="3"/>
      <c r="BX208" s="3"/>
      <c r="BY208" s="3"/>
    </row>
    <row r="209" spans="1:77" ht="15">
      <c r="A209" s="65" t="s">
        <v>415</v>
      </c>
      <c r="B209" s="66"/>
      <c r="C209" s="66" t="s">
        <v>64</v>
      </c>
      <c r="D209" s="67"/>
      <c r="E209" s="69"/>
      <c r="F209" s="104" t="str">
        <f>HYPERLINK("https://pbs.twimg.com/profile_images/1494567197368373259/jONG5Ty0_normal.jpg")</f>
        <v>https://pbs.twimg.com/profile_images/1494567197368373259/jONG5Ty0_normal.jpg</v>
      </c>
      <c r="G209" s="66"/>
      <c r="H209" s="70" t="s">
        <v>415</v>
      </c>
      <c r="I209" s="71" t="s">
        <v>4393</v>
      </c>
      <c r="J209" s="71" t="s">
        <v>73</v>
      </c>
      <c r="K209" s="70" t="s">
        <v>2347</v>
      </c>
      <c r="L209" s="74">
        <v>1</v>
      </c>
      <c r="M209" s="75">
        <v>5202.2314453125</v>
      </c>
      <c r="N209" s="75">
        <v>9221.7255859375</v>
      </c>
      <c r="O209" s="76"/>
      <c r="P209" s="77"/>
      <c r="Q209" s="77"/>
      <c r="R209" s="90"/>
      <c r="S209" s="49">
        <v>0</v>
      </c>
      <c r="T209" s="49">
        <v>1</v>
      </c>
      <c r="U209" s="50">
        <v>0</v>
      </c>
      <c r="V209" s="50">
        <v>0.239313</v>
      </c>
      <c r="W209" s="50">
        <v>0.067769</v>
      </c>
      <c r="X209" s="50">
        <v>0.003151</v>
      </c>
      <c r="Y209" s="50">
        <v>0</v>
      </c>
      <c r="Z209" s="50">
        <v>0</v>
      </c>
      <c r="AA209" s="72">
        <v>209</v>
      </c>
      <c r="AB209" s="72"/>
      <c r="AC209" s="73"/>
      <c r="AD209" s="80" t="s">
        <v>1440</v>
      </c>
      <c r="AE209" s="89" t="s">
        <v>1702</v>
      </c>
      <c r="AF209" s="80">
        <v>917</v>
      </c>
      <c r="AG209" s="80">
        <v>565</v>
      </c>
      <c r="AH209" s="80">
        <v>97967</v>
      </c>
      <c r="AI209" s="80">
        <v>101742</v>
      </c>
      <c r="AJ209" s="80"/>
      <c r="AK209" s="80" t="s">
        <v>1961</v>
      </c>
      <c r="AL209" s="80" t="s">
        <v>2120</v>
      </c>
      <c r="AM209" s="80"/>
      <c r="AN209" s="80"/>
      <c r="AO209" s="82">
        <v>41084.466145833336</v>
      </c>
      <c r="AP209" s="86" t="str">
        <f>HYPERLINK("https://pbs.twimg.com/profile_banners/617026639/1408028299")</f>
        <v>https://pbs.twimg.com/profile_banners/617026639/1408028299</v>
      </c>
      <c r="AQ209" s="80" t="b">
        <v>0</v>
      </c>
      <c r="AR209" s="80" t="b">
        <v>0</v>
      </c>
      <c r="AS209" s="80" t="b">
        <v>1</v>
      </c>
      <c r="AT209" s="80"/>
      <c r="AU209" s="80">
        <v>9</v>
      </c>
      <c r="AV209" s="86" t="str">
        <f>HYPERLINK("https://abs.twimg.com/images/themes/theme12/bg.gif")</f>
        <v>https://abs.twimg.com/images/themes/theme12/bg.gif</v>
      </c>
      <c r="AW209" s="80" t="b">
        <v>0</v>
      </c>
      <c r="AX209" s="80" t="s">
        <v>2141</v>
      </c>
      <c r="AY209" s="86" t="str">
        <f>HYPERLINK("https://twitter.com/harhanuoli")</f>
        <v>https://twitter.com/harhanuoli</v>
      </c>
      <c r="AZ209" s="80" t="s">
        <v>66</v>
      </c>
      <c r="BA209" s="80" t="str">
        <f>REPLACE(INDEX(GroupVertices[Group],MATCH(Vertices[[#This Row],[Vertex]],GroupVertices[Vertex],0)),1,1,"")</f>
        <v>1</v>
      </c>
      <c r="BB209" s="49">
        <v>0</v>
      </c>
      <c r="BC209" s="50">
        <v>0</v>
      </c>
      <c r="BD209" s="49">
        <v>0</v>
      </c>
      <c r="BE209" s="50">
        <v>0</v>
      </c>
      <c r="BF209" s="49">
        <v>0</v>
      </c>
      <c r="BG209" s="50">
        <v>0</v>
      </c>
      <c r="BH209" s="49">
        <v>33</v>
      </c>
      <c r="BI209" s="50">
        <v>100</v>
      </c>
      <c r="BJ209" s="49">
        <v>33</v>
      </c>
      <c r="BK209" s="49" t="s">
        <v>3990</v>
      </c>
      <c r="BL209" s="49" t="s">
        <v>3990</v>
      </c>
      <c r="BM209" s="49" t="s">
        <v>582</v>
      </c>
      <c r="BN209" s="49" t="s">
        <v>582</v>
      </c>
      <c r="BO209" s="49"/>
      <c r="BP209" s="49"/>
      <c r="BQ209" s="116" t="s">
        <v>4267</v>
      </c>
      <c r="BR209" s="116" t="s">
        <v>4267</v>
      </c>
      <c r="BS209" s="116" t="s">
        <v>4346</v>
      </c>
      <c r="BT209" s="116" t="s">
        <v>4346</v>
      </c>
      <c r="BU209" s="2"/>
      <c r="BV209" s="3"/>
      <c r="BW209" s="3"/>
      <c r="BX209" s="3"/>
      <c r="BY209" s="3"/>
    </row>
    <row r="210" spans="1:77" ht="15">
      <c r="A210" s="65" t="s">
        <v>416</v>
      </c>
      <c r="B210" s="66"/>
      <c r="C210" s="66" t="s">
        <v>64</v>
      </c>
      <c r="D210" s="67"/>
      <c r="E210" s="69"/>
      <c r="F210" s="104" t="str">
        <f>HYPERLINK("https://pbs.twimg.com/profile_images/446925740592742400/GtC-m7bf_normal.jpeg")</f>
        <v>https://pbs.twimg.com/profile_images/446925740592742400/GtC-m7bf_normal.jpeg</v>
      </c>
      <c r="G210" s="66"/>
      <c r="H210" s="70" t="s">
        <v>416</v>
      </c>
      <c r="I210" s="71" t="s">
        <v>4393</v>
      </c>
      <c r="J210" s="71" t="s">
        <v>73</v>
      </c>
      <c r="K210" s="70" t="s">
        <v>2348</v>
      </c>
      <c r="L210" s="74">
        <v>1</v>
      </c>
      <c r="M210" s="75">
        <v>2965.1396484375</v>
      </c>
      <c r="N210" s="75">
        <v>7592.1298828125</v>
      </c>
      <c r="O210" s="76"/>
      <c r="P210" s="77"/>
      <c r="Q210" s="77"/>
      <c r="R210" s="90"/>
      <c r="S210" s="49">
        <v>0</v>
      </c>
      <c r="T210" s="49">
        <v>1</v>
      </c>
      <c r="U210" s="50">
        <v>0</v>
      </c>
      <c r="V210" s="50">
        <v>0.239313</v>
      </c>
      <c r="W210" s="50">
        <v>0.067769</v>
      </c>
      <c r="X210" s="50">
        <v>0.003151</v>
      </c>
      <c r="Y210" s="50">
        <v>0</v>
      </c>
      <c r="Z210" s="50">
        <v>0</v>
      </c>
      <c r="AA210" s="72">
        <v>210</v>
      </c>
      <c r="AB210" s="72"/>
      <c r="AC210" s="73"/>
      <c r="AD210" s="80" t="s">
        <v>1441</v>
      </c>
      <c r="AE210" s="89" t="s">
        <v>1703</v>
      </c>
      <c r="AF210" s="80">
        <v>507</v>
      </c>
      <c r="AG210" s="80">
        <v>83</v>
      </c>
      <c r="AH210" s="80">
        <v>824</v>
      </c>
      <c r="AI210" s="80">
        <v>1060</v>
      </c>
      <c r="AJ210" s="80"/>
      <c r="AK210" s="80" t="s">
        <v>1962</v>
      </c>
      <c r="AL210" s="80" t="s">
        <v>2121</v>
      </c>
      <c r="AM210" s="80"/>
      <c r="AN210" s="80"/>
      <c r="AO210" s="82">
        <v>39943.53365740741</v>
      </c>
      <c r="AP210" s="86" t="str">
        <f>HYPERLINK("https://pbs.twimg.com/profile_banners/39041135/1407315235")</f>
        <v>https://pbs.twimg.com/profile_banners/39041135/1407315235</v>
      </c>
      <c r="AQ210" s="80" t="b">
        <v>0</v>
      </c>
      <c r="AR210" s="80" t="b">
        <v>0</v>
      </c>
      <c r="AS210" s="80" t="b">
        <v>0</v>
      </c>
      <c r="AT210" s="80"/>
      <c r="AU210" s="80">
        <v>3</v>
      </c>
      <c r="AV210" s="86" t="str">
        <f>HYPERLINK("https://abs.twimg.com/images/themes/theme5/bg.gif")</f>
        <v>https://abs.twimg.com/images/themes/theme5/bg.gif</v>
      </c>
      <c r="AW210" s="80" t="b">
        <v>0</v>
      </c>
      <c r="AX210" s="80" t="s">
        <v>2141</v>
      </c>
      <c r="AY210" s="86" t="str">
        <f>HYPERLINK("https://twitter.com/hvorne")</f>
        <v>https://twitter.com/hvorne</v>
      </c>
      <c r="AZ210" s="80" t="s">
        <v>66</v>
      </c>
      <c r="BA210" s="80" t="str">
        <f>REPLACE(INDEX(GroupVertices[Group],MATCH(Vertices[[#This Row],[Vertex]],GroupVertices[Vertex],0)),1,1,"")</f>
        <v>1</v>
      </c>
      <c r="BB210" s="49">
        <v>0</v>
      </c>
      <c r="BC210" s="50">
        <v>0</v>
      </c>
      <c r="BD210" s="49">
        <v>0</v>
      </c>
      <c r="BE210" s="50">
        <v>0</v>
      </c>
      <c r="BF210" s="49">
        <v>0</v>
      </c>
      <c r="BG210" s="50">
        <v>0</v>
      </c>
      <c r="BH210" s="49">
        <v>33</v>
      </c>
      <c r="BI210" s="50">
        <v>100</v>
      </c>
      <c r="BJ210" s="49">
        <v>33</v>
      </c>
      <c r="BK210" s="49" t="s">
        <v>3990</v>
      </c>
      <c r="BL210" s="49" t="s">
        <v>3990</v>
      </c>
      <c r="BM210" s="49" t="s">
        <v>582</v>
      </c>
      <c r="BN210" s="49" t="s">
        <v>582</v>
      </c>
      <c r="BO210" s="49"/>
      <c r="BP210" s="49"/>
      <c r="BQ210" s="116" t="s">
        <v>4267</v>
      </c>
      <c r="BR210" s="116" t="s">
        <v>4267</v>
      </c>
      <c r="BS210" s="116" t="s">
        <v>4346</v>
      </c>
      <c r="BT210" s="116" t="s">
        <v>4346</v>
      </c>
      <c r="BU210" s="2"/>
      <c r="BV210" s="3"/>
      <c r="BW210" s="3"/>
      <c r="BX210" s="3"/>
      <c r="BY210" s="3"/>
    </row>
    <row r="211" spans="1:77" ht="15">
      <c r="A211" s="65" t="s">
        <v>417</v>
      </c>
      <c r="B211" s="66"/>
      <c r="C211" s="66" t="s">
        <v>64</v>
      </c>
      <c r="D211" s="67"/>
      <c r="E211" s="69"/>
      <c r="F211" s="104" t="str">
        <f>HYPERLINK("https://pbs.twimg.com/profile_images/1474484489179045891/2I5gxE0m_normal.jpg")</f>
        <v>https://pbs.twimg.com/profile_images/1474484489179045891/2I5gxE0m_normal.jpg</v>
      </c>
      <c r="G211" s="66"/>
      <c r="H211" s="70" t="s">
        <v>417</v>
      </c>
      <c r="I211" s="71" t="s">
        <v>4393</v>
      </c>
      <c r="J211" s="71" t="s">
        <v>73</v>
      </c>
      <c r="K211" s="70" t="s">
        <v>2349</v>
      </c>
      <c r="L211" s="74">
        <v>1</v>
      </c>
      <c r="M211" s="75">
        <v>6528.52587890625</v>
      </c>
      <c r="N211" s="75">
        <v>5739.70166015625</v>
      </c>
      <c r="O211" s="76"/>
      <c r="P211" s="77"/>
      <c r="Q211" s="77"/>
      <c r="R211" s="90"/>
      <c r="S211" s="49">
        <v>0</v>
      </c>
      <c r="T211" s="49">
        <v>1</v>
      </c>
      <c r="U211" s="50">
        <v>0</v>
      </c>
      <c r="V211" s="50">
        <v>0.239313</v>
      </c>
      <c r="W211" s="50">
        <v>0.067769</v>
      </c>
      <c r="X211" s="50">
        <v>0.003151</v>
      </c>
      <c r="Y211" s="50">
        <v>0</v>
      </c>
      <c r="Z211" s="50">
        <v>0</v>
      </c>
      <c r="AA211" s="72">
        <v>211</v>
      </c>
      <c r="AB211" s="72"/>
      <c r="AC211" s="73"/>
      <c r="AD211" s="80" t="s">
        <v>1442</v>
      </c>
      <c r="AE211" s="89" t="s">
        <v>1704</v>
      </c>
      <c r="AF211" s="80">
        <v>405</v>
      </c>
      <c r="AG211" s="80">
        <v>474</v>
      </c>
      <c r="AH211" s="80">
        <v>31221</v>
      </c>
      <c r="AI211" s="80">
        <v>83645</v>
      </c>
      <c r="AJ211" s="80"/>
      <c r="AK211" s="80" t="s">
        <v>1963</v>
      </c>
      <c r="AL211" s="80" t="s">
        <v>1201</v>
      </c>
      <c r="AM211" s="80"/>
      <c r="AN211" s="80"/>
      <c r="AO211" s="82">
        <v>41167.712534722225</v>
      </c>
      <c r="AP211" s="86" t="str">
        <f>HYPERLINK("https://pbs.twimg.com/profile_banners/825617864/1584363084")</f>
        <v>https://pbs.twimg.com/profile_banners/825617864/1584363084</v>
      </c>
      <c r="AQ211" s="80" t="b">
        <v>0</v>
      </c>
      <c r="AR211" s="80" t="b">
        <v>0</v>
      </c>
      <c r="AS211" s="80" t="b">
        <v>1</v>
      </c>
      <c r="AT211" s="80"/>
      <c r="AU211" s="80">
        <v>5</v>
      </c>
      <c r="AV211" s="86" t="str">
        <f>HYPERLINK("https://abs.twimg.com/images/themes/theme8/bg.gif")</f>
        <v>https://abs.twimg.com/images/themes/theme8/bg.gif</v>
      </c>
      <c r="AW211" s="80" t="b">
        <v>0</v>
      </c>
      <c r="AX211" s="80" t="s">
        <v>2141</v>
      </c>
      <c r="AY211" s="86" t="str">
        <f>HYPERLINK("https://twitter.com/ninnu_n")</f>
        <v>https://twitter.com/ninnu_n</v>
      </c>
      <c r="AZ211" s="80" t="s">
        <v>66</v>
      </c>
      <c r="BA211" s="80" t="str">
        <f>REPLACE(INDEX(GroupVertices[Group],MATCH(Vertices[[#This Row],[Vertex]],GroupVertices[Vertex],0)),1,1,"")</f>
        <v>1</v>
      </c>
      <c r="BB211" s="49">
        <v>0</v>
      </c>
      <c r="BC211" s="50">
        <v>0</v>
      </c>
      <c r="BD211" s="49">
        <v>0</v>
      </c>
      <c r="BE211" s="50">
        <v>0</v>
      </c>
      <c r="BF211" s="49">
        <v>0</v>
      </c>
      <c r="BG211" s="50">
        <v>0</v>
      </c>
      <c r="BH211" s="49">
        <v>33</v>
      </c>
      <c r="BI211" s="50">
        <v>100</v>
      </c>
      <c r="BJ211" s="49">
        <v>33</v>
      </c>
      <c r="BK211" s="49" t="s">
        <v>3990</v>
      </c>
      <c r="BL211" s="49" t="s">
        <v>3990</v>
      </c>
      <c r="BM211" s="49" t="s">
        <v>582</v>
      </c>
      <c r="BN211" s="49" t="s">
        <v>582</v>
      </c>
      <c r="BO211" s="49"/>
      <c r="BP211" s="49"/>
      <c r="BQ211" s="116" t="s">
        <v>4267</v>
      </c>
      <c r="BR211" s="116" t="s">
        <v>4267</v>
      </c>
      <c r="BS211" s="116" t="s">
        <v>4346</v>
      </c>
      <c r="BT211" s="116" t="s">
        <v>4346</v>
      </c>
      <c r="BU211" s="2"/>
      <c r="BV211" s="3"/>
      <c r="BW211" s="3"/>
      <c r="BX211" s="3"/>
      <c r="BY211" s="3"/>
    </row>
    <row r="212" spans="1:77" ht="15">
      <c r="A212" s="65" t="s">
        <v>418</v>
      </c>
      <c r="B212" s="66"/>
      <c r="C212" s="66" t="s">
        <v>64</v>
      </c>
      <c r="D212" s="67"/>
      <c r="E212" s="69"/>
      <c r="F212" s="104" t="str">
        <f>HYPERLINK("https://pbs.twimg.com/profile_images/779805251243212804/jS9s_ajc_normal.jpg")</f>
        <v>https://pbs.twimg.com/profile_images/779805251243212804/jS9s_ajc_normal.jpg</v>
      </c>
      <c r="G212" s="66"/>
      <c r="H212" s="70" t="s">
        <v>418</v>
      </c>
      <c r="I212" s="71" t="s">
        <v>4393</v>
      </c>
      <c r="J212" s="71" t="s">
        <v>73</v>
      </c>
      <c r="K212" s="70" t="s">
        <v>2350</v>
      </c>
      <c r="L212" s="74">
        <v>1</v>
      </c>
      <c r="M212" s="75">
        <v>4528.80908203125</v>
      </c>
      <c r="N212" s="75">
        <v>5158.87548828125</v>
      </c>
      <c r="O212" s="76"/>
      <c r="P212" s="77"/>
      <c r="Q212" s="77"/>
      <c r="R212" s="90"/>
      <c r="S212" s="49">
        <v>0</v>
      </c>
      <c r="T212" s="49">
        <v>1</v>
      </c>
      <c r="U212" s="50">
        <v>0</v>
      </c>
      <c r="V212" s="50">
        <v>0.239313</v>
      </c>
      <c r="W212" s="50">
        <v>0.067769</v>
      </c>
      <c r="X212" s="50">
        <v>0.003151</v>
      </c>
      <c r="Y212" s="50">
        <v>0</v>
      </c>
      <c r="Z212" s="50">
        <v>0</v>
      </c>
      <c r="AA212" s="72">
        <v>212</v>
      </c>
      <c r="AB212" s="72"/>
      <c r="AC212" s="73"/>
      <c r="AD212" s="80" t="s">
        <v>1443</v>
      </c>
      <c r="AE212" s="89" t="s">
        <v>1705</v>
      </c>
      <c r="AF212" s="80">
        <v>1979</v>
      </c>
      <c r="AG212" s="80">
        <v>1462</v>
      </c>
      <c r="AH212" s="80">
        <v>7911</v>
      </c>
      <c r="AI212" s="80">
        <v>14642</v>
      </c>
      <c r="AJ212" s="80"/>
      <c r="AK212" s="80" t="s">
        <v>1964</v>
      </c>
      <c r="AL212" s="80" t="s">
        <v>2039</v>
      </c>
      <c r="AM212" s="86" t="str">
        <f>HYPERLINK("https://t.co/lsHGTEusF2")</f>
        <v>https://t.co/lsHGTEusF2</v>
      </c>
      <c r="AN212" s="80"/>
      <c r="AO212" s="82">
        <v>39911.49474537037</v>
      </c>
      <c r="AP212" s="86" t="str">
        <f>HYPERLINK("https://pbs.twimg.com/profile_banners/29697753/1619349126")</f>
        <v>https://pbs.twimg.com/profile_banners/29697753/1619349126</v>
      </c>
      <c r="AQ212" s="80" t="b">
        <v>0</v>
      </c>
      <c r="AR212" s="80" t="b">
        <v>0</v>
      </c>
      <c r="AS212" s="80" t="b">
        <v>1</v>
      </c>
      <c r="AT212" s="80"/>
      <c r="AU212" s="80">
        <v>35</v>
      </c>
      <c r="AV212" s="86" t="str">
        <f>HYPERLINK("https://abs.twimg.com/images/themes/theme14/bg.gif")</f>
        <v>https://abs.twimg.com/images/themes/theme14/bg.gif</v>
      </c>
      <c r="AW212" s="80" t="b">
        <v>0</v>
      </c>
      <c r="AX212" s="80" t="s">
        <v>2141</v>
      </c>
      <c r="AY212" s="86" t="str">
        <f>HYPERLINK("https://twitter.com/tiinarytky")</f>
        <v>https://twitter.com/tiinarytky</v>
      </c>
      <c r="AZ212" s="80" t="s">
        <v>66</v>
      </c>
      <c r="BA212" s="80" t="str">
        <f>REPLACE(INDEX(GroupVertices[Group],MATCH(Vertices[[#This Row],[Vertex]],GroupVertices[Vertex],0)),1,1,"")</f>
        <v>1</v>
      </c>
      <c r="BB212" s="49">
        <v>0</v>
      </c>
      <c r="BC212" s="50">
        <v>0</v>
      </c>
      <c r="BD212" s="49">
        <v>0</v>
      </c>
      <c r="BE212" s="50">
        <v>0</v>
      </c>
      <c r="BF212" s="49">
        <v>0</v>
      </c>
      <c r="BG212" s="50">
        <v>0</v>
      </c>
      <c r="BH212" s="49">
        <v>33</v>
      </c>
      <c r="BI212" s="50">
        <v>100</v>
      </c>
      <c r="BJ212" s="49">
        <v>33</v>
      </c>
      <c r="BK212" s="49" t="s">
        <v>3990</v>
      </c>
      <c r="BL212" s="49" t="s">
        <v>3990</v>
      </c>
      <c r="BM212" s="49" t="s">
        <v>582</v>
      </c>
      <c r="BN212" s="49" t="s">
        <v>582</v>
      </c>
      <c r="BO212" s="49"/>
      <c r="BP212" s="49"/>
      <c r="BQ212" s="116" t="s">
        <v>4267</v>
      </c>
      <c r="BR212" s="116" t="s">
        <v>4267</v>
      </c>
      <c r="BS212" s="116" t="s">
        <v>4346</v>
      </c>
      <c r="BT212" s="116" t="s">
        <v>4346</v>
      </c>
      <c r="BU212" s="2"/>
      <c r="BV212" s="3"/>
      <c r="BW212" s="3"/>
      <c r="BX212" s="3"/>
      <c r="BY212" s="3"/>
    </row>
    <row r="213" spans="1:77" ht="15">
      <c r="A213" s="65" t="s">
        <v>419</v>
      </c>
      <c r="B213" s="66"/>
      <c r="C213" s="66" t="s">
        <v>64</v>
      </c>
      <c r="D213" s="67"/>
      <c r="E213" s="69"/>
      <c r="F213" s="104" t="str">
        <f>HYPERLINK("https://pbs.twimg.com/profile_images/1477746807174225931/5ZEH0SHQ_normal.jpg")</f>
        <v>https://pbs.twimg.com/profile_images/1477746807174225931/5ZEH0SHQ_normal.jpg</v>
      </c>
      <c r="G213" s="66"/>
      <c r="H213" s="70" t="s">
        <v>419</v>
      </c>
      <c r="I213" s="71" t="s">
        <v>4393</v>
      </c>
      <c r="J213" s="71" t="s">
        <v>73</v>
      </c>
      <c r="K213" s="70" t="s">
        <v>2351</v>
      </c>
      <c r="L213" s="74">
        <v>1</v>
      </c>
      <c r="M213" s="75">
        <v>6234.5439453125</v>
      </c>
      <c r="N213" s="75">
        <v>6425.568359375</v>
      </c>
      <c r="O213" s="76"/>
      <c r="P213" s="77"/>
      <c r="Q213" s="77"/>
      <c r="R213" s="90"/>
      <c r="S213" s="49">
        <v>0</v>
      </c>
      <c r="T213" s="49">
        <v>1</v>
      </c>
      <c r="U213" s="50">
        <v>0</v>
      </c>
      <c r="V213" s="50">
        <v>0.239313</v>
      </c>
      <c r="W213" s="50">
        <v>0.067769</v>
      </c>
      <c r="X213" s="50">
        <v>0.003151</v>
      </c>
      <c r="Y213" s="50">
        <v>0</v>
      </c>
      <c r="Z213" s="50">
        <v>0</v>
      </c>
      <c r="AA213" s="72">
        <v>213</v>
      </c>
      <c r="AB213" s="72"/>
      <c r="AC213" s="73"/>
      <c r="AD213" s="80" t="s">
        <v>1444</v>
      </c>
      <c r="AE213" s="89" t="s">
        <v>1706</v>
      </c>
      <c r="AF213" s="80">
        <v>324</v>
      </c>
      <c r="AG213" s="80">
        <v>382</v>
      </c>
      <c r="AH213" s="80">
        <v>18855</v>
      </c>
      <c r="AI213" s="80">
        <v>108804</v>
      </c>
      <c r="AJ213" s="80"/>
      <c r="AK213" s="80" t="s">
        <v>1965</v>
      </c>
      <c r="AL213" s="80" t="s">
        <v>1201</v>
      </c>
      <c r="AM213" s="86" t="str">
        <f>HYPERLINK("https://t.co/QsRRuWlUWW")</f>
        <v>https://t.co/QsRRuWlUWW</v>
      </c>
      <c r="AN213" s="80"/>
      <c r="AO213" s="82">
        <v>42370.80229166667</v>
      </c>
      <c r="AP213" s="86" t="str">
        <f>HYPERLINK("https://pbs.twimg.com/profile_banners/4691110728/1580398033")</f>
        <v>https://pbs.twimg.com/profile_banners/4691110728/1580398033</v>
      </c>
      <c r="AQ213" s="80" t="b">
        <v>0</v>
      </c>
      <c r="AR213" s="80" t="b">
        <v>0</v>
      </c>
      <c r="AS213" s="80" t="b">
        <v>0</v>
      </c>
      <c r="AT213" s="80"/>
      <c r="AU213" s="80">
        <v>2</v>
      </c>
      <c r="AV213" s="86" t="str">
        <f>HYPERLINK("https://abs.twimg.com/images/themes/theme1/bg.png")</f>
        <v>https://abs.twimg.com/images/themes/theme1/bg.png</v>
      </c>
      <c r="AW213" s="80" t="b">
        <v>0</v>
      </c>
      <c r="AX213" s="80" t="s">
        <v>2141</v>
      </c>
      <c r="AY213" s="86" t="str">
        <f>HYPERLINK("https://twitter.com/anniilaugh")</f>
        <v>https://twitter.com/anniilaugh</v>
      </c>
      <c r="AZ213" s="80" t="s">
        <v>66</v>
      </c>
      <c r="BA213" s="80" t="str">
        <f>REPLACE(INDEX(GroupVertices[Group],MATCH(Vertices[[#This Row],[Vertex]],GroupVertices[Vertex],0)),1,1,"")</f>
        <v>1</v>
      </c>
      <c r="BB213" s="49">
        <v>0</v>
      </c>
      <c r="BC213" s="50">
        <v>0</v>
      </c>
      <c r="BD213" s="49">
        <v>0</v>
      </c>
      <c r="BE213" s="50">
        <v>0</v>
      </c>
      <c r="BF213" s="49">
        <v>0</v>
      </c>
      <c r="BG213" s="50">
        <v>0</v>
      </c>
      <c r="BH213" s="49">
        <v>33</v>
      </c>
      <c r="BI213" s="50">
        <v>100</v>
      </c>
      <c r="BJ213" s="49">
        <v>33</v>
      </c>
      <c r="BK213" s="49" t="s">
        <v>3990</v>
      </c>
      <c r="BL213" s="49" t="s">
        <v>3990</v>
      </c>
      <c r="BM213" s="49" t="s">
        <v>582</v>
      </c>
      <c r="BN213" s="49" t="s">
        <v>582</v>
      </c>
      <c r="BO213" s="49"/>
      <c r="BP213" s="49"/>
      <c r="BQ213" s="116" t="s">
        <v>4267</v>
      </c>
      <c r="BR213" s="116" t="s">
        <v>4267</v>
      </c>
      <c r="BS213" s="116" t="s">
        <v>4346</v>
      </c>
      <c r="BT213" s="116" t="s">
        <v>4346</v>
      </c>
      <c r="BU213" s="2"/>
      <c r="BV213" s="3"/>
      <c r="BW213" s="3"/>
      <c r="BX213" s="3"/>
      <c r="BY213" s="3"/>
    </row>
    <row r="214" spans="1:77" ht="15">
      <c r="A214" s="65" t="s">
        <v>420</v>
      </c>
      <c r="B214" s="66"/>
      <c r="C214" s="66" t="s">
        <v>64</v>
      </c>
      <c r="D214" s="67"/>
      <c r="E214" s="69"/>
      <c r="F214" s="104" t="str">
        <f>HYPERLINK("https://pbs.twimg.com/profile_images/1447954525206290432/BKQfqhJE_normal.jpg")</f>
        <v>https://pbs.twimg.com/profile_images/1447954525206290432/BKQfqhJE_normal.jpg</v>
      </c>
      <c r="G214" s="66"/>
      <c r="H214" s="70" t="s">
        <v>420</v>
      </c>
      <c r="I214" s="71" t="s">
        <v>4393</v>
      </c>
      <c r="J214" s="71" t="s">
        <v>73</v>
      </c>
      <c r="K214" s="70" t="s">
        <v>2352</v>
      </c>
      <c r="L214" s="74">
        <v>1</v>
      </c>
      <c r="M214" s="75">
        <v>3605.6669921875</v>
      </c>
      <c r="N214" s="75">
        <v>4335.62158203125</v>
      </c>
      <c r="O214" s="76"/>
      <c r="P214" s="77"/>
      <c r="Q214" s="77"/>
      <c r="R214" s="90"/>
      <c r="S214" s="49">
        <v>0</v>
      </c>
      <c r="T214" s="49">
        <v>1</v>
      </c>
      <c r="U214" s="50">
        <v>0</v>
      </c>
      <c r="V214" s="50">
        <v>0.239313</v>
      </c>
      <c r="W214" s="50">
        <v>0.067769</v>
      </c>
      <c r="X214" s="50">
        <v>0.003151</v>
      </c>
      <c r="Y214" s="50">
        <v>0</v>
      </c>
      <c r="Z214" s="50">
        <v>0</v>
      </c>
      <c r="AA214" s="72">
        <v>214</v>
      </c>
      <c r="AB214" s="72"/>
      <c r="AC214" s="73"/>
      <c r="AD214" s="80" t="s">
        <v>1445</v>
      </c>
      <c r="AE214" s="89" t="s">
        <v>1707</v>
      </c>
      <c r="AF214" s="80">
        <v>1366</v>
      </c>
      <c r="AG214" s="80">
        <v>691</v>
      </c>
      <c r="AH214" s="80">
        <v>1931</v>
      </c>
      <c r="AI214" s="80">
        <v>3035</v>
      </c>
      <c r="AJ214" s="80"/>
      <c r="AK214" s="80" t="s">
        <v>1966</v>
      </c>
      <c r="AL214" s="80" t="s">
        <v>2038</v>
      </c>
      <c r="AM214" s="86" t="str">
        <f>HYPERLINK("https://t.co/RluIJMPPrZ")</f>
        <v>https://t.co/RluIJMPPrZ</v>
      </c>
      <c r="AN214" s="80"/>
      <c r="AO214" s="82">
        <v>42272.286886574075</v>
      </c>
      <c r="AP214" s="86" t="str">
        <f>HYPERLINK("https://pbs.twimg.com/profile_banners/3768437357/1533887445")</f>
        <v>https://pbs.twimg.com/profile_banners/3768437357/1533887445</v>
      </c>
      <c r="AQ214" s="80" t="b">
        <v>0</v>
      </c>
      <c r="AR214" s="80" t="b">
        <v>0</v>
      </c>
      <c r="AS214" s="80" t="b">
        <v>1</v>
      </c>
      <c r="AT214" s="80"/>
      <c r="AU214" s="80">
        <v>5</v>
      </c>
      <c r="AV214" s="86" t="str">
        <f>HYPERLINK("https://abs.twimg.com/images/themes/theme1/bg.png")</f>
        <v>https://abs.twimg.com/images/themes/theme1/bg.png</v>
      </c>
      <c r="AW214" s="80" t="b">
        <v>0</v>
      </c>
      <c r="AX214" s="80" t="s">
        <v>2141</v>
      </c>
      <c r="AY214" s="86" t="str">
        <f>HYPERLINK("https://twitter.com/janileinospr")</f>
        <v>https://twitter.com/janileinospr</v>
      </c>
      <c r="AZ214" s="80" t="s">
        <v>66</v>
      </c>
      <c r="BA214" s="80" t="str">
        <f>REPLACE(INDEX(GroupVertices[Group],MATCH(Vertices[[#This Row],[Vertex]],GroupVertices[Vertex],0)),1,1,"")</f>
        <v>1</v>
      </c>
      <c r="BB214" s="49">
        <v>0</v>
      </c>
      <c r="BC214" s="50">
        <v>0</v>
      </c>
      <c r="BD214" s="49">
        <v>0</v>
      </c>
      <c r="BE214" s="50">
        <v>0</v>
      </c>
      <c r="BF214" s="49">
        <v>0</v>
      </c>
      <c r="BG214" s="50">
        <v>0</v>
      </c>
      <c r="BH214" s="49">
        <v>33</v>
      </c>
      <c r="BI214" s="50">
        <v>100</v>
      </c>
      <c r="BJ214" s="49">
        <v>33</v>
      </c>
      <c r="BK214" s="49" t="s">
        <v>3990</v>
      </c>
      <c r="BL214" s="49" t="s">
        <v>3990</v>
      </c>
      <c r="BM214" s="49" t="s">
        <v>582</v>
      </c>
      <c r="BN214" s="49" t="s">
        <v>582</v>
      </c>
      <c r="BO214" s="49"/>
      <c r="BP214" s="49"/>
      <c r="BQ214" s="116" t="s">
        <v>4267</v>
      </c>
      <c r="BR214" s="116" t="s">
        <v>4267</v>
      </c>
      <c r="BS214" s="116" t="s">
        <v>4346</v>
      </c>
      <c r="BT214" s="116" t="s">
        <v>4346</v>
      </c>
      <c r="BU214" s="2"/>
      <c r="BV214" s="3"/>
      <c r="BW214" s="3"/>
      <c r="BX214" s="3"/>
      <c r="BY214" s="3"/>
    </row>
    <row r="215" spans="1:77" ht="15">
      <c r="A215" s="65" t="s">
        <v>421</v>
      </c>
      <c r="B215" s="66"/>
      <c r="C215" s="66" t="s">
        <v>64</v>
      </c>
      <c r="D215" s="67"/>
      <c r="E215" s="69"/>
      <c r="F215" s="104" t="str">
        <f>HYPERLINK("https://pbs.twimg.com/profile_images/1095651909623599104/rz1c1FB__normal.png")</f>
        <v>https://pbs.twimg.com/profile_images/1095651909623599104/rz1c1FB__normal.png</v>
      </c>
      <c r="G215" s="66"/>
      <c r="H215" s="70" t="s">
        <v>421</v>
      </c>
      <c r="I215" s="71" t="s">
        <v>4393</v>
      </c>
      <c r="J215" s="71" t="s">
        <v>73</v>
      </c>
      <c r="K215" s="70" t="s">
        <v>2353</v>
      </c>
      <c r="L215" s="74">
        <v>1</v>
      </c>
      <c r="M215" s="75">
        <v>4819.80029296875</v>
      </c>
      <c r="N215" s="75">
        <v>7934.357421875</v>
      </c>
      <c r="O215" s="76"/>
      <c r="P215" s="77"/>
      <c r="Q215" s="77"/>
      <c r="R215" s="90"/>
      <c r="S215" s="49">
        <v>0</v>
      </c>
      <c r="T215" s="49">
        <v>2</v>
      </c>
      <c r="U215" s="50">
        <v>0</v>
      </c>
      <c r="V215" s="50">
        <v>0.239736</v>
      </c>
      <c r="W215" s="50">
        <v>0.07618</v>
      </c>
      <c r="X215" s="50">
        <v>0.003297</v>
      </c>
      <c r="Y215" s="50">
        <v>0.5</v>
      </c>
      <c r="Z215" s="50">
        <v>0</v>
      </c>
      <c r="AA215" s="72">
        <v>215</v>
      </c>
      <c r="AB215" s="72"/>
      <c r="AC215" s="73"/>
      <c r="AD215" s="80" t="s">
        <v>1446</v>
      </c>
      <c r="AE215" s="89" t="s">
        <v>1708</v>
      </c>
      <c r="AF215" s="80">
        <v>686</v>
      </c>
      <c r="AG215" s="80">
        <v>187</v>
      </c>
      <c r="AH215" s="80">
        <v>603</v>
      </c>
      <c r="AI215" s="80">
        <v>2824</v>
      </c>
      <c r="AJ215" s="80"/>
      <c r="AK215" s="80" t="s">
        <v>1967</v>
      </c>
      <c r="AL215" s="80" t="s">
        <v>2122</v>
      </c>
      <c r="AM215" s="80"/>
      <c r="AN215" s="80"/>
      <c r="AO215" s="82">
        <v>40381.86224537037</v>
      </c>
      <c r="AP215" s="86" t="str">
        <f>HYPERLINK("https://pbs.twimg.com/profile_banners/169641230/1646227363")</f>
        <v>https://pbs.twimg.com/profile_banners/169641230/1646227363</v>
      </c>
      <c r="AQ215" s="80" t="b">
        <v>1</v>
      </c>
      <c r="AR215" s="80" t="b">
        <v>0</v>
      </c>
      <c r="AS215" s="80" t="b">
        <v>0</v>
      </c>
      <c r="AT215" s="80"/>
      <c r="AU215" s="80">
        <v>1</v>
      </c>
      <c r="AV215" s="86" t="str">
        <f>HYPERLINK("https://abs.twimg.com/images/themes/theme1/bg.png")</f>
        <v>https://abs.twimg.com/images/themes/theme1/bg.png</v>
      </c>
      <c r="AW215" s="80" t="b">
        <v>0</v>
      </c>
      <c r="AX215" s="80" t="s">
        <v>2141</v>
      </c>
      <c r="AY215" s="86" t="str">
        <f>HYPERLINK("https://twitter.com/teuvo_moisa")</f>
        <v>https://twitter.com/teuvo_moisa</v>
      </c>
      <c r="AZ215" s="80" t="s">
        <v>66</v>
      </c>
      <c r="BA215" s="80" t="str">
        <f>REPLACE(INDEX(GroupVertices[Group],MATCH(Vertices[[#This Row],[Vertex]],GroupVertices[Vertex],0)),1,1,"")</f>
        <v>1</v>
      </c>
      <c r="BB215" s="49">
        <v>0</v>
      </c>
      <c r="BC215" s="50">
        <v>0</v>
      </c>
      <c r="BD215" s="49">
        <v>0</v>
      </c>
      <c r="BE215" s="50">
        <v>0</v>
      </c>
      <c r="BF215" s="49">
        <v>0</v>
      </c>
      <c r="BG215" s="50">
        <v>0</v>
      </c>
      <c r="BH215" s="49">
        <v>22</v>
      </c>
      <c r="BI215" s="50">
        <v>100</v>
      </c>
      <c r="BJ215" s="49">
        <v>22</v>
      </c>
      <c r="BK215" s="49" t="s">
        <v>3991</v>
      </c>
      <c r="BL215" s="49" t="s">
        <v>3991</v>
      </c>
      <c r="BM215" s="49" t="s">
        <v>580</v>
      </c>
      <c r="BN215" s="49" t="s">
        <v>580</v>
      </c>
      <c r="BO215" s="49" t="s">
        <v>591</v>
      </c>
      <c r="BP215" s="49" t="s">
        <v>591</v>
      </c>
      <c r="BQ215" s="116" t="s">
        <v>4287</v>
      </c>
      <c r="BR215" s="116" t="s">
        <v>4287</v>
      </c>
      <c r="BS215" s="116" t="s">
        <v>4365</v>
      </c>
      <c r="BT215" s="116" t="s">
        <v>4365</v>
      </c>
      <c r="BU215" s="2"/>
      <c r="BV215" s="3"/>
      <c r="BW215" s="3"/>
      <c r="BX215" s="3"/>
      <c r="BY215" s="3"/>
    </row>
    <row r="216" spans="1:77" ht="15">
      <c r="A216" s="65" t="s">
        <v>422</v>
      </c>
      <c r="B216" s="66"/>
      <c r="C216" s="66" t="s">
        <v>64</v>
      </c>
      <c r="D216" s="67"/>
      <c r="E216" s="69"/>
      <c r="F216" s="104" t="str">
        <f>HYPERLINK("https://pbs.twimg.com/profile_images/1404240593853747205/X1lNIY5x_normal.jpg")</f>
        <v>https://pbs.twimg.com/profile_images/1404240593853747205/X1lNIY5x_normal.jpg</v>
      </c>
      <c r="G216" s="66"/>
      <c r="H216" s="70" t="s">
        <v>422</v>
      </c>
      <c r="I216" s="71" t="s">
        <v>4393</v>
      </c>
      <c r="J216" s="71" t="s">
        <v>73</v>
      </c>
      <c r="K216" s="70" t="s">
        <v>2354</v>
      </c>
      <c r="L216" s="74">
        <v>1</v>
      </c>
      <c r="M216" s="75">
        <v>6133.20947265625</v>
      </c>
      <c r="N216" s="75">
        <v>9560.8291015625</v>
      </c>
      <c r="O216" s="76"/>
      <c r="P216" s="77"/>
      <c r="Q216" s="77"/>
      <c r="R216" s="90"/>
      <c r="S216" s="49">
        <v>0</v>
      </c>
      <c r="T216" s="49">
        <v>1</v>
      </c>
      <c r="U216" s="50">
        <v>0</v>
      </c>
      <c r="V216" s="50">
        <v>0.239313</v>
      </c>
      <c r="W216" s="50">
        <v>0.067769</v>
      </c>
      <c r="X216" s="50">
        <v>0.003151</v>
      </c>
      <c r="Y216" s="50">
        <v>0</v>
      </c>
      <c r="Z216" s="50">
        <v>0</v>
      </c>
      <c r="AA216" s="72">
        <v>216</v>
      </c>
      <c r="AB216" s="72"/>
      <c r="AC216" s="73"/>
      <c r="AD216" s="80" t="s">
        <v>1447</v>
      </c>
      <c r="AE216" s="89" t="s">
        <v>1709</v>
      </c>
      <c r="AF216" s="80">
        <v>1994</v>
      </c>
      <c r="AG216" s="80">
        <v>2532</v>
      </c>
      <c r="AH216" s="80">
        <v>33029</v>
      </c>
      <c r="AI216" s="80">
        <v>59425</v>
      </c>
      <c r="AJ216" s="80"/>
      <c r="AK216" s="80" t="s">
        <v>1968</v>
      </c>
      <c r="AL216" s="80"/>
      <c r="AM216" s="80"/>
      <c r="AN216" s="80"/>
      <c r="AO216" s="82">
        <v>41508.54471064815</v>
      </c>
      <c r="AP216" s="86" t="str">
        <f>HYPERLINK("https://pbs.twimg.com/profile_banners/1691043997/1569431688")</f>
        <v>https://pbs.twimg.com/profile_banners/1691043997/1569431688</v>
      </c>
      <c r="AQ216" s="80" t="b">
        <v>1</v>
      </c>
      <c r="AR216" s="80" t="b">
        <v>0</v>
      </c>
      <c r="AS216" s="80" t="b">
        <v>0</v>
      </c>
      <c r="AT216" s="80"/>
      <c r="AU216" s="80">
        <v>8</v>
      </c>
      <c r="AV216" s="86" t="str">
        <f>HYPERLINK("https://abs.twimg.com/images/themes/theme1/bg.png")</f>
        <v>https://abs.twimg.com/images/themes/theme1/bg.png</v>
      </c>
      <c r="AW216" s="80" t="b">
        <v>0</v>
      </c>
      <c r="AX216" s="80" t="s">
        <v>2141</v>
      </c>
      <c r="AY216" s="86" t="str">
        <f>HYPERLINK("https://twitter.com/riikkamarip")</f>
        <v>https://twitter.com/riikkamarip</v>
      </c>
      <c r="AZ216" s="80" t="s">
        <v>66</v>
      </c>
      <c r="BA216" s="80" t="str">
        <f>REPLACE(INDEX(GroupVertices[Group],MATCH(Vertices[[#This Row],[Vertex]],GroupVertices[Vertex],0)),1,1,"")</f>
        <v>1</v>
      </c>
      <c r="BB216" s="49">
        <v>0</v>
      </c>
      <c r="BC216" s="50">
        <v>0</v>
      </c>
      <c r="BD216" s="49">
        <v>0</v>
      </c>
      <c r="BE216" s="50">
        <v>0</v>
      </c>
      <c r="BF216" s="49">
        <v>0</v>
      </c>
      <c r="BG216" s="50">
        <v>0</v>
      </c>
      <c r="BH216" s="49">
        <v>33</v>
      </c>
      <c r="BI216" s="50">
        <v>100</v>
      </c>
      <c r="BJ216" s="49">
        <v>33</v>
      </c>
      <c r="BK216" s="49" t="s">
        <v>3990</v>
      </c>
      <c r="BL216" s="49" t="s">
        <v>3990</v>
      </c>
      <c r="BM216" s="49" t="s">
        <v>582</v>
      </c>
      <c r="BN216" s="49" t="s">
        <v>582</v>
      </c>
      <c r="BO216" s="49"/>
      <c r="BP216" s="49"/>
      <c r="BQ216" s="116" t="s">
        <v>4267</v>
      </c>
      <c r="BR216" s="116" t="s">
        <v>4267</v>
      </c>
      <c r="BS216" s="116" t="s">
        <v>4346</v>
      </c>
      <c r="BT216" s="116" t="s">
        <v>4346</v>
      </c>
      <c r="BU216" s="2"/>
      <c r="BV216" s="3"/>
      <c r="BW216" s="3"/>
      <c r="BX216" s="3"/>
      <c r="BY216" s="3"/>
    </row>
    <row r="217" spans="1:77" ht="15">
      <c r="A217" s="65" t="s">
        <v>423</v>
      </c>
      <c r="B217" s="66"/>
      <c r="C217" s="66" t="s">
        <v>64</v>
      </c>
      <c r="D217" s="67"/>
      <c r="E217" s="69"/>
      <c r="F217" s="104" t="str">
        <f>HYPERLINK("https://pbs.twimg.com/profile_images/1215618528231022592/W-7FaGr2_normal.jpg")</f>
        <v>https://pbs.twimg.com/profile_images/1215618528231022592/W-7FaGr2_normal.jpg</v>
      </c>
      <c r="G217" s="66"/>
      <c r="H217" s="70" t="s">
        <v>423</v>
      </c>
      <c r="I217" s="71" t="s">
        <v>4393</v>
      </c>
      <c r="J217" s="71" t="s">
        <v>73</v>
      </c>
      <c r="K217" s="70" t="s">
        <v>2355</v>
      </c>
      <c r="L217" s="74">
        <v>1</v>
      </c>
      <c r="M217" s="75">
        <v>7726.271484375</v>
      </c>
      <c r="N217" s="75">
        <v>5397.224609375</v>
      </c>
      <c r="O217" s="76"/>
      <c r="P217" s="77"/>
      <c r="Q217" s="77"/>
      <c r="R217" s="90"/>
      <c r="S217" s="49">
        <v>0</v>
      </c>
      <c r="T217" s="49">
        <v>1</v>
      </c>
      <c r="U217" s="50">
        <v>0</v>
      </c>
      <c r="V217" s="50">
        <v>0.239313</v>
      </c>
      <c r="W217" s="50">
        <v>0.067769</v>
      </c>
      <c r="X217" s="50">
        <v>0.003151</v>
      </c>
      <c r="Y217" s="50">
        <v>0</v>
      </c>
      <c r="Z217" s="50">
        <v>0</v>
      </c>
      <c r="AA217" s="72">
        <v>217</v>
      </c>
      <c r="AB217" s="72"/>
      <c r="AC217" s="73"/>
      <c r="AD217" s="80" t="s">
        <v>1448</v>
      </c>
      <c r="AE217" s="89" t="s">
        <v>1710</v>
      </c>
      <c r="AF217" s="80">
        <v>71</v>
      </c>
      <c r="AG217" s="80">
        <v>206</v>
      </c>
      <c r="AH217" s="80">
        <v>1178</v>
      </c>
      <c r="AI217" s="80">
        <v>2623</v>
      </c>
      <c r="AJ217" s="80"/>
      <c r="AK217" s="80" t="s">
        <v>1969</v>
      </c>
      <c r="AL217" s="80" t="s">
        <v>2111</v>
      </c>
      <c r="AM217" s="80"/>
      <c r="AN217" s="80"/>
      <c r="AO217" s="82">
        <v>43840.52783564815</v>
      </c>
      <c r="AP217" s="86" t="str">
        <f>HYPERLINK("https://pbs.twimg.com/profile_banners/1215614019974975490/1583662839")</f>
        <v>https://pbs.twimg.com/profile_banners/1215614019974975490/1583662839</v>
      </c>
      <c r="AQ217" s="80" t="b">
        <v>1</v>
      </c>
      <c r="AR217" s="80" t="b">
        <v>0</v>
      </c>
      <c r="AS217" s="80" t="b">
        <v>0</v>
      </c>
      <c r="AT217" s="80"/>
      <c r="AU217" s="80">
        <v>0</v>
      </c>
      <c r="AV217" s="80"/>
      <c r="AW217" s="80" t="b">
        <v>0</v>
      </c>
      <c r="AX217" s="80" t="s">
        <v>2141</v>
      </c>
      <c r="AY217" s="86" t="str">
        <f>HYPERLINK("https://twitter.com/holmesianna")</f>
        <v>https://twitter.com/holmesianna</v>
      </c>
      <c r="AZ217" s="80" t="s">
        <v>66</v>
      </c>
      <c r="BA217" s="80" t="str">
        <f>REPLACE(INDEX(GroupVertices[Group],MATCH(Vertices[[#This Row],[Vertex]],GroupVertices[Vertex],0)),1,1,"")</f>
        <v>1</v>
      </c>
      <c r="BB217" s="49">
        <v>0</v>
      </c>
      <c r="BC217" s="50">
        <v>0</v>
      </c>
      <c r="BD217" s="49">
        <v>0</v>
      </c>
      <c r="BE217" s="50">
        <v>0</v>
      </c>
      <c r="BF217" s="49">
        <v>0</v>
      </c>
      <c r="BG217" s="50">
        <v>0</v>
      </c>
      <c r="BH217" s="49">
        <v>33</v>
      </c>
      <c r="BI217" s="50">
        <v>100</v>
      </c>
      <c r="BJ217" s="49">
        <v>33</v>
      </c>
      <c r="BK217" s="49" t="s">
        <v>3990</v>
      </c>
      <c r="BL217" s="49" t="s">
        <v>3990</v>
      </c>
      <c r="BM217" s="49" t="s">
        <v>582</v>
      </c>
      <c r="BN217" s="49" t="s">
        <v>582</v>
      </c>
      <c r="BO217" s="49"/>
      <c r="BP217" s="49"/>
      <c r="BQ217" s="116" t="s">
        <v>4267</v>
      </c>
      <c r="BR217" s="116" t="s">
        <v>4267</v>
      </c>
      <c r="BS217" s="116" t="s">
        <v>4346</v>
      </c>
      <c r="BT217" s="116" t="s">
        <v>4346</v>
      </c>
      <c r="BU217" s="2"/>
      <c r="BV217" s="3"/>
      <c r="BW217" s="3"/>
      <c r="BX217" s="3"/>
      <c r="BY217" s="3"/>
    </row>
    <row r="218" spans="1:77" ht="15">
      <c r="A218" s="65" t="s">
        <v>424</v>
      </c>
      <c r="B218" s="66"/>
      <c r="C218" s="66" t="s">
        <v>64</v>
      </c>
      <c r="D218" s="67"/>
      <c r="E218" s="69"/>
      <c r="F218" s="104" t="str">
        <f>HYPERLINK("https://pbs.twimg.com/profile_images/1487884066645020674/qL_y6raC_normal.jpg")</f>
        <v>https://pbs.twimg.com/profile_images/1487884066645020674/qL_y6raC_normal.jpg</v>
      </c>
      <c r="G218" s="66"/>
      <c r="H218" s="70" t="s">
        <v>424</v>
      </c>
      <c r="I218" s="71" t="s">
        <v>4393</v>
      </c>
      <c r="J218" s="71" t="s">
        <v>73</v>
      </c>
      <c r="K218" s="70" t="s">
        <v>2356</v>
      </c>
      <c r="L218" s="74">
        <v>1</v>
      </c>
      <c r="M218" s="75">
        <v>5719.5439453125</v>
      </c>
      <c r="N218" s="75">
        <v>9384.9140625</v>
      </c>
      <c r="O218" s="76"/>
      <c r="P218" s="77"/>
      <c r="Q218" s="77"/>
      <c r="R218" s="90"/>
      <c r="S218" s="49">
        <v>0</v>
      </c>
      <c r="T218" s="49">
        <v>1</v>
      </c>
      <c r="U218" s="50">
        <v>0</v>
      </c>
      <c r="V218" s="50">
        <v>0.239313</v>
      </c>
      <c r="W218" s="50">
        <v>0.067769</v>
      </c>
      <c r="X218" s="50">
        <v>0.003151</v>
      </c>
      <c r="Y218" s="50">
        <v>0</v>
      </c>
      <c r="Z218" s="50">
        <v>0</v>
      </c>
      <c r="AA218" s="72">
        <v>218</v>
      </c>
      <c r="AB218" s="72"/>
      <c r="AC218" s="73"/>
      <c r="AD218" s="80" t="s">
        <v>1449</v>
      </c>
      <c r="AE218" s="89" t="s">
        <v>1711</v>
      </c>
      <c r="AF218" s="80">
        <v>198</v>
      </c>
      <c r="AG218" s="80">
        <v>249</v>
      </c>
      <c r="AH218" s="80">
        <v>15916</v>
      </c>
      <c r="AI218" s="80">
        <v>17282</v>
      </c>
      <c r="AJ218" s="80"/>
      <c r="AK218" s="80" t="s">
        <v>1970</v>
      </c>
      <c r="AL218" s="80" t="s">
        <v>1201</v>
      </c>
      <c r="AM218" s="80"/>
      <c r="AN218" s="80"/>
      <c r="AO218" s="82">
        <v>41566.69175925926</v>
      </c>
      <c r="AP218" s="86" t="str">
        <f>HYPERLINK("https://pbs.twimg.com/profile_banners/1972103712/1638193496")</f>
        <v>https://pbs.twimg.com/profile_banners/1972103712/1638193496</v>
      </c>
      <c r="AQ218" s="80" t="b">
        <v>0</v>
      </c>
      <c r="AR218" s="80" t="b">
        <v>0</v>
      </c>
      <c r="AS218" s="80" t="b">
        <v>1</v>
      </c>
      <c r="AT218" s="80"/>
      <c r="AU218" s="80">
        <v>8</v>
      </c>
      <c r="AV218" s="86" t="str">
        <f>HYPERLINK("https://abs.twimg.com/images/themes/theme14/bg.gif")</f>
        <v>https://abs.twimg.com/images/themes/theme14/bg.gif</v>
      </c>
      <c r="AW218" s="80" t="b">
        <v>0</v>
      </c>
      <c r="AX218" s="80" t="s">
        <v>2141</v>
      </c>
      <c r="AY218" s="86" t="str">
        <f>HYPERLINK("https://twitter.com/menchichannn")</f>
        <v>https://twitter.com/menchichannn</v>
      </c>
      <c r="AZ218" s="80" t="s">
        <v>66</v>
      </c>
      <c r="BA218" s="80" t="str">
        <f>REPLACE(INDEX(GroupVertices[Group],MATCH(Vertices[[#This Row],[Vertex]],GroupVertices[Vertex],0)),1,1,"")</f>
        <v>1</v>
      </c>
      <c r="BB218" s="49">
        <v>0</v>
      </c>
      <c r="BC218" s="50">
        <v>0</v>
      </c>
      <c r="BD218" s="49">
        <v>0</v>
      </c>
      <c r="BE218" s="50">
        <v>0</v>
      </c>
      <c r="BF218" s="49">
        <v>0</v>
      </c>
      <c r="BG218" s="50">
        <v>0</v>
      </c>
      <c r="BH218" s="49">
        <v>33</v>
      </c>
      <c r="BI218" s="50">
        <v>100</v>
      </c>
      <c r="BJ218" s="49">
        <v>33</v>
      </c>
      <c r="BK218" s="49" t="s">
        <v>3990</v>
      </c>
      <c r="BL218" s="49" t="s">
        <v>3990</v>
      </c>
      <c r="BM218" s="49" t="s">
        <v>582</v>
      </c>
      <c r="BN218" s="49" t="s">
        <v>582</v>
      </c>
      <c r="BO218" s="49"/>
      <c r="BP218" s="49"/>
      <c r="BQ218" s="116" t="s">
        <v>4267</v>
      </c>
      <c r="BR218" s="116" t="s">
        <v>4267</v>
      </c>
      <c r="BS218" s="116" t="s">
        <v>4346</v>
      </c>
      <c r="BT218" s="116" t="s">
        <v>4346</v>
      </c>
      <c r="BU218" s="2"/>
      <c r="BV218" s="3"/>
      <c r="BW218" s="3"/>
      <c r="BX218" s="3"/>
      <c r="BY218" s="3"/>
    </row>
    <row r="219" spans="1:77" ht="15">
      <c r="A219" s="65" t="s">
        <v>425</v>
      </c>
      <c r="B219" s="66"/>
      <c r="C219" s="66" t="s">
        <v>64</v>
      </c>
      <c r="D219" s="67"/>
      <c r="E219" s="69"/>
      <c r="F219" s="104" t="str">
        <f>HYPERLINK("https://pbs.twimg.com/profile_images/1477043677792981001/qnGLDEjk_normal.jpg")</f>
        <v>https://pbs.twimg.com/profile_images/1477043677792981001/qnGLDEjk_normal.jpg</v>
      </c>
      <c r="G219" s="66"/>
      <c r="H219" s="70" t="s">
        <v>425</v>
      </c>
      <c r="I219" s="71" t="s">
        <v>4393</v>
      </c>
      <c r="J219" s="71" t="s">
        <v>73</v>
      </c>
      <c r="K219" s="70" t="s">
        <v>2357</v>
      </c>
      <c r="L219" s="74">
        <v>1</v>
      </c>
      <c r="M219" s="75">
        <v>5112.72607421875</v>
      </c>
      <c r="N219" s="75">
        <v>4936.048828125</v>
      </c>
      <c r="O219" s="76"/>
      <c r="P219" s="77"/>
      <c r="Q219" s="77"/>
      <c r="R219" s="90"/>
      <c r="S219" s="49">
        <v>0</v>
      </c>
      <c r="T219" s="49">
        <v>1</v>
      </c>
      <c r="U219" s="50">
        <v>0</v>
      </c>
      <c r="V219" s="50">
        <v>0.239313</v>
      </c>
      <c r="W219" s="50">
        <v>0.067769</v>
      </c>
      <c r="X219" s="50">
        <v>0.003151</v>
      </c>
      <c r="Y219" s="50">
        <v>0</v>
      </c>
      <c r="Z219" s="50">
        <v>0</v>
      </c>
      <c r="AA219" s="72">
        <v>219</v>
      </c>
      <c r="AB219" s="72"/>
      <c r="AC219" s="73"/>
      <c r="AD219" s="80" t="s">
        <v>1450</v>
      </c>
      <c r="AE219" s="89" t="s">
        <v>1712</v>
      </c>
      <c r="AF219" s="80">
        <v>308</v>
      </c>
      <c r="AG219" s="80">
        <v>4708</v>
      </c>
      <c r="AH219" s="80">
        <v>22381</v>
      </c>
      <c r="AI219" s="80">
        <v>21047</v>
      </c>
      <c r="AJ219" s="80"/>
      <c r="AK219" s="80" t="s">
        <v>1971</v>
      </c>
      <c r="AL219" s="80" t="s">
        <v>2123</v>
      </c>
      <c r="AM219" s="86" t="str">
        <f>HYPERLINK("https://t.co/DCSbPJQCKo")</f>
        <v>https://t.co/DCSbPJQCKo</v>
      </c>
      <c r="AN219" s="80"/>
      <c r="AO219" s="82">
        <v>40422.41148148148</v>
      </c>
      <c r="AP219" s="86" t="str">
        <f>HYPERLINK("https://pbs.twimg.com/profile_banners/185578414/1610278532")</f>
        <v>https://pbs.twimg.com/profile_banners/185578414/1610278532</v>
      </c>
      <c r="AQ219" s="80" t="b">
        <v>0</v>
      </c>
      <c r="AR219" s="80" t="b">
        <v>0</v>
      </c>
      <c r="AS219" s="80" t="b">
        <v>1</v>
      </c>
      <c r="AT219" s="80"/>
      <c r="AU219" s="80">
        <v>47</v>
      </c>
      <c r="AV219" s="86" t="str">
        <f>HYPERLINK("https://abs.twimg.com/images/themes/theme9/bg.gif")</f>
        <v>https://abs.twimg.com/images/themes/theme9/bg.gif</v>
      </c>
      <c r="AW219" s="80" t="b">
        <v>0</v>
      </c>
      <c r="AX219" s="80" t="s">
        <v>2141</v>
      </c>
      <c r="AY219" s="86" t="str">
        <f>HYPERLINK("https://twitter.com/kindly_anni")</f>
        <v>https://twitter.com/kindly_anni</v>
      </c>
      <c r="AZ219" s="80" t="s">
        <v>66</v>
      </c>
      <c r="BA219" s="80" t="str">
        <f>REPLACE(INDEX(GroupVertices[Group],MATCH(Vertices[[#This Row],[Vertex]],GroupVertices[Vertex],0)),1,1,"")</f>
        <v>1</v>
      </c>
      <c r="BB219" s="49">
        <v>0</v>
      </c>
      <c r="BC219" s="50">
        <v>0</v>
      </c>
      <c r="BD219" s="49">
        <v>0</v>
      </c>
      <c r="BE219" s="50">
        <v>0</v>
      </c>
      <c r="BF219" s="49">
        <v>0</v>
      </c>
      <c r="BG219" s="50">
        <v>0</v>
      </c>
      <c r="BH219" s="49">
        <v>33</v>
      </c>
      <c r="BI219" s="50">
        <v>100</v>
      </c>
      <c r="BJ219" s="49">
        <v>33</v>
      </c>
      <c r="BK219" s="49" t="s">
        <v>3990</v>
      </c>
      <c r="BL219" s="49" t="s">
        <v>3990</v>
      </c>
      <c r="BM219" s="49" t="s">
        <v>582</v>
      </c>
      <c r="BN219" s="49" t="s">
        <v>582</v>
      </c>
      <c r="BO219" s="49"/>
      <c r="BP219" s="49"/>
      <c r="BQ219" s="116" t="s">
        <v>4267</v>
      </c>
      <c r="BR219" s="116" t="s">
        <v>4267</v>
      </c>
      <c r="BS219" s="116" t="s">
        <v>4346</v>
      </c>
      <c r="BT219" s="116" t="s">
        <v>4346</v>
      </c>
      <c r="BU219" s="2"/>
      <c r="BV219" s="3"/>
      <c r="BW219" s="3"/>
      <c r="BX219" s="3"/>
      <c r="BY219" s="3"/>
    </row>
    <row r="220" spans="1:77" ht="15">
      <c r="A220" s="65" t="s">
        <v>426</v>
      </c>
      <c r="B220" s="66"/>
      <c r="C220" s="66" t="s">
        <v>64</v>
      </c>
      <c r="D220" s="67"/>
      <c r="E220" s="69"/>
      <c r="F220" s="104" t="str">
        <f>HYPERLINK("https://abs.twimg.com/sticky/default_profile_images/default_profile_normal.png")</f>
        <v>https://abs.twimg.com/sticky/default_profile_images/default_profile_normal.png</v>
      </c>
      <c r="G220" s="66"/>
      <c r="H220" s="70" t="s">
        <v>426</v>
      </c>
      <c r="I220" s="71" t="s">
        <v>4393</v>
      </c>
      <c r="J220" s="71" t="s">
        <v>73</v>
      </c>
      <c r="K220" s="70" t="s">
        <v>2358</v>
      </c>
      <c r="L220" s="74">
        <v>1</v>
      </c>
      <c r="M220" s="75">
        <v>6077.0859375</v>
      </c>
      <c r="N220" s="75">
        <v>4040.466796875</v>
      </c>
      <c r="O220" s="76"/>
      <c r="P220" s="77"/>
      <c r="Q220" s="77"/>
      <c r="R220" s="90"/>
      <c r="S220" s="49">
        <v>0</v>
      </c>
      <c r="T220" s="49">
        <v>1</v>
      </c>
      <c r="U220" s="50">
        <v>0</v>
      </c>
      <c r="V220" s="50">
        <v>0.239313</v>
      </c>
      <c r="W220" s="50">
        <v>0.067769</v>
      </c>
      <c r="X220" s="50">
        <v>0.003151</v>
      </c>
      <c r="Y220" s="50">
        <v>0</v>
      </c>
      <c r="Z220" s="50">
        <v>0</v>
      </c>
      <c r="AA220" s="72">
        <v>220</v>
      </c>
      <c r="AB220" s="72"/>
      <c r="AC220" s="73"/>
      <c r="AD220" s="80" t="s">
        <v>1451</v>
      </c>
      <c r="AE220" s="89" t="s">
        <v>1713</v>
      </c>
      <c r="AF220" s="80">
        <v>1124</v>
      </c>
      <c r="AG220" s="80">
        <v>168</v>
      </c>
      <c r="AH220" s="80">
        <v>775</v>
      </c>
      <c r="AI220" s="80">
        <v>921</v>
      </c>
      <c r="AJ220" s="80"/>
      <c r="AK220" s="80" t="s">
        <v>1972</v>
      </c>
      <c r="AL220" s="80"/>
      <c r="AM220" s="80"/>
      <c r="AN220" s="80"/>
      <c r="AO220" s="82">
        <v>43308.3212037037</v>
      </c>
      <c r="AP220" s="80"/>
      <c r="AQ220" s="80" t="b">
        <v>1</v>
      </c>
      <c r="AR220" s="80" t="b">
        <v>1</v>
      </c>
      <c r="AS220" s="80" t="b">
        <v>0</v>
      </c>
      <c r="AT220" s="80"/>
      <c r="AU220" s="80">
        <v>0</v>
      </c>
      <c r="AV220" s="80"/>
      <c r="AW220" s="80" t="b">
        <v>0</v>
      </c>
      <c r="AX220" s="80" t="s">
        <v>2141</v>
      </c>
      <c r="AY220" s="86" t="str">
        <f>HYPERLINK("https://twitter.com/jankoski15")</f>
        <v>https://twitter.com/jankoski15</v>
      </c>
      <c r="AZ220" s="80" t="s">
        <v>66</v>
      </c>
      <c r="BA220" s="80" t="str">
        <f>REPLACE(INDEX(GroupVertices[Group],MATCH(Vertices[[#This Row],[Vertex]],GroupVertices[Vertex],0)),1,1,"")</f>
        <v>1</v>
      </c>
      <c r="BB220" s="49">
        <v>0</v>
      </c>
      <c r="BC220" s="50">
        <v>0</v>
      </c>
      <c r="BD220" s="49">
        <v>0</v>
      </c>
      <c r="BE220" s="50">
        <v>0</v>
      </c>
      <c r="BF220" s="49">
        <v>0</v>
      </c>
      <c r="BG220" s="50">
        <v>0</v>
      </c>
      <c r="BH220" s="49">
        <v>33</v>
      </c>
      <c r="BI220" s="50">
        <v>100</v>
      </c>
      <c r="BJ220" s="49">
        <v>33</v>
      </c>
      <c r="BK220" s="49" t="s">
        <v>3990</v>
      </c>
      <c r="BL220" s="49" t="s">
        <v>3990</v>
      </c>
      <c r="BM220" s="49" t="s">
        <v>582</v>
      </c>
      <c r="BN220" s="49" t="s">
        <v>582</v>
      </c>
      <c r="BO220" s="49"/>
      <c r="BP220" s="49"/>
      <c r="BQ220" s="116" t="s">
        <v>4267</v>
      </c>
      <c r="BR220" s="116" t="s">
        <v>4267</v>
      </c>
      <c r="BS220" s="116" t="s">
        <v>4346</v>
      </c>
      <c r="BT220" s="116" t="s">
        <v>4346</v>
      </c>
      <c r="BU220" s="2"/>
      <c r="BV220" s="3"/>
      <c r="BW220" s="3"/>
      <c r="BX220" s="3"/>
      <c r="BY220" s="3"/>
    </row>
    <row r="221" spans="1:77" ht="15">
      <c r="A221" s="65" t="s">
        <v>427</v>
      </c>
      <c r="B221" s="66"/>
      <c r="C221" s="66" t="s">
        <v>64</v>
      </c>
      <c r="D221" s="67"/>
      <c r="E221" s="69"/>
      <c r="F221" s="104" t="str">
        <f>HYPERLINK("https://pbs.twimg.com/profile_images/1491518059122761735/xI0B3afV_normal.jpg")</f>
        <v>https://pbs.twimg.com/profile_images/1491518059122761735/xI0B3afV_normal.jpg</v>
      </c>
      <c r="G221" s="66"/>
      <c r="H221" s="70" t="s">
        <v>427</v>
      </c>
      <c r="I221" s="71" t="s">
        <v>4393</v>
      </c>
      <c r="J221" s="71" t="s">
        <v>73</v>
      </c>
      <c r="K221" s="70" t="s">
        <v>2359</v>
      </c>
      <c r="L221" s="74">
        <v>1</v>
      </c>
      <c r="M221" s="75">
        <v>7411.0185546875</v>
      </c>
      <c r="N221" s="75">
        <v>7126.63720703125</v>
      </c>
      <c r="O221" s="76"/>
      <c r="P221" s="77"/>
      <c r="Q221" s="77"/>
      <c r="R221" s="90"/>
      <c r="S221" s="49">
        <v>0</v>
      </c>
      <c r="T221" s="49">
        <v>1</v>
      </c>
      <c r="U221" s="50">
        <v>0</v>
      </c>
      <c r="V221" s="50">
        <v>0.239313</v>
      </c>
      <c r="W221" s="50">
        <v>0.067769</v>
      </c>
      <c r="X221" s="50">
        <v>0.003151</v>
      </c>
      <c r="Y221" s="50">
        <v>0</v>
      </c>
      <c r="Z221" s="50">
        <v>0</v>
      </c>
      <c r="AA221" s="72">
        <v>221</v>
      </c>
      <c r="AB221" s="72"/>
      <c r="AC221" s="73"/>
      <c r="AD221" s="80" t="s">
        <v>1452</v>
      </c>
      <c r="AE221" s="89" t="s">
        <v>1714</v>
      </c>
      <c r="AF221" s="80">
        <v>678</v>
      </c>
      <c r="AG221" s="80">
        <v>230</v>
      </c>
      <c r="AH221" s="80">
        <v>2771</v>
      </c>
      <c r="AI221" s="80">
        <v>21243</v>
      </c>
      <c r="AJ221" s="80"/>
      <c r="AK221" s="80" t="s">
        <v>1973</v>
      </c>
      <c r="AL221" s="80"/>
      <c r="AM221" s="80"/>
      <c r="AN221" s="80"/>
      <c r="AO221" s="82">
        <v>43576.62657407407</v>
      </c>
      <c r="AP221" s="80"/>
      <c r="AQ221" s="80" t="b">
        <v>1</v>
      </c>
      <c r="AR221" s="80" t="b">
        <v>0</v>
      </c>
      <c r="AS221" s="80" t="b">
        <v>0</v>
      </c>
      <c r="AT221" s="80"/>
      <c r="AU221" s="80">
        <v>0</v>
      </c>
      <c r="AV221" s="80"/>
      <c r="AW221" s="80" t="b">
        <v>0</v>
      </c>
      <c r="AX221" s="80" t="s">
        <v>2141</v>
      </c>
      <c r="AY221" s="86" t="str">
        <f>HYPERLINK("https://twitter.com/knifebackhouse")</f>
        <v>https://twitter.com/knifebackhouse</v>
      </c>
      <c r="AZ221" s="80" t="s">
        <v>66</v>
      </c>
      <c r="BA221" s="80" t="str">
        <f>REPLACE(INDEX(GroupVertices[Group],MATCH(Vertices[[#This Row],[Vertex]],GroupVertices[Vertex],0)),1,1,"")</f>
        <v>1</v>
      </c>
      <c r="BB221" s="49">
        <v>0</v>
      </c>
      <c r="BC221" s="50">
        <v>0</v>
      </c>
      <c r="BD221" s="49">
        <v>0</v>
      </c>
      <c r="BE221" s="50">
        <v>0</v>
      </c>
      <c r="BF221" s="49">
        <v>0</v>
      </c>
      <c r="BG221" s="50">
        <v>0</v>
      </c>
      <c r="BH221" s="49">
        <v>33</v>
      </c>
      <c r="BI221" s="50">
        <v>100</v>
      </c>
      <c r="BJ221" s="49">
        <v>33</v>
      </c>
      <c r="BK221" s="49" t="s">
        <v>3990</v>
      </c>
      <c r="BL221" s="49" t="s">
        <v>3990</v>
      </c>
      <c r="BM221" s="49" t="s">
        <v>582</v>
      </c>
      <c r="BN221" s="49" t="s">
        <v>582</v>
      </c>
      <c r="BO221" s="49"/>
      <c r="BP221" s="49"/>
      <c r="BQ221" s="116" t="s">
        <v>4267</v>
      </c>
      <c r="BR221" s="116" t="s">
        <v>4267</v>
      </c>
      <c r="BS221" s="116" t="s">
        <v>4346</v>
      </c>
      <c r="BT221" s="116" t="s">
        <v>4346</v>
      </c>
      <c r="BU221" s="2"/>
      <c r="BV221" s="3"/>
      <c r="BW221" s="3"/>
      <c r="BX221" s="3"/>
      <c r="BY221" s="3"/>
    </row>
    <row r="222" spans="1:77" ht="15">
      <c r="A222" s="65" t="s">
        <v>429</v>
      </c>
      <c r="B222" s="66"/>
      <c r="C222" s="66" t="s">
        <v>64</v>
      </c>
      <c r="D222" s="67"/>
      <c r="E222" s="69"/>
      <c r="F222" s="104" t="str">
        <f>HYPERLINK("https://pbs.twimg.com/profile_images/1385081862285049856/c9qrhMm4_normal.jpg")</f>
        <v>https://pbs.twimg.com/profile_images/1385081862285049856/c9qrhMm4_normal.jpg</v>
      </c>
      <c r="G222" s="66"/>
      <c r="H222" s="70" t="s">
        <v>429</v>
      </c>
      <c r="I222" s="71" t="s">
        <v>4393</v>
      </c>
      <c r="J222" s="71" t="s">
        <v>73</v>
      </c>
      <c r="K222" s="70" t="s">
        <v>2360</v>
      </c>
      <c r="L222" s="74">
        <v>1</v>
      </c>
      <c r="M222" s="75">
        <v>3901.844970703125</v>
      </c>
      <c r="N222" s="75">
        <v>7064.0029296875</v>
      </c>
      <c r="O222" s="76"/>
      <c r="P222" s="77"/>
      <c r="Q222" s="77"/>
      <c r="R222" s="90"/>
      <c r="S222" s="49">
        <v>0</v>
      </c>
      <c r="T222" s="49">
        <v>2</v>
      </c>
      <c r="U222" s="50">
        <v>0</v>
      </c>
      <c r="V222" s="50">
        <v>0.239736</v>
      </c>
      <c r="W222" s="50">
        <v>0.07618</v>
      </c>
      <c r="X222" s="50">
        <v>0.003297</v>
      </c>
      <c r="Y222" s="50">
        <v>0.5</v>
      </c>
      <c r="Z222" s="50">
        <v>0</v>
      </c>
      <c r="AA222" s="72">
        <v>222</v>
      </c>
      <c r="AB222" s="72"/>
      <c r="AC222" s="73"/>
      <c r="AD222" s="80" t="s">
        <v>1453</v>
      </c>
      <c r="AE222" s="89" t="s">
        <v>1715</v>
      </c>
      <c r="AF222" s="80">
        <v>788</v>
      </c>
      <c r="AG222" s="80">
        <v>314</v>
      </c>
      <c r="AH222" s="80">
        <v>5419</v>
      </c>
      <c r="AI222" s="80">
        <v>19185</v>
      </c>
      <c r="AJ222" s="80"/>
      <c r="AK222" s="80" t="s">
        <v>1974</v>
      </c>
      <c r="AL222" s="80"/>
      <c r="AM222" s="80"/>
      <c r="AN222" s="80"/>
      <c r="AO222" s="82">
        <v>42087.78789351852</v>
      </c>
      <c r="AP222" s="86" t="str">
        <f>HYPERLINK("https://pbs.twimg.com/profile_banners/3111172731/1611402684")</f>
        <v>https://pbs.twimg.com/profile_banners/3111172731/1611402684</v>
      </c>
      <c r="AQ222" s="80" t="b">
        <v>1</v>
      </c>
      <c r="AR222" s="80" t="b">
        <v>0</v>
      </c>
      <c r="AS222" s="80" t="b">
        <v>0</v>
      </c>
      <c r="AT222" s="80"/>
      <c r="AU222" s="80">
        <v>0</v>
      </c>
      <c r="AV222" s="86" t="str">
        <f>HYPERLINK("https://abs.twimg.com/images/themes/theme1/bg.png")</f>
        <v>https://abs.twimg.com/images/themes/theme1/bg.png</v>
      </c>
      <c r="AW222" s="80" t="b">
        <v>0</v>
      </c>
      <c r="AX222" s="80" t="s">
        <v>2141</v>
      </c>
      <c r="AY222" s="86" t="str">
        <f>HYPERLINK("https://twitter.com/suvirvainio")</f>
        <v>https://twitter.com/suvirvainio</v>
      </c>
      <c r="AZ222" s="80" t="s">
        <v>66</v>
      </c>
      <c r="BA222" s="80" t="str">
        <f>REPLACE(INDEX(GroupVertices[Group],MATCH(Vertices[[#This Row],[Vertex]],GroupVertices[Vertex],0)),1,1,"")</f>
        <v>1</v>
      </c>
      <c r="BB222" s="49">
        <v>0</v>
      </c>
      <c r="BC222" s="50">
        <v>0</v>
      </c>
      <c r="BD222" s="49">
        <v>0</v>
      </c>
      <c r="BE222" s="50">
        <v>0</v>
      </c>
      <c r="BF222" s="49">
        <v>0</v>
      </c>
      <c r="BG222" s="50">
        <v>0</v>
      </c>
      <c r="BH222" s="49">
        <v>22</v>
      </c>
      <c r="BI222" s="50">
        <v>100</v>
      </c>
      <c r="BJ222" s="49">
        <v>22</v>
      </c>
      <c r="BK222" s="49" t="s">
        <v>3991</v>
      </c>
      <c r="BL222" s="49" t="s">
        <v>3991</v>
      </c>
      <c r="BM222" s="49" t="s">
        <v>580</v>
      </c>
      <c r="BN222" s="49" t="s">
        <v>580</v>
      </c>
      <c r="BO222" s="49" t="s">
        <v>591</v>
      </c>
      <c r="BP222" s="49" t="s">
        <v>591</v>
      </c>
      <c r="BQ222" s="116" t="s">
        <v>4287</v>
      </c>
      <c r="BR222" s="116" t="s">
        <v>4287</v>
      </c>
      <c r="BS222" s="116" t="s">
        <v>4365</v>
      </c>
      <c r="BT222" s="116" t="s">
        <v>4365</v>
      </c>
      <c r="BU222" s="2"/>
      <c r="BV222" s="3"/>
      <c r="BW222" s="3"/>
      <c r="BX222" s="3"/>
      <c r="BY222" s="3"/>
    </row>
    <row r="223" spans="1:77" ht="15">
      <c r="A223" s="65" t="s">
        <v>431</v>
      </c>
      <c r="B223" s="66"/>
      <c r="C223" s="66" t="s">
        <v>64</v>
      </c>
      <c r="D223" s="67"/>
      <c r="E223" s="69"/>
      <c r="F223" s="104" t="str">
        <f>HYPERLINK("https://pbs.twimg.com/profile_images/1218084292108214272/RQnrncTZ_normal.jpg")</f>
        <v>https://pbs.twimg.com/profile_images/1218084292108214272/RQnrncTZ_normal.jpg</v>
      </c>
      <c r="G223" s="66"/>
      <c r="H223" s="70" t="s">
        <v>431</v>
      </c>
      <c r="I223" s="71" t="s">
        <v>4399</v>
      </c>
      <c r="J223" s="71" t="s">
        <v>73</v>
      </c>
      <c r="K223" s="70" t="s">
        <v>2361</v>
      </c>
      <c r="L223" s="74">
        <v>1</v>
      </c>
      <c r="M223" s="75">
        <v>3825.749755859375</v>
      </c>
      <c r="N223" s="75">
        <v>3118.455810546875</v>
      </c>
      <c r="O223" s="76"/>
      <c r="P223" s="77"/>
      <c r="Q223" s="77"/>
      <c r="R223" s="90"/>
      <c r="S223" s="49">
        <v>0</v>
      </c>
      <c r="T223" s="49">
        <v>2</v>
      </c>
      <c r="U223" s="50">
        <v>5538.666667</v>
      </c>
      <c r="V223" s="50">
        <v>0.313544</v>
      </c>
      <c r="W223" s="50">
        <v>0.073913</v>
      </c>
      <c r="X223" s="50">
        <v>0.003226</v>
      </c>
      <c r="Y223" s="50">
        <v>0</v>
      </c>
      <c r="Z223" s="50">
        <v>0</v>
      </c>
      <c r="AA223" s="72">
        <v>223</v>
      </c>
      <c r="AB223" s="72"/>
      <c r="AC223" s="73"/>
      <c r="AD223" s="80" t="s">
        <v>1454</v>
      </c>
      <c r="AE223" s="89" t="s">
        <v>1716</v>
      </c>
      <c r="AF223" s="80">
        <v>416</v>
      </c>
      <c r="AG223" s="80">
        <v>281</v>
      </c>
      <c r="AH223" s="80">
        <v>2215</v>
      </c>
      <c r="AI223" s="80">
        <v>9483</v>
      </c>
      <c r="AJ223" s="80"/>
      <c r="AK223" s="80" t="s">
        <v>1975</v>
      </c>
      <c r="AL223" s="80"/>
      <c r="AM223" s="86" t="str">
        <f>HYPERLINK("https://t.co/PLyjPEgOap")</f>
        <v>https://t.co/PLyjPEgOap</v>
      </c>
      <c r="AN223" s="80"/>
      <c r="AO223" s="82">
        <v>42914.375625</v>
      </c>
      <c r="AP223" s="86" t="str">
        <f>HYPERLINK("https://pbs.twimg.com/profile_banners/879987963630936064/1638973455")</f>
        <v>https://pbs.twimg.com/profile_banners/879987963630936064/1638973455</v>
      </c>
      <c r="AQ223" s="80" t="b">
        <v>1</v>
      </c>
      <c r="AR223" s="80" t="b">
        <v>0</v>
      </c>
      <c r="AS223" s="80" t="b">
        <v>0</v>
      </c>
      <c r="AT223" s="80"/>
      <c r="AU223" s="80">
        <v>6</v>
      </c>
      <c r="AV223" s="80"/>
      <c r="AW223" s="80" t="b">
        <v>0</v>
      </c>
      <c r="AX223" s="80" t="s">
        <v>2141</v>
      </c>
      <c r="AY223" s="86" t="str">
        <f>HYPERLINK("https://twitter.com/sakeranen")</f>
        <v>https://twitter.com/sakeranen</v>
      </c>
      <c r="AZ223" s="80" t="s">
        <v>66</v>
      </c>
      <c r="BA223" s="80" t="str">
        <f>REPLACE(INDEX(GroupVertices[Group],MATCH(Vertices[[#This Row],[Vertex]],GroupVertices[Vertex],0)),1,1,"")</f>
        <v>2</v>
      </c>
      <c r="BB223" s="49">
        <v>0</v>
      </c>
      <c r="BC223" s="50">
        <v>0</v>
      </c>
      <c r="BD223" s="49">
        <v>0</v>
      </c>
      <c r="BE223" s="50">
        <v>0</v>
      </c>
      <c r="BF223" s="49">
        <v>0</v>
      </c>
      <c r="BG223" s="50">
        <v>0</v>
      </c>
      <c r="BH223" s="49">
        <v>39</v>
      </c>
      <c r="BI223" s="50">
        <v>100</v>
      </c>
      <c r="BJ223" s="49">
        <v>39</v>
      </c>
      <c r="BK223" s="49" t="s">
        <v>3990</v>
      </c>
      <c r="BL223" s="49" t="s">
        <v>3990</v>
      </c>
      <c r="BM223" s="49" t="s">
        <v>582</v>
      </c>
      <c r="BN223" s="49" t="s">
        <v>582</v>
      </c>
      <c r="BO223" s="49"/>
      <c r="BP223" s="49"/>
      <c r="BQ223" s="116" t="s">
        <v>4270</v>
      </c>
      <c r="BR223" s="116" t="s">
        <v>4311</v>
      </c>
      <c r="BS223" s="116" t="s">
        <v>4346</v>
      </c>
      <c r="BT223" s="116" t="s">
        <v>4389</v>
      </c>
      <c r="BU223" s="2"/>
      <c r="BV223" s="3"/>
      <c r="BW223" s="3"/>
      <c r="BX223" s="3"/>
      <c r="BY223" s="3"/>
    </row>
    <row r="224" spans="1:77" ht="15">
      <c r="A224" s="65" t="s">
        <v>432</v>
      </c>
      <c r="B224" s="66"/>
      <c r="C224" s="66" t="s">
        <v>64</v>
      </c>
      <c r="D224" s="67"/>
      <c r="E224" s="69"/>
      <c r="F224" s="104" t="str">
        <f>HYPERLINK("https://pbs.twimg.com/profile_images/1359515186261086213/DW3HH_0w_normal.jpg")</f>
        <v>https://pbs.twimg.com/profile_images/1359515186261086213/DW3HH_0w_normal.jpg</v>
      </c>
      <c r="G224" s="66"/>
      <c r="H224" s="70" t="s">
        <v>432</v>
      </c>
      <c r="I224" s="71" t="s">
        <v>4405</v>
      </c>
      <c r="J224" s="71" t="s">
        <v>73</v>
      </c>
      <c r="K224" s="70" t="s">
        <v>2362</v>
      </c>
      <c r="L224" s="74">
        <v>1</v>
      </c>
      <c r="M224" s="75">
        <v>1204.9991455078125</v>
      </c>
      <c r="N224" s="75">
        <v>3637.076904296875</v>
      </c>
      <c r="O224" s="76"/>
      <c r="P224" s="77"/>
      <c r="Q224" s="77"/>
      <c r="R224" s="90"/>
      <c r="S224" s="49">
        <v>0</v>
      </c>
      <c r="T224" s="49">
        <v>1</v>
      </c>
      <c r="U224" s="50">
        <v>0</v>
      </c>
      <c r="V224" s="50">
        <v>0.006545</v>
      </c>
      <c r="W224" s="50">
        <v>0</v>
      </c>
      <c r="X224" s="50">
        <v>0.003308</v>
      </c>
      <c r="Y224" s="50">
        <v>0</v>
      </c>
      <c r="Z224" s="50">
        <v>0</v>
      </c>
      <c r="AA224" s="72">
        <v>224</v>
      </c>
      <c r="AB224" s="72"/>
      <c r="AC224" s="73"/>
      <c r="AD224" s="80" t="s">
        <v>1455</v>
      </c>
      <c r="AE224" s="89" t="s">
        <v>1717</v>
      </c>
      <c r="AF224" s="80">
        <v>874</v>
      </c>
      <c r="AG224" s="80">
        <v>1918</v>
      </c>
      <c r="AH224" s="80">
        <v>51389</v>
      </c>
      <c r="AI224" s="80">
        <v>140093</v>
      </c>
      <c r="AJ224" s="80"/>
      <c r="AK224" s="80" t="s">
        <v>1976</v>
      </c>
      <c r="AL224" s="80" t="s">
        <v>2051</v>
      </c>
      <c r="AM224" s="86" t="str">
        <f>HYPERLINK("https://t.co/u2pZK80lWe")</f>
        <v>https://t.co/u2pZK80lWe</v>
      </c>
      <c r="AN224" s="80"/>
      <c r="AO224" s="82">
        <v>43424.48832175926</v>
      </c>
      <c r="AP224" s="86" t="str">
        <f>HYPERLINK("https://pbs.twimg.com/profile_banners/1064846614412574720/1551177750")</f>
        <v>https://pbs.twimg.com/profile_banners/1064846614412574720/1551177750</v>
      </c>
      <c r="AQ224" s="80" t="b">
        <v>0</v>
      </c>
      <c r="AR224" s="80" t="b">
        <v>0</v>
      </c>
      <c r="AS224" s="80" t="b">
        <v>0</v>
      </c>
      <c r="AT224" s="80"/>
      <c r="AU224" s="80">
        <v>7</v>
      </c>
      <c r="AV224" s="86" t="str">
        <f>HYPERLINK("https://abs.twimg.com/images/themes/theme1/bg.png")</f>
        <v>https://abs.twimg.com/images/themes/theme1/bg.png</v>
      </c>
      <c r="AW224" s="80" t="b">
        <v>0</v>
      </c>
      <c r="AX224" s="80" t="s">
        <v>2141</v>
      </c>
      <c r="AY224" s="86" t="str">
        <f>HYPERLINK("https://twitter.com/apulkkis")</f>
        <v>https://twitter.com/apulkkis</v>
      </c>
      <c r="AZ224" s="80" t="s">
        <v>66</v>
      </c>
      <c r="BA224" s="80" t="str">
        <f>REPLACE(INDEX(GroupVertices[Group],MATCH(Vertices[[#This Row],[Vertex]],GroupVertices[Vertex],0)),1,1,"")</f>
        <v>6</v>
      </c>
      <c r="BB224" s="49">
        <v>0</v>
      </c>
      <c r="BC224" s="50">
        <v>0</v>
      </c>
      <c r="BD224" s="49">
        <v>0</v>
      </c>
      <c r="BE224" s="50">
        <v>0</v>
      </c>
      <c r="BF224" s="49">
        <v>0</v>
      </c>
      <c r="BG224" s="50">
        <v>0</v>
      </c>
      <c r="BH224" s="49">
        <v>37</v>
      </c>
      <c r="BI224" s="50">
        <v>100</v>
      </c>
      <c r="BJ224" s="49">
        <v>37</v>
      </c>
      <c r="BK224" s="49"/>
      <c r="BL224" s="49"/>
      <c r="BM224" s="49"/>
      <c r="BN224" s="49"/>
      <c r="BO224" s="49"/>
      <c r="BP224" s="49"/>
      <c r="BQ224" s="116" t="s">
        <v>4288</v>
      </c>
      <c r="BR224" s="116" t="s">
        <v>4288</v>
      </c>
      <c r="BS224" s="116" t="s">
        <v>4366</v>
      </c>
      <c r="BT224" s="116" t="s">
        <v>4366</v>
      </c>
      <c r="BU224" s="2"/>
      <c r="BV224" s="3"/>
      <c r="BW224" s="3"/>
      <c r="BX224" s="3"/>
      <c r="BY224" s="3"/>
    </row>
    <row r="225" spans="1:77" ht="15">
      <c r="A225" s="65" t="s">
        <v>433</v>
      </c>
      <c r="B225" s="66"/>
      <c r="C225" s="66" t="s">
        <v>64</v>
      </c>
      <c r="D225" s="67">
        <v>436.36979249265914</v>
      </c>
      <c r="E225" s="69"/>
      <c r="F225" s="104" t="str">
        <f>HYPERLINK("https://pbs.twimg.com/profile_images/857623328428785664/iQnFpkTA_normal.jpg")</f>
        <v>https://pbs.twimg.com/profile_images/857623328428785664/iQnFpkTA_normal.jpg</v>
      </c>
      <c r="G225" s="66"/>
      <c r="H225" s="70" t="s">
        <v>433</v>
      </c>
      <c r="I225" s="71" t="s">
        <v>4408</v>
      </c>
      <c r="J225" s="71" t="s">
        <v>73</v>
      </c>
      <c r="K225" s="70" t="s">
        <v>2363</v>
      </c>
      <c r="L225" s="74">
        <v>197.0392156862745</v>
      </c>
      <c r="M225" s="75">
        <v>8665.357421875</v>
      </c>
      <c r="N225" s="75">
        <v>6231.6044921875</v>
      </c>
      <c r="O225" s="76"/>
      <c r="P225" s="77"/>
      <c r="Q225" s="77"/>
      <c r="R225" s="90"/>
      <c r="S225" s="49">
        <v>2</v>
      </c>
      <c r="T225" s="49">
        <v>1</v>
      </c>
      <c r="U225" s="50">
        <v>0</v>
      </c>
      <c r="V225" s="50">
        <v>0.003636</v>
      </c>
      <c r="W225" s="50">
        <v>0</v>
      </c>
      <c r="X225" s="50">
        <v>0.003876</v>
      </c>
      <c r="Y225" s="50">
        <v>0</v>
      </c>
      <c r="Z225" s="50">
        <v>0</v>
      </c>
      <c r="AA225" s="72">
        <v>225</v>
      </c>
      <c r="AB225" s="72"/>
      <c r="AC225" s="73"/>
      <c r="AD225" s="80" t="s">
        <v>1456</v>
      </c>
      <c r="AE225" s="89" t="s">
        <v>1718</v>
      </c>
      <c r="AF225" s="80">
        <v>2812</v>
      </c>
      <c r="AG225" s="80">
        <v>1610</v>
      </c>
      <c r="AH225" s="80">
        <v>16401</v>
      </c>
      <c r="AI225" s="80">
        <v>15034</v>
      </c>
      <c r="AJ225" s="80"/>
      <c r="AK225" s="80" t="s">
        <v>1977</v>
      </c>
      <c r="AL225" s="80" t="s">
        <v>2065</v>
      </c>
      <c r="AM225" s="80"/>
      <c r="AN225" s="80"/>
      <c r="AO225" s="82">
        <v>40983.897685185184</v>
      </c>
      <c r="AP225" s="86" t="str">
        <f>HYPERLINK("https://pbs.twimg.com/profile_banners/525769470/1475668827")</f>
        <v>https://pbs.twimg.com/profile_banners/525769470/1475668827</v>
      </c>
      <c r="AQ225" s="80" t="b">
        <v>0</v>
      </c>
      <c r="AR225" s="80" t="b">
        <v>0</v>
      </c>
      <c r="AS225" s="80" t="b">
        <v>0</v>
      </c>
      <c r="AT225" s="80"/>
      <c r="AU225" s="80">
        <v>20</v>
      </c>
      <c r="AV225" s="86" t="str">
        <f>HYPERLINK("https://abs.twimg.com/images/themes/theme1/bg.png")</f>
        <v>https://abs.twimg.com/images/themes/theme1/bg.png</v>
      </c>
      <c r="AW225" s="80" t="b">
        <v>0</v>
      </c>
      <c r="AX225" s="80" t="s">
        <v>2141</v>
      </c>
      <c r="AY225" s="86" t="str">
        <f>HYPERLINK("https://twitter.com/villekoivuniemi")</f>
        <v>https://twitter.com/villekoivuniemi</v>
      </c>
      <c r="AZ225" s="80" t="s">
        <v>66</v>
      </c>
      <c r="BA225" s="80" t="str">
        <f>REPLACE(INDEX(GroupVertices[Group],MATCH(Vertices[[#This Row],[Vertex]],GroupVertices[Vertex],0)),1,1,"")</f>
        <v>12</v>
      </c>
      <c r="BB225" s="49">
        <v>0</v>
      </c>
      <c r="BC225" s="50">
        <v>0</v>
      </c>
      <c r="BD225" s="49">
        <v>0</v>
      </c>
      <c r="BE225" s="50">
        <v>0</v>
      </c>
      <c r="BF225" s="49">
        <v>0</v>
      </c>
      <c r="BG225" s="50">
        <v>0</v>
      </c>
      <c r="BH225" s="49">
        <v>29</v>
      </c>
      <c r="BI225" s="50">
        <v>100</v>
      </c>
      <c r="BJ225" s="49">
        <v>29</v>
      </c>
      <c r="BK225" s="49"/>
      <c r="BL225" s="49"/>
      <c r="BM225" s="49"/>
      <c r="BN225" s="49"/>
      <c r="BO225" s="49" t="s">
        <v>594</v>
      </c>
      <c r="BP225" s="49" t="s">
        <v>594</v>
      </c>
      <c r="BQ225" s="116" t="s">
        <v>4289</v>
      </c>
      <c r="BR225" s="116" t="s">
        <v>4289</v>
      </c>
      <c r="BS225" s="116" t="s">
        <v>4367</v>
      </c>
      <c r="BT225" s="116" t="s">
        <v>4367</v>
      </c>
      <c r="BU225" s="2"/>
      <c r="BV225" s="3"/>
      <c r="BW225" s="3"/>
      <c r="BX225" s="3"/>
      <c r="BY225" s="3"/>
    </row>
    <row r="226" spans="1:77" ht="15">
      <c r="A226" s="65" t="s">
        <v>434</v>
      </c>
      <c r="B226" s="66"/>
      <c r="C226" s="66" t="s">
        <v>64</v>
      </c>
      <c r="D226" s="67"/>
      <c r="E226" s="69"/>
      <c r="F226" s="104" t="str">
        <f>HYPERLINK("https://pbs.twimg.com/profile_images/852539407051653120/bjxL1r6X_normal.jpg")</f>
        <v>https://pbs.twimg.com/profile_images/852539407051653120/bjxL1r6X_normal.jpg</v>
      </c>
      <c r="G226" s="66"/>
      <c r="H226" s="70" t="s">
        <v>434</v>
      </c>
      <c r="I226" s="71" t="s">
        <v>4408</v>
      </c>
      <c r="J226" s="71" t="s">
        <v>73</v>
      </c>
      <c r="K226" s="70" t="s">
        <v>2364</v>
      </c>
      <c r="L226" s="74">
        <v>1</v>
      </c>
      <c r="M226" s="75">
        <v>8322.306640625</v>
      </c>
      <c r="N226" s="75">
        <v>6231.6044921875</v>
      </c>
      <c r="O226" s="76"/>
      <c r="P226" s="77"/>
      <c r="Q226" s="77"/>
      <c r="R226" s="90"/>
      <c r="S226" s="49">
        <v>0</v>
      </c>
      <c r="T226" s="49">
        <v>1</v>
      </c>
      <c r="U226" s="50">
        <v>0</v>
      </c>
      <c r="V226" s="50">
        <v>0.003636</v>
      </c>
      <c r="W226" s="50">
        <v>0</v>
      </c>
      <c r="X226" s="50">
        <v>0.00337</v>
      </c>
      <c r="Y226" s="50">
        <v>0</v>
      </c>
      <c r="Z226" s="50">
        <v>0</v>
      </c>
      <c r="AA226" s="72">
        <v>226</v>
      </c>
      <c r="AB226" s="72"/>
      <c r="AC226" s="73"/>
      <c r="AD226" s="80" t="s">
        <v>1457</v>
      </c>
      <c r="AE226" s="89" t="s">
        <v>1719</v>
      </c>
      <c r="AF226" s="80">
        <v>542</v>
      </c>
      <c r="AG226" s="80">
        <v>273</v>
      </c>
      <c r="AH226" s="80">
        <v>1843</v>
      </c>
      <c r="AI226" s="80">
        <v>1094</v>
      </c>
      <c r="AJ226" s="80"/>
      <c r="AK226" s="80" t="s">
        <v>1978</v>
      </c>
      <c r="AL226" s="80" t="s">
        <v>2124</v>
      </c>
      <c r="AM226" s="80"/>
      <c r="AN226" s="80"/>
      <c r="AO226" s="82">
        <v>41555.575370370374</v>
      </c>
      <c r="AP226" s="86" t="str">
        <f>HYPERLINK("https://pbs.twimg.com/profile_banners/1946968706/1388349268")</f>
        <v>https://pbs.twimg.com/profile_banners/1946968706/1388349268</v>
      </c>
      <c r="AQ226" s="80" t="b">
        <v>0</v>
      </c>
      <c r="AR226" s="80" t="b">
        <v>0</v>
      </c>
      <c r="AS226" s="80" t="b">
        <v>0</v>
      </c>
      <c r="AT226" s="80"/>
      <c r="AU226" s="80">
        <v>7</v>
      </c>
      <c r="AV226" s="86" t="str">
        <f>HYPERLINK("https://abs.twimg.com/images/themes/theme1/bg.png")</f>
        <v>https://abs.twimg.com/images/themes/theme1/bg.png</v>
      </c>
      <c r="AW226" s="80" t="b">
        <v>0</v>
      </c>
      <c r="AX226" s="80" t="s">
        <v>2141</v>
      </c>
      <c r="AY226" s="86" t="str">
        <f>HYPERLINK("https://twitter.com/outigrusander")</f>
        <v>https://twitter.com/outigrusander</v>
      </c>
      <c r="AZ226" s="80" t="s">
        <v>66</v>
      </c>
      <c r="BA226" s="80" t="str">
        <f>REPLACE(INDEX(GroupVertices[Group],MATCH(Vertices[[#This Row],[Vertex]],GroupVertices[Vertex],0)),1,1,"")</f>
        <v>12</v>
      </c>
      <c r="BB226" s="49">
        <v>0</v>
      </c>
      <c r="BC226" s="50">
        <v>0</v>
      </c>
      <c r="BD226" s="49">
        <v>0</v>
      </c>
      <c r="BE226" s="50">
        <v>0</v>
      </c>
      <c r="BF226" s="49">
        <v>0</v>
      </c>
      <c r="BG226" s="50">
        <v>0</v>
      </c>
      <c r="BH226" s="49">
        <v>29</v>
      </c>
      <c r="BI226" s="50">
        <v>100</v>
      </c>
      <c r="BJ226" s="49">
        <v>29</v>
      </c>
      <c r="BK226" s="49"/>
      <c r="BL226" s="49"/>
      <c r="BM226" s="49"/>
      <c r="BN226" s="49"/>
      <c r="BO226" s="49" t="s">
        <v>594</v>
      </c>
      <c r="BP226" s="49" t="s">
        <v>594</v>
      </c>
      <c r="BQ226" s="116" t="s">
        <v>4289</v>
      </c>
      <c r="BR226" s="116" t="s">
        <v>4289</v>
      </c>
      <c r="BS226" s="116" t="s">
        <v>4367</v>
      </c>
      <c r="BT226" s="116" t="s">
        <v>4367</v>
      </c>
      <c r="BU226" s="2"/>
      <c r="BV226" s="3"/>
      <c r="BW226" s="3"/>
      <c r="BX226" s="3"/>
      <c r="BY226" s="3"/>
    </row>
    <row r="227" spans="1:77" ht="15">
      <c r="A227" s="65" t="s">
        <v>435</v>
      </c>
      <c r="B227" s="66"/>
      <c r="C227" s="66" t="s">
        <v>64</v>
      </c>
      <c r="D227" s="67"/>
      <c r="E227" s="69"/>
      <c r="F227" s="104" t="str">
        <f>HYPERLINK("https://pbs.twimg.com/profile_images/1389974773049012224/I5xo_UaF_normal.jpg")</f>
        <v>https://pbs.twimg.com/profile_images/1389974773049012224/I5xo_UaF_normal.jpg</v>
      </c>
      <c r="G227" s="66"/>
      <c r="H227" s="70" t="s">
        <v>435</v>
      </c>
      <c r="I227" s="71" t="s">
        <v>4409</v>
      </c>
      <c r="J227" s="71" t="s">
        <v>73</v>
      </c>
      <c r="K227" s="70" t="s">
        <v>2365</v>
      </c>
      <c r="L227" s="74">
        <v>1</v>
      </c>
      <c r="M227" s="75">
        <v>304.4908142089844</v>
      </c>
      <c r="N227" s="75">
        <v>1279.492919921875</v>
      </c>
      <c r="O227" s="76"/>
      <c r="P227" s="77"/>
      <c r="Q227" s="77"/>
      <c r="R227" s="90"/>
      <c r="S227" s="49">
        <v>0</v>
      </c>
      <c r="T227" s="49">
        <v>1</v>
      </c>
      <c r="U227" s="50">
        <v>0</v>
      </c>
      <c r="V227" s="50">
        <v>0.003636</v>
      </c>
      <c r="W227" s="50">
        <v>0</v>
      </c>
      <c r="X227" s="50">
        <v>0.003623</v>
      </c>
      <c r="Y227" s="50">
        <v>0</v>
      </c>
      <c r="Z227" s="50">
        <v>0</v>
      </c>
      <c r="AA227" s="72">
        <v>227</v>
      </c>
      <c r="AB227" s="72"/>
      <c r="AC227" s="73"/>
      <c r="AD227" s="80" t="s">
        <v>1458</v>
      </c>
      <c r="AE227" s="89" t="s">
        <v>1720</v>
      </c>
      <c r="AF227" s="80">
        <v>758</v>
      </c>
      <c r="AG227" s="80">
        <v>483</v>
      </c>
      <c r="AH227" s="80">
        <v>4434</v>
      </c>
      <c r="AI227" s="80">
        <v>19417</v>
      </c>
      <c r="AJ227" s="80"/>
      <c r="AK227" s="80" t="s">
        <v>1979</v>
      </c>
      <c r="AL227" s="80" t="s">
        <v>2058</v>
      </c>
      <c r="AM227" s="86" t="str">
        <f>HYPERLINK("https://t.co/y0Qnyv8o5u")</f>
        <v>https://t.co/y0Qnyv8o5u</v>
      </c>
      <c r="AN227" s="80"/>
      <c r="AO227" s="82">
        <v>43752.41509259259</v>
      </c>
      <c r="AP227" s="86" t="str">
        <f>HYPERLINK("https://pbs.twimg.com/profile_banners/1183683253875695616/1620119148")</f>
        <v>https://pbs.twimg.com/profile_banners/1183683253875695616/1620119148</v>
      </c>
      <c r="AQ227" s="80" t="b">
        <v>1</v>
      </c>
      <c r="AR227" s="80" t="b">
        <v>0</v>
      </c>
      <c r="AS227" s="80" t="b">
        <v>0</v>
      </c>
      <c r="AT227" s="80"/>
      <c r="AU227" s="80">
        <v>0</v>
      </c>
      <c r="AV227" s="80"/>
      <c r="AW227" s="80" t="b">
        <v>0</v>
      </c>
      <c r="AX227" s="80" t="s">
        <v>2141</v>
      </c>
      <c r="AY227" s="86" t="str">
        <f>HYPERLINK("https://twitter.com/koivumakiraine")</f>
        <v>https://twitter.com/koivumakiraine</v>
      </c>
      <c r="AZ227" s="80" t="s">
        <v>66</v>
      </c>
      <c r="BA227" s="80" t="str">
        <f>REPLACE(INDEX(GroupVertices[Group],MATCH(Vertices[[#This Row],[Vertex]],GroupVertices[Vertex],0)),1,1,"")</f>
        <v>11</v>
      </c>
      <c r="BB227" s="49">
        <v>0</v>
      </c>
      <c r="BC227" s="50">
        <v>0</v>
      </c>
      <c r="BD227" s="49">
        <v>0</v>
      </c>
      <c r="BE227" s="50">
        <v>0</v>
      </c>
      <c r="BF227" s="49">
        <v>0</v>
      </c>
      <c r="BG227" s="50">
        <v>0</v>
      </c>
      <c r="BH227" s="49">
        <v>23</v>
      </c>
      <c r="BI227" s="50">
        <v>100</v>
      </c>
      <c r="BJ227" s="49">
        <v>23</v>
      </c>
      <c r="BK227" s="49"/>
      <c r="BL227" s="49"/>
      <c r="BM227" s="49"/>
      <c r="BN227" s="49"/>
      <c r="BO227" s="49"/>
      <c r="BP227" s="49"/>
      <c r="BQ227" s="116" t="s">
        <v>4290</v>
      </c>
      <c r="BR227" s="116" t="s">
        <v>4290</v>
      </c>
      <c r="BS227" s="116" t="s">
        <v>4368</v>
      </c>
      <c r="BT227" s="116" t="s">
        <v>4368</v>
      </c>
      <c r="BU227" s="2"/>
      <c r="BV227" s="3"/>
      <c r="BW227" s="3"/>
      <c r="BX227" s="3"/>
      <c r="BY227" s="3"/>
    </row>
    <row r="228" spans="1:77" ht="15">
      <c r="A228" s="65" t="s">
        <v>497</v>
      </c>
      <c r="B228" s="66"/>
      <c r="C228" s="66" t="s">
        <v>64</v>
      </c>
      <c r="D228" s="67">
        <v>10</v>
      </c>
      <c r="E228" s="69"/>
      <c r="F228" s="104" t="str">
        <f>HYPERLINK("https://pbs.twimg.com/profile_images/1394325198766280709/7sxIqiP3_normal.jpg")</f>
        <v>https://pbs.twimg.com/profile_images/1394325198766280709/7sxIqiP3_normal.jpg</v>
      </c>
      <c r="G228" s="66"/>
      <c r="H228" s="70" t="s">
        <v>497</v>
      </c>
      <c r="I228" s="71" t="s">
        <v>4409</v>
      </c>
      <c r="J228" s="71" t="s">
        <v>75</v>
      </c>
      <c r="K228" s="70" t="s">
        <v>2366</v>
      </c>
      <c r="L228" s="74">
        <v>99.01960784313725</v>
      </c>
      <c r="M228" s="75">
        <v>647.5416259765625</v>
      </c>
      <c r="N228" s="75">
        <v>1279.492919921875</v>
      </c>
      <c r="O228" s="76"/>
      <c r="P228" s="77"/>
      <c r="Q228" s="77"/>
      <c r="R228" s="90"/>
      <c r="S228" s="49">
        <v>1</v>
      </c>
      <c r="T228" s="49">
        <v>0</v>
      </c>
      <c r="U228" s="50">
        <v>0</v>
      </c>
      <c r="V228" s="50">
        <v>0.003636</v>
      </c>
      <c r="W228" s="50">
        <v>0</v>
      </c>
      <c r="X228" s="50">
        <v>0.003623</v>
      </c>
      <c r="Y228" s="50">
        <v>0</v>
      </c>
      <c r="Z228" s="50">
        <v>0</v>
      </c>
      <c r="AA228" s="72">
        <v>228</v>
      </c>
      <c r="AB228" s="72"/>
      <c r="AC228" s="73"/>
      <c r="AD228" s="80" t="s">
        <v>1459</v>
      </c>
      <c r="AE228" s="89" t="s">
        <v>1172</v>
      </c>
      <c r="AF228" s="80">
        <v>440</v>
      </c>
      <c r="AG228" s="80">
        <v>318</v>
      </c>
      <c r="AH228" s="80">
        <v>29900</v>
      </c>
      <c r="AI228" s="80">
        <v>26449</v>
      </c>
      <c r="AJ228" s="80"/>
      <c r="AK228" s="80" t="s">
        <v>1980</v>
      </c>
      <c r="AL228" s="80" t="s">
        <v>2125</v>
      </c>
      <c r="AM228" s="80"/>
      <c r="AN228" s="80"/>
      <c r="AO228" s="82">
        <v>42838.56658564815</v>
      </c>
      <c r="AP228" s="86" t="str">
        <f>HYPERLINK("https://pbs.twimg.com/profile_banners/852515687549603840/1647160930")</f>
        <v>https://pbs.twimg.com/profile_banners/852515687549603840/1647160930</v>
      </c>
      <c r="AQ228" s="80" t="b">
        <v>1</v>
      </c>
      <c r="AR228" s="80" t="b">
        <v>0</v>
      </c>
      <c r="AS228" s="80" t="b">
        <v>0</v>
      </c>
      <c r="AT228" s="80"/>
      <c r="AU228" s="80">
        <v>0</v>
      </c>
      <c r="AV228" s="80"/>
      <c r="AW228" s="80" t="b">
        <v>0</v>
      </c>
      <c r="AX228" s="80" t="s">
        <v>2141</v>
      </c>
      <c r="AY228" s="86" t="str">
        <f>HYPERLINK("https://twitter.com/esasalminen3")</f>
        <v>https://twitter.com/esasalminen3</v>
      </c>
      <c r="AZ228" s="80" t="s">
        <v>65</v>
      </c>
      <c r="BA228" s="80" t="str">
        <f>REPLACE(INDEX(GroupVertices[Group],MATCH(Vertices[[#This Row],[Vertex]],GroupVertices[Vertex],0)),1,1,"")</f>
        <v>11</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5" t="s">
        <v>436</v>
      </c>
      <c r="B229" s="66"/>
      <c r="C229" s="66" t="s">
        <v>64</v>
      </c>
      <c r="D229" s="67"/>
      <c r="E229" s="69"/>
      <c r="F229" s="104" t="str">
        <f>HYPERLINK("https://pbs.twimg.com/profile_images/1463773270348550147/Z2zytlNT_normal.jpg")</f>
        <v>https://pbs.twimg.com/profile_images/1463773270348550147/Z2zytlNT_normal.jpg</v>
      </c>
      <c r="G229" s="66"/>
      <c r="H229" s="70" t="s">
        <v>436</v>
      </c>
      <c r="I229" s="71" t="s">
        <v>4410</v>
      </c>
      <c r="J229" s="71" t="s">
        <v>73</v>
      </c>
      <c r="K229" s="70" t="s">
        <v>2367</v>
      </c>
      <c r="L229" s="74">
        <v>1</v>
      </c>
      <c r="M229" s="75">
        <v>481.2810974121094</v>
      </c>
      <c r="N229" s="75">
        <v>6108.34375</v>
      </c>
      <c r="O229" s="76"/>
      <c r="P229" s="77"/>
      <c r="Q229" s="77"/>
      <c r="R229" s="90"/>
      <c r="S229" s="49">
        <v>0</v>
      </c>
      <c r="T229" s="49">
        <v>2</v>
      </c>
      <c r="U229" s="50">
        <v>2672</v>
      </c>
      <c r="V229" s="50">
        <v>0.261488</v>
      </c>
      <c r="W229" s="50">
        <v>0.070441</v>
      </c>
      <c r="X229" s="50">
        <v>0.003233</v>
      </c>
      <c r="Y229" s="50">
        <v>0</v>
      </c>
      <c r="Z229" s="50">
        <v>0</v>
      </c>
      <c r="AA229" s="72">
        <v>229</v>
      </c>
      <c r="AB229" s="72"/>
      <c r="AC229" s="73"/>
      <c r="AD229" s="80" t="s">
        <v>1460</v>
      </c>
      <c r="AE229" s="89" t="s">
        <v>1721</v>
      </c>
      <c r="AF229" s="80">
        <v>426</v>
      </c>
      <c r="AG229" s="80">
        <v>409</v>
      </c>
      <c r="AH229" s="80">
        <v>8697</v>
      </c>
      <c r="AI229" s="80">
        <v>17971</v>
      </c>
      <c r="AJ229" s="80"/>
      <c r="AK229" s="80" t="s">
        <v>1981</v>
      </c>
      <c r="AL229" s="80" t="s">
        <v>2126</v>
      </c>
      <c r="AM229" s="80"/>
      <c r="AN229" s="80"/>
      <c r="AO229" s="82">
        <v>42054.56349537037</v>
      </c>
      <c r="AP229" s="86" t="str">
        <f>HYPERLINK("https://pbs.twimg.com/profile_banners/3044896168/1638724467")</f>
        <v>https://pbs.twimg.com/profile_banners/3044896168/1638724467</v>
      </c>
      <c r="AQ229" s="80" t="b">
        <v>0</v>
      </c>
      <c r="AR229" s="80" t="b">
        <v>0</v>
      </c>
      <c r="AS229" s="80" t="b">
        <v>1</v>
      </c>
      <c r="AT229" s="80"/>
      <c r="AU229" s="80">
        <v>8</v>
      </c>
      <c r="AV229" s="86" t="str">
        <f>HYPERLINK("https://abs.twimg.com/images/themes/theme1/bg.png")</f>
        <v>https://abs.twimg.com/images/themes/theme1/bg.png</v>
      </c>
      <c r="AW229" s="80" t="b">
        <v>0</v>
      </c>
      <c r="AX229" s="80" t="s">
        <v>2141</v>
      </c>
      <c r="AY229" s="86" t="str">
        <f>HYPERLINK("https://twitter.com/outikorpilahde")</f>
        <v>https://twitter.com/outikorpilahde</v>
      </c>
      <c r="AZ229" s="80" t="s">
        <v>66</v>
      </c>
      <c r="BA229" s="80" t="str">
        <f>REPLACE(INDEX(GroupVertices[Group],MATCH(Vertices[[#This Row],[Vertex]],GroupVertices[Vertex],0)),1,1,"")</f>
        <v>4</v>
      </c>
      <c r="BB229" s="49">
        <v>0</v>
      </c>
      <c r="BC229" s="50">
        <v>0</v>
      </c>
      <c r="BD229" s="49">
        <v>0</v>
      </c>
      <c r="BE229" s="50">
        <v>0</v>
      </c>
      <c r="BF229" s="49">
        <v>0</v>
      </c>
      <c r="BG229" s="50">
        <v>0</v>
      </c>
      <c r="BH229" s="49">
        <v>10</v>
      </c>
      <c r="BI229" s="50">
        <v>100</v>
      </c>
      <c r="BJ229" s="49">
        <v>10</v>
      </c>
      <c r="BK229" s="49"/>
      <c r="BL229" s="49"/>
      <c r="BM229" s="49"/>
      <c r="BN229" s="49"/>
      <c r="BO229" s="49"/>
      <c r="BP229" s="49"/>
      <c r="BQ229" s="116" t="s">
        <v>4291</v>
      </c>
      <c r="BR229" s="116" t="s">
        <v>4291</v>
      </c>
      <c r="BS229" s="116" t="s">
        <v>4369</v>
      </c>
      <c r="BT229" s="116" t="s">
        <v>4369</v>
      </c>
      <c r="BU229" s="2"/>
      <c r="BV229" s="3"/>
      <c r="BW229" s="3"/>
      <c r="BX229" s="3"/>
      <c r="BY229" s="3"/>
    </row>
    <row r="230" spans="1:77" ht="15">
      <c r="A230" s="65" t="s">
        <v>483</v>
      </c>
      <c r="B230" s="66"/>
      <c r="C230" s="66" t="s">
        <v>64</v>
      </c>
      <c r="D230" s="67">
        <v>1000</v>
      </c>
      <c r="E230" s="69"/>
      <c r="F230" s="104" t="str">
        <f>HYPERLINK("https://pbs.twimg.com/profile_images/1230036647196217344/X7d8MC-j_normal.jpg")</f>
        <v>https://pbs.twimg.com/profile_images/1230036647196217344/X7d8MC-j_normal.jpg</v>
      </c>
      <c r="G230" s="66"/>
      <c r="H230" s="70" t="s">
        <v>483</v>
      </c>
      <c r="I230" s="71" t="s">
        <v>4410</v>
      </c>
      <c r="J230" s="71" t="s">
        <v>73</v>
      </c>
      <c r="K230" s="70" t="s">
        <v>2368</v>
      </c>
      <c r="L230" s="74">
        <v>2647.529411764706</v>
      </c>
      <c r="M230" s="75">
        <v>993.2791748046875</v>
      </c>
      <c r="N230" s="75">
        <v>6981.3408203125</v>
      </c>
      <c r="O230" s="76"/>
      <c r="P230" s="77"/>
      <c r="Q230" s="77"/>
      <c r="R230" s="90"/>
      <c r="S230" s="49">
        <v>27</v>
      </c>
      <c r="T230" s="49">
        <v>1</v>
      </c>
      <c r="U230" s="50">
        <v>8329</v>
      </c>
      <c r="V230" s="50">
        <v>0.205229</v>
      </c>
      <c r="W230" s="50">
        <v>0.028365</v>
      </c>
      <c r="X230" s="50">
        <v>0.014799</v>
      </c>
      <c r="Y230" s="50">
        <v>0</v>
      </c>
      <c r="Z230" s="50">
        <v>0</v>
      </c>
      <c r="AA230" s="72">
        <v>230</v>
      </c>
      <c r="AB230" s="72"/>
      <c r="AC230" s="73"/>
      <c r="AD230" s="80" t="s">
        <v>1461</v>
      </c>
      <c r="AE230" s="89" t="s">
        <v>1173</v>
      </c>
      <c r="AF230" s="80">
        <v>178</v>
      </c>
      <c r="AG230" s="80">
        <v>142</v>
      </c>
      <c r="AH230" s="80">
        <v>36</v>
      </c>
      <c r="AI230" s="80">
        <v>152</v>
      </c>
      <c r="AJ230" s="80"/>
      <c r="AK230" s="80" t="s">
        <v>1982</v>
      </c>
      <c r="AL230" s="80" t="s">
        <v>2038</v>
      </c>
      <c r="AM230" s="80"/>
      <c r="AN230" s="80"/>
      <c r="AO230" s="82">
        <v>42163.20777777778</v>
      </c>
      <c r="AP230" s="86" t="str">
        <f>HYPERLINK("https://pbs.twimg.com/profile_banners/3312785003/1588239031")</f>
        <v>https://pbs.twimg.com/profile_banners/3312785003/1588239031</v>
      </c>
      <c r="AQ230" s="80" t="b">
        <v>1</v>
      </c>
      <c r="AR230" s="80" t="b">
        <v>0</v>
      </c>
      <c r="AS230" s="80" t="b">
        <v>1</v>
      </c>
      <c r="AT230" s="80"/>
      <c r="AU230" s="80">
        <v>0</v>
      </c>
      <c r="AV230" s="86" t="str">
        <f>HYPERLINK("https://abs.twimg.com/images/themes/theme1/bg.png")</f>
        <v>https://abs.twimg.com/images/themes/theme1/bg.png</v>
      </c>
      <c r="AW230" s="80" t="b">
        <v>0</v>
      </c>
      <c r="AX230" s="80" t="s">
        <v>2141</v>
      </c>
      <c r="AY230" s="86" t="str">
        <f>HYPERLINK("https://twitter.com/minnalampinen")</f>
        <v>https://twitter.com/minnalampinen</v>
      </c>
      <c r="AZ230" s="80" t="s">
        <v>66</v>
      </c>
      <c r="BA230" s="80" t="str">
        <f>REPLACE(INDEX(GroupVertices[Group],MATCH(Vertices[[#This Row],[Vertex]],GroupVertices[Vertex],0)),1,1,"")</f>
        <v>4</v>
      </c>
      <c r="BB230" s="49">
        <v>0</v>
      </c>
      <c r="BC230" s="50">
        <v>0</v>
      </c>
      <c r="BD230" s="49">
        <v>0</v>
      </c>
      <c r="BE230" s="50">
        <v>0</v>
      </c>
      <c r="BF230" s="49">
        <v>0</v>
      </c>
      <c r="BG230" s="50">
        <v>0</v>
      </c>
      <c r="BH230" s="49">
        <v>39</v>
      </c>
      <c r="BI230" s="50">
        <v>100</v>
      </c>
      <c r="BJ230" s="49">
        <v>39</v>
      </c>
      <c r="BK230" s="49" t="s">
        <v>3995</v>
      </c>
      <c r="BL230" s="49" t="s">
        <v>3995</v>
      </c>
      <c r="BM230" s="49" t="s">
        <v>584</v>
      </c>
      <c r="BN230" s="49" t="s">
        <v>584</v>
      </c>
      <c r="BO230" s="49" t="s">
        <v>594</v>
      </c>
      <c r="BP230" s="49" t="s">
        <v>594</v>
      </c>
      <c r="BQ230" s="116" t="s">
        <v>4292</v>
      </c>
      <c r="BR230" s="116" t="s">
        <v>4312</v>
      </c>
      <c r="BS230" s="116" t="s">
        <v>4370</v>
      </c>
      <c r="BT230" s="116" t="s">
        <v>4390</v>
      </c>
      <c r="BU230" s="2"/>
      <c r="BV230" s="3"/>
      <c r="BW230" s="3"/>
      <c r="BX230" s="3"/>
      <c r="BY230" s="3"/>
    </row>
    <row r="231" spans="1:77" ht="15">
      <c r="A231" s="65" t="s">
        <v>437</v>
      </c>
      <c r="B231" s="66"/>
      <c r="C231" s="66" t="s">
        <v>64</v>
      </c>
      <c r="D231" s="67"/>
      <c r="E231" s="69"/>
      <c r="F231" s="104" t="str">
        <f>HYPERLINK("https://pbs.twimg.com/profile_images/1506913810094989314/uhVjEOqW_normal.jpg")</f>
        <v>https://pbs.twimg.com/profile_images/1506913810094989314/uhVjEOqW_normal.jpg</v>
      </c>
      <c r="G231" s="66"/>
      <c r="H231" s="70" t="s">
        <v>437</v>
      </c>
      <c r="I231" s="71" t="s">
        <v>4393</v>
      </c>
      <c r="J231" s="71" t="s">
        <v>73</v>
      </c>
      <c r="K231" s="70" t="s">
        <v>2369</v>
      </c>
      <c r="L231" s="74">
        <v>1</v>
      </c>
      <c r="M231" s="75">
        <v>7197.30029296875</v>
      </c>
      <c r="N231" s="75">
        <v>8098.07958984375</v>
      </c>
      <c r="O231" s="76"/>
      <c r="P231" s="77"/>
      <c r="Q231" s="77"/>
      <c r="R231" s="90"/>
      <c r="S231" s="49">
        <v>0</v>
      </c>
      <c r="T231" s="49">
        <v>1</v>
      </c>
      <c r="U231" s="50">
        <v>0</v>
      </c>
      <c r="V231" s="50">
        <v>0.239313</v>
      </c>
      <c r="W231" s="50">
        <v>0.067769</v>
      </c>
      <c r="X231" s="50">
        <v>0.003151</v>
      </c>
      <c r="Y231" s="50">
        <v>0</v>
      </c>
      <c r="Z231" s="50">
        <v>0</v>
      </c>
      <c r="AA231" s="72">
        <v>231</v>
      </c>
      <c r="AB231" s="72"/>
      <c r="AC231" s="73"/>
      <c r="AD231" s="80" t="s">
        <v>1462</v>
      </c>
      <c r="AE231" s="89" t="s">
        <v>1722</v>
      </c>
      <c r="AF231" s="80">
        <v>3182</v>
      </c>
      <c r="AG231" s="80">
        <v>7151</v>
      </c>
      <c r="AH231" s="80">
        <v>14807</v>
      </c>
      <c r="AI231" s="80">
        <v>17409</v>
      </c>
      <c r="AJ231" s="80"/>
      <c r="AK231" s="80" t="s">
        <v>1983</v>
      </c>
      <c r="AL231" s="80" t="s">
        <v>2039</v>
      </c>
      <c r="AM231" s="86" t="str">
        <f>HYPERLINK("https://t.co/KehZeloeVi")</f>
        <v>https://t.co/KehZeloeVi</v>
      </c>
      <c r="AN231" s="80"/>
      <c r="AO231" s="82">
        <v>39910.7646875</v>
      </c>
      <c r="AP231" s="86" t="str">
        <f>HYPERLINK("https://pbs.twimg.com/profile_banners/29507075/1609959058")</f>
        <v>https://pbs.twimg.com/profile_banners/29507075/1609959058</v>
      </c>
      <c r="AQ231" s="80" t="b">
        <v>0</v>
      </c>
      <c r="AR231" s="80" t="b">
        <v>0</v>
      </c>
      <c r="AS231" s="80" t="b">
        <v>1</v>
      </c>
      <c r="AT231" s="80"/>
      <c r="AU231" s="80">
        <v>90</v>
      </c>
      <c r="AV231" s="86" t="str">
        <f>HYPERLINK("https://abs.twimg.com/images/themes/theme1/bg.png")</f>
        <v>https://abs.twimg.com/images/themes/theme1/bg.png</v>
      </c>
      <c r="AW231" s="80" t="b">
        <v>0</v>
      </c>
      <c r="AX231" s="80" t="s">
        <v>2141</v>
      </c>
      <c r="AY231" s="86" t="str">
        <f>HYPERLINK("https://twitter.com/deepsami")</f>
        <v>https://twitter.com/deepsami</v>
      </c>
      <c r="AZ231" s="80" t="s">
        <v>66</v>
      </c>
      <c r="BA231" s="80" t="str">
        <f>REPLACE(INDEX(GroupVertices[Group],MATCH(Vertices[[#This Row],[Vertex]],GroupVertices[Vertex],0)),1,1,"")</f>
        <v>1</v>
      </c>
      <c r="BB231" s="49">
        <v>0</v>
      </c>
      <c r="BC231" s="50">
        <v>0</v>
      </c>
      <c r="BD231" s="49">
        <v>0</v>
      </c>
      <c r="BE231" s="50">
        <v>0</v>
      </c>
      <c r="BF231" s="49">
        <v>0</v>
      </c>
      <c r="BG231" s="50">
        <v>0</v>
      </c>
      <c r="BH231" s="49">
        <v>33</v>
      </c>
      <c r="BI231" s="50">
        <v>100</v>
      </c>
      <c r="BJ231" s="49">
        <v>33</v>
      </c>
      <c r="BK231" s="49" t="s">
        <v>3990</v>
      </c>
      <c r="BL231" s="49" t="s">
        <v>3990</v>
      </c>
      <c r="BM231" s="49" t="s">
        <v>582</v>
      </c>
      <c r="BN231" s="49" t="s">
        <v>582</v>
      </c>
      <c r="BO231" s="49"/>
      <c r="BP231" s="49"/>
      <c r="BQ231" s="116" t="s">
        <v>4267</v>
      </c>
      <c r="BR231" s="116" t="s">
        <v>4267</v>
      </c>
      <c r="BS231" s="116" t="s">
        <v>4346</v>
      </c>
      <c r="BT231" s="116" t="s">
        <v>4346</v>
      </c>
      <c r="BU231" s="2"/>
      <c r="BV231" s="3"/>
      <c r="BW231" s="3"/>
      <c r="BX231" s="3"/>
      <c r="BY231" s="3"/>
    </row>
    <row r="232" spans="1:77" ht="15">
      <c r="A232" s="65" t="s">
        <v>438</v>
      </c>
      <c r="B232" s="66"/>
      <c r="C232" s="66" t="s">
        <v>64</v>
      </c>
      <c r="D232" s="67">
        <v>10</v>
      </c>
      <c r="E232" s="69"/>
      <c r="F232" s="104" t="str">
        <f>HYPERLINK("https://pbs.twimg.com/profile_images/1372467177023008769/QmqgnDC3_normal.jpg")</f>
        <v>https://pbs.twimg.com/profile_images/1372467177023008769/QmqgnDC3_normal.jpg</v>
      </c>
      <c r="G232" s="66"/>
      <c r="H232" s="70" t="s">
        <v>438</v>
      </c>
      <c r="I232" s="71" t="s">
        <v>4398</v>
      </c>
      <c r="J232" s="71" t="s">
        <v>73</v>
      </c>
      <c r="K232" s="70" t="s">
        <v>2370</v>
      </c>
      <c r="L232" s="74">
        <v>99.01960784313725</v>
      </c>
      <c r="M232" s="75"/>
      <c r="N232" s="75"/>
      <c r="O232" s="76"/>
      <c r="P232" s="77"/>
      <c r="Q232" s="77"/>
      <c r="R232" s="90"/>
      <c r="S232" s="49">
        <v>1</v>
      </c>
      <c r="T232" s="49">
        <v>1</v>
      </c>
      <c r="U232" s="50">
        <v>0</v>
      </c>
      <c r="V232" s="50">
        <v>0</v>
      </c>
      <c r="W232" s="50">
        <v>0</v>
      </c>
      <c r="X232" s="50">
        <v>0.003623</v>
      </c>
      <c r="Y232" s="50">
        <v>0</v>
      </c>
      <c r="Z232" s="50">
        <v>0</v>
      </c>
      <c r="AA232" s="72">
        <v>232</v>
      </c>
      <c r="AB232" s="72"/>
      <c r="AC232" s="73"/>
      <c r="AD232" s="80" t="s">
        <v>1463</v>
      </c>
      <c r="AE232" s="89" t="s">
        <v>1723</v>
      </c>
      <c r="AF232" s="80">
        <v>58</v>
      </c>
      <c r="AG232" s="80">
        <v>1</v>
      </c>
      <c r="AH232" s="80">
        <v>16</v>
      </c>
      <c r="AI232" s="80">
        <v>107</v>
      </c>
      <c r="AJ232" s="80"/>
      <c r="AK232" s="80" t="s">
        <v>1984</v>
      </c>
      <c r="AL232" s="80"/>
      <c r="AM232" s="80"/>
      <c r="AN232" s="80"/>
      <c r="AO232" s="82">
        <v>44273.35804398148</v>
      </c>
      <c r="AP232" s="80"/>
      <c r="AQ232" s="80" t="b">
        <v>1</v>
      </c>
      <c r="AR232" s="80" t="b">
        <v>0</v>
      </c>
      <c r="AS232" s="80" t="b">
        <v>0</v>
      </c>
      <c r="AT232" s="80"/>
      <c r="AU232" s="80">
        <v>0</v>
      </c>
      <c r="AV232" s="80"/>
      <c r="AW232" s="80" t="b">
        <v>0</v>
      </c>
      <c r="AX232" s="80" t="s">
        <v>2141</v>
      </c>
      <c r="AY232" s="86" t="str">
        <f>HYPERLINK("https://twitter.com/oliver_loser")</f>
        <v>https://twitter.com/oliver_loser</v>
      </c>
      <c r="AZ232" s="80" t="s">
        <v>66</v>
      </c>
      <c r="BA232" s="80" t="str">
        <f>REPLACE(INDEX(GroupVertices[Group],MATCH(Vertices[[#This Row],[Vertex]],GroupVertices[Vertex],0)),1,1,"")</f>
        <v>3</v>
      </c>
      <c r="BB232" s="49">
        <v>0</v>
      </c>
      <c r="BC232" s="50">
        <v>0</v>
      </c>
      <c r="BD232" s="49">
        <v>0</v>
      </c>
      <c r="BE232" s="50">
        <v>0</v>
      </c>
      <c r="BF232" s="49">
        <v>0</v>
      </c>
      <c r="BG232" s="50">
        <v>0</v>
      </c>
      <c r="BH232" s="49">
        <v>13</v>
      </c>
      <c r="BI232" s="50">
        <v>100</v>
      </c>
      <c r="BJ232" s="49">
        <v>13</v>
      </c>
      <c r="BK232" s="49"/>
      <c r="BL232" s="49"/>
      <c r="BM232" s="49"/>
      <c r="BN232" s="49"/>
      <c r="BO232" s="49"/>
      <c r="BP232" s="49"/>
      <c r="BQ232" s="116" t="s">
        <v>4293</v>
      </c>
      <c r="BR232" s="116" t="s">
        <v>4293</v>
      </c>
      <c r="BS232" s="116" t="s">
        <v>4371</v>
      </c>
      <c r="BT232" s="116" t="s">
        <v>4371</v>
      </c>
      <c r="BU232" s="2"/>
      <c r="BV232" s="3"/>
      <c r="BW232" s="3"/>
      <c r="BX232" s="3"/>
      <c r="BY232" s="3"/>
    </row>
    <row r="233" spans="1:77" ht="15">
      <c r="A233" s="65" t="s">
        <v>439</v>
      </c>
      <c r="B233" s="66"/>
      <c r="C233" s="66" t="s">
        <v>64</v>
      </c>
      <c r="D233" s="67"/>
      <c r="E233" s="69"/>
      <c r="F233" s="104" t="str">
        <f>HYPERLINK("https://pbs.twimg.com/profile_images/1504526227280998401/ghppzWgA_normal.jpg")</f>
        <v>https://pbs.twimg.com/profile_images/1504526227280998401/ghppzWgA_normal.jpg</v>
      </c>
      <c r="G233" s="66"/>
      <c r="H233" s="70" t="s">
        <v>439</v>
      </c>
      <c r="I233" s="71" t="s">
        <v>4393</v>
      </c>
      <c r="J233" s="71" t="s">
        <v>73</v>
      </c>
      <c r="K233" s="70" t="s">
        <v>2371</v>
      </c>
      <c r="L233" s="74">
        <v>1</v>
      </c>
      <c r="M233" s="75">
        <v>6284.62841796875</v>
      </c>
      <c r="N233" s="75">
        <v>5109.419921875</v>
      </c>
      <c r="O233" s="76"/>
      <c r="P233" s="77"/>
      <c r="Q233" s="77"/>
      <c r="R233" s="90"/>
      <c r="S233" s="49">
        <v>0</v>
      </c>
      <c r="T233" s="49">
        <v>1</v>
      </c>
      <c r="U233" s="50">
        <v>0</v>
      </c>
      <c r="V233" s="50">
        <v>0.239313</v>
      </c>
      <c r="W233" s="50">
        <v>0.067769</v>
      </c>
      <c r="X233" s="50">
        <v>0.003151</v>
      </c>
      <c r="Y233" s="50">
        <v>0</v>
      </c>
      <c r="Z233" s="50">
        <v>0</v>
      </c>
      <c r="AA233" s="72">
        <v>233</v>
      </c>
      <c r="AB233" s="72"/>
      <c r="AC233" s="73"/>
      <c r="AD233" s="80" t="s">
        <v>1464</v>
      </c>
      <c r="AE233" s="89" t="s">
        <v>1724</v>
      </c>
      <c r="AF233" s="80">
        <v>627</v>
      </c>
      <c r="AG233" s="80">
        <v>1240</v>
      </c>
      <c r="AH233" s="80">
        <v>7361</v>
      </c>
      <c r="AI233" s="80">
        <v>30384</v>
      </c>
      <c r="AJ233" s="80"/>
      <c r="AK233" s="80" t="s">
        <v>1985</v>
      </c>
      <c r="AL233" s="80" t="s">
        <v>2058</v>
      </c>
      <c r="AM233" s="86" t="str">
        <f>HYPERLINK("https://t.co/3dFyVvVQ0y")</f>
        <v>https://t.co/3dFyVvVQ0y</v>
      </c>
      <c r="AN233" s="80"/>
      <c r="AO233" s="82">
        <v>41119.44243055556</v>
      </c>
      <c r="AP233" s="86" t="str">
        <f>HYPERLINK("https://pbs.twimg.com/profile_banners/723785947/1621324892")</f>
        <v>https://pbs.twimg.com/profile_banners/723785947/1621324892</v>
      </c>
      <c r="AQ233" s="80" t="b">
        <v>0</v>
      </c>
      <c r="AR233" s="80" t="b">
        <v>0</v>
      </c>
      <c r="AS233" s="80" t="b">
        <v>1</v>
      </c>
      <c r="AT233" s="80"/>
      <c r="AU233" s="80">
        <v>3</v>
      </c>
      <c r="AV233" s="86" t="str">
        <f>HYPERLINK("https://abs.twimg.com/images/themes/theme13/bg.gif")</f>
        <v>https://abs.twimg.com/images/themes/theme13/bg.gif</v>
      </c>
      <c r="AW233" s="80" t="b">
        <v>0</v>
      </c>
      <c r="AX233" s="80" t="s">
        <v>2141</v>
      </c>
      <c r="AY233" s="86" t="str">
        <f>HYPERLINK("https://twitter.com/hhoenak")</f>
        <v>https://twitter.com/hhoenak</v>
      </c>
      <c r="AZ233" s="80" t="s">
        <v>66</v>
      </c>
      <c r="BA233" s="80" t="str">
        <f>REPLACE(INDEX(GroupVertices[Group],MATCH(Vertices[[#This Row],[Vertex]],GroupVertices[Vertex],0)),1,1,"")</f>
        <v>1</v>
      </c>
      <c r="BB233" s="49">
        <v>0</v>
      </c>
      <c r="BC233" s="50">
        <v>0</v>
      </c>
      <c r="BD233" s="49">
        <v>0</v>
      </c>
      <c r="BE233" s="50">
        <v>0</v>
      </c>
      <c r="BF233" s="49">
        <v>0</v>
      </c>
      <c r="BG233" s="50">
        <v>0</v>
      </c>
      <c r="BH233" s="49">
        <v>33</v>
      </c>
      <c r="BI233" s="50">
        <v>100</v>
      </c>
      <c r="BJ233" s="49">
        <v>33</v>
      </c>
      <c r="BK233" s="49" t="s">
        <v>3990</v>
      </c>
      <c r="BL233" s="49" t="s">
        <v>3990</v>
      </c>
      <c r="BM233" s="49" t="s">
        <v>582</v>
      </c>
      <c r="BN233" s="49" t="s">
        <v>582</v>
      </c>
      <c r="BO233" s="49"/>
      <c r="BP233" s="49"/>
      <c r="BQ233" s="116" t="s">
        <v>4267</v>
      </c>
      <c r="BR233" s="116" t="s">
        <v>4267</v>
      </c>
      <c r="BS233" s="116" t="s">
        <v>4346</v>
      </c>
      <c r="BT233" s="116" t="s">
        <v>4346</v>
      </c>
      <c r="BU233" s="2"/>
      <c r="BV233" s="3"/>
      <c r="BW233" s="3"/>
      <c r="BX233" s="3"/>
      <c r="BY233" s="3"/>
    </row>
    <row r="234" spans="1:77" ht="15">
      <c r="A234" s="65" t="s">
        <v>440</v>
      </c>
      <c r="B234" s="66"/>
      <c r="C234" s="66" t="s">
        <v>64</v>
      </c>
      <c r="D234" s="67">
        <v>10</v>
      </c>
      <c r="E234" s="69"/>
      <c r="F234" s="104" t="str">
        <f>HYPERLINK("https://pbs.twimg.com/profile_images/1395007466644119560/clZPJh8O_normal.jpg")</f>
        <v>https://pbs.twimg.com/profile_images/1395007466644119560/clZPJh8O_normal.jpg</v>
      </c>
      <c r="G234" s="66"/>
      <c r="H234" s="70" t="s">
        <v>440</v>
      </c>
      <c r="I234" s="71" t="s">
        <v>4398</v>
      </c>
      <c r="J234" s="71" t="s">
        <v>73</v>
      </c>
      <c r="K234" s="70" t="s">
        <v>2372</v>
      </c>
      <c r="L234" s="74">
        <v>99.01960784313725</v>
      </c>
      <c r="M234" s="75"/>
      <c r="N234" s="75"/>
      <c r="O234" s="76"/>
      <c r="P234" s="77"/>
      <c r="Q234" s="77"/>
      <c r="R234" s="90"/>
      <c r="S234" s="49">
        <v>1</v>
      </c>
      <c r="T234" s="49">
        <v>1</v>
      </c>
      <c r="U234" s="50">
        <v>0</v>
      </c>
      <c r="V234" s="50">
        <v>0</v>
      </c>
      <c r="W234" s="50">
        <v>0</v>
      </c>
      <c r="X234" s="50">
        <v>0.003623</v>
      </c>
      <c r="Y234" s="50">
        <v>0</v>
      </c>
      <c r="Z234" s="50">
        <v>0</v>
      </c>
      <c r="AA234" s="72">
        <v>234</v>
      </c>
      <c r="AB234" s="72"/>
      <c r="AC234" s="73"/>
      <c r="AD234" s="80" t="s">
        <v>1465</v>
      </c>
      <c r="AE234" s="89" t="s">
        <v>1725</v>
      </c>
      <c r="AF234" s="80">
        <v>1088</v>
      </c>
      <c r="AG234" s="80">
        <v>393</v>
      </c>
      <c r="AH234" s="80">
        <v>6183</v>
      </c>
      <c r="AI234" s="80">
        <v>13155</v>
      </c>
      <c r="AJ234" s="80"/>
      <c r="AK234" s="80" t="s">
        <v>1986</v>
      </c>
      <c r="AL234" s="80" t="s">
        <v>1201</v>
      </c>
      <c r="AM234" s="80"/>
      <c r="AN234" s="80"/>
      <c r="AO234" s="82">
        <v>41068.510775462964</v>
      </c>
      <c r="AP234" s="86" t="str">
        <f>HYPERLINK("https://pbs.twimg.com/profile_banners/602712052/1582829905")</f>
        <v>https://pbs.twimg.com/profile_banners/602712052/1582829905</v>
      </c>
      <c r="AQ234" s="80" t="b">
        <v>1</v>
      </c>
      <c r="AR234" s="80" t="b">
        <v>0</v>
      </c>
      <c r="AS234" s="80" t="b">
        <v>1</v>
      </c>
      <c r="AT234" s="80"/>
      <c r="AU234" s="80">
        <v>10</v>
      </c>
      <c r="AV234" s="86" t="str">
        <f>HYPERLINK("https://abs.twimg.com/images/themes/theme1/bg.png")</f>
        <v>https://abs.twimg.com/images/themes/theme1/bg.png</v>
      </c>
      <c r="AW234" s="80" t="b">
        <v>0</v>
      </c>
      <c r="AX234" s="80" t="s">
        <v>2141</v>
      </c>
      <c r="AY234" s="86" t="str">
        <f>HYPERLINK("https://twitter.com/villeilvonen")</f>
        <v>https://twitter.com/villeilvonen</v>
      </c>
      <c r="AZ234" s="80" t="s">
        <v>66</v>
      </c>
      <c r="BA234" s="80" t="str">
        <f>REPLACE(INDEX(GroupVertices[Group],MATCH(Vertices[[#This Row],[Vertex]],GroupVertices[Vertex],0)),1,1,"")</f>
        <v>3</v>
      </c>
      <c r="BB234" s="49">
        <v>0</v>
      </c>
      <c r="BC234" s="50">
        <v>0</v>
      </c>
      <c r="BD234" s="49">
        <v>0</v>
      </c>
      <c r="BE234" s="50">
        <v>0</v>
      </c>
      <c r="BF234" s="49">
        <v>0</v>
      </c>
      <c r="BG234" s="50">
        <v>0</v>
      </c>
      <c r="BH234" s="49">
        <v>12</v>
      </c>
      <c r="BI234" s="50">
        <v>100</v>
      </c>
      <c r="BJ234" s="49">
        <v>12</v>
      </c>
      <c r="BK234" s="49" t="s">
        <v>3990</v>
      </c>
      <c r="BL234" s="49" t="s">
        <v>3990</v>
      </c>
      <c r="BM234" s="49" t="s">
        <v>582</v>
      </c>
      <c r="BN234" s="49" t="s">
        <v>582</v>
      </c>
      <c r="BO234" s="49"/>
      <c r="BP234" s="49"/>
      <c r="BQ234" s="116" t="s">
        <v>4294</v>
      </c>
      <c r="BR234" s="116" t="s">
        <v>4294</v>
      </c>
      <c r="BS234" s="116" t="s">
        <v>4372</v>
      </c>
      <c r="BT234" s="116" t="s">
        <v>4372</v>
      </c>
      <c r="BU234" s="2"/>
      <c r="BV234" s="3"/>
      <c r="BW234" s="3"/>
      <c r="BX234" s="3"/>
      <c r="BY234" s="3"/>
    </row>
    <row r="235" spans="1:77" ht="15">
      <c r="A235" s="65" t="s">
        <v>441</v>
      </c>
      <c r="B235" s="66"/>
      <c r="C235" s="66" t="s">
        <v>64</v>
      </c>
      <c r="D235" s="67"/>
      <c r="E235" s="69"/>
      <c r="F235" s="104" t="str">
        <f>HYPERLINK("https://pbs.twimg.com/profile_images/724211696508776448/AZuvH8ot_normal.jpg")</f>
        <v>https://pbs.twimg.com/profile_images/724211696508776448/AZuvH8ot_normal.jpg</v>
      </c>
      <c r="G235" s="66"/>
      <c r="H235" s="70" t="s">
        <v>441</v>
      </c>
      <c r="I235" s="71" t="s">
        <v>4393</v>
      </c>
      <c r="J235" s="71" t="s">
        <v>73</v>
      </c>
      <c r="K235" s="70" t="s">
        <v>2373</v>
      </c>
      <c r="L235" s="74">
        <v>1</v>
      </c>
      <c r="M235" s="75">
        <v>3295.178955078125</v>
      </c>
      <c r="N235" s="75">
        <v>5499.50048828125</v>
      </c>
      <c r="O235" s="76"/>
      <c r="P235" s="77"/>
      <c r="Q235" s="77"/>
      <c r="R235" s="90"/>
      <c r="S235" s="49">
        <v>0</v>
      </c>
      <c r="T235" s="49">
        <v>1</v>
      </c>
      <c r="U235" s="50">
        <v>0</v>
      </c>
      <c r="V235" s="50">
        <v>0.239313</v>
      </c>
      <c r="W235" s="50">
        <v>0.067769</v>
      </c>
      <c r="X235" s="50">
        <v>0.003151</v>
      </c>
      <c r="Y235" s="50">
        <v>0</v>
      </c>
      <c r="Z235" s="50">
        <v>0</v>
      </c>
      <c r="AA235" s="72">
        <v>235</v>
      </c>
      <c r="AB235" s="72"/>
      <c r="AC235" s="73"/>
      <c r="AD235" s="80" t="s">
        <v>1466</v>
      </c>
      <c r="AE235" s="89" t="s">
        <v>1726</v>
      </c>
      <c r="AF235" s="80">
        <v>480</v>
      </c>
      <c r="AG235" s="80">
        <v>51</v>
      </c>
      <c r="AH235" s="80">
        <v>7058</v>
      </c>
      <c r="AI235" s="80">
        <v>14293</v>
      </c>
      <c r="AJ235" s="80"/>
      <c r="AK235" s="80" t="s">
        <v>1987</v>
      </c>
      <c r="AL235" s="80"/>
      <c r="AM235" s="80"/>
      <c r="AN235" s="80"/>
      <c r="AO235" s="82">
        <v>41885.850590277776</v>
      </c>
      <c r="AP235" s="86" t="str">
        <f>HYPERLINK("https://pbs.twimg.com/profile_banners/2760693400/1606754782")</f>
        <v>https://pbs.twimg.com/profile_banners/2760693400/1606754782</v>
      </c>
      <c r="AQ235" s="80" t="b">
        <v>1</v>
      </c>
      <c r="AR235" s="80" t="b">
        <v>0</v>
      </c>
      <c r="AS235" s="80" t="b">
        <v>0</v>
      </c>
      <c r="AT235" s="80"/>
      <c r="AU235" s="80">
        <v>0</v>
      </c>
      <c r="AV235" s="86" t="str">
        <f>HYPERLINK("https://abs.twimg.com/images/themes/theme1/bg.png")</f>
        <v>https://abs.twimg.com/images/themes/theme1/bg.png</v>
      </c>
      <c r="AW235" s="80" t="b">
        <v>0</v>
      </c>
      <c r="AX235" s="80" t="s">
        <v>2141</v>
      </c>
      <c r="AY235" s="86" t="str">
        <f>HYPERLINK("https://twitter.com/olliz_")</f>
        <v>https://twitter.com/olliz_</v>
      </c>
      <c r="AZ235" s="80" t="s">
        <v>66</v>
      </c>
      <c r="BA235" s="80" t="str">
        <f>REPLACE(INDEX(GroupVertices[Group],MATCH(Vertices[[#This Row],[Vertex]],GroupVertices[Vertex],0)),1,1,"")</f>
        <v>1</v>
      </c>
      <c r="BB235" s="49">
        <v>0</v>
      </c>
      <c r="BC235" s="50">
        <v>0</v>
      </c>
      <c r="BD235" s="49">
        <v>0</v>
      </c>
      <c r="BE235" s="50">
        <v>0</v>
      </c>
      <c r="BF235" s="49">
        <v>0</v>
      </c>
      <c r="BG235" s="50">
        <v>0</v>
      </c>
      <c r="BH235" s="49">
        <v>12</v>
      </c>
      <c r="BI235" s="50">
        <v>100</v>
      </c>
      <c r="BJ235" s="49">
        <v>12</v>
      </c>
      <c r="BK235" s="49"/>
      <c r="BL235" s="49"/>
      <c r="BM235" s="49"/>
      <c r="BN235" s="49"/>
      <c r="BO235" s="49" t="s">
        <v>591</v>
      </c>
      <c r="BP235" s="49" t="s">
        <v>591</v>
      </c>
      <c r="BQ235" s="116" t="s">
        <v>4295</v>
      </c>
      <c r="BR235" s="116" t="s">
        <v>4295</v>
      </c>
      <c r="BS235" s="116" t="s">
        <v>4373</v>
      </c>
      <c r="BT235" s="116" t="s">
        <v>4373</v>
      </c>
      <c r="BU235" s="2"/>
      <c r="BV235" s="3"/>
      <c r="BW235" s="3"/>
      <c r="BX235" s="3"/>
      <c r="BY235" s="3"/>
    </row>
    <row r="236" spans="1:77" ht="15">
      <c r="A236" s="65" t="s">
        <v>442</v>
      </c>
      <c r="B236" s="66"/>
      <c r="C236" s="66" t="s">
        <v>64</v>
      </c>
      <c r="D236" s="67">
        <v>10</v>
      </c>
      <c r="E236" s="69"/>
      <c r="F236" s="104" t="str">
        <f>HYPERLINK("https://pbs.twimg.com/profile_images/1072425226024206336/c7yQa6bX_normal.jpg")</f>
        <v>https://pbs.twimg.com/profile_images/1072425226024206336/c7yQa6bX_normal.jpg</v>
      </c>
      <c r="G236" s="66"/>
      <c r="H236" s="70" t="s">
        <v>442</v>
      </c>
      <c r="I236" s="71" t="s">
        <v>4398</v>
      </c>
      <c r="J236" s="71" t="s">
        <v>73</v>
      </c>
      <c r="K236" s="70" t="s">
        <v>2374</v>
      </c>
      <c r="L236" s="74">
        <v>99.01960784313725</v>
      </c>
      <c r="M236" s="75"/>
      <c r="N236" s="75"/>
      <c r="O236" s="76"/>
      <c r="P236" s="77"/>
      <c r="Q236" s="77"/>
      <c r="R236" s="90"/>
      <c r="S236" s="49">
        <v>1</v>
      </c>
      <c r="T236" s="49">
        <v>1</v>
      </c>
      <c r="U236" s="50">
        <v>0</v>
      </c>
      <c r="V236" s="50">
        <v>0</v>
      </c>
      <c r="W236" s="50">
        <v>0</v>
      </c>
      <c r="X236" s="50">
        <v>0.003623</v>
      </c>
      <c r="Y236" s="50">
        <v>0</v>
      </c>
      <c r="Z236" s="50">
        <v>0</v>
      </c>
      <c r="AA236" s="72">
        <v>236</v>
      </c>
      <c r="AB236" s="72"/>
      <c r="AC236" s="73"/>
      <c r="AD236" s="80" t="s">
        <v>1467</v>
      </c>
      <c r="AE236" s="89" t="s">
        <v>1727</v>
      </c>
      <c r="AF236" s="80">
        <v>1224</v>
      </c>
      <c r="AG236" s="80">
        <v>904</v>
      </c>
      <c r="AH236" s="80">
        <v>2752</v>
      </c>
      <c r="AI236" s="80">
        <v>8451</v>
      </c>
      <c r="AJ236" s="80"/>
      <c r="AK236" s="80" t="s">
        <v>1988</v>
      </c>
      <c r="AL236" s="80"/>
      <c r="AM236" s="80"/>
      <c r="AN236" s="80"/>
      <c r="AO236" s="82">
        <v>40051.765173611115</v>
      </c>
      <c r="AP236" s="86" t="str">
        <f>HYPERLINK("https://pbs.twimg.com/profile_banners/69054248/1413116292")</f>
        <v>https://pbs.twimg.com/profile_banners/69054248/1413116292</v>
      </c>
      <c r="AQ236" s="80" t="b">
        <v>1</v>
      </c>
      <c r="AR236" s="80" t="b">
        <v>0</v>
      </c>
      <c r="AS236" s="80" t="b">
        <v>1</v>
      </c>
      <c r="AT236" s="80"/>
      <c r="AU236" s="80">
        <v>16</v>
      </c>
      <c r="AV236" s="86" t="str">
        <f>HYPERLINK("https://abs.twimg.com/images/themes/theme1/bg.png")</f>
        <v>https://abs.twimg.com/images/themes/theme1/bg.png</v>
      </c>
      <c r="AW236" s="80" t="b">
        <v>0</v>
      </c>
      <c r="AX236" s="80" t="s">
        <v>2141</v>
      </c>
      <c r="AY236" s="86" t="str">
        <f>HYPERLINK("https://twitter.com/helenahulkko")</f>
        <v>https://twitter.com/helenahulkko</v>
      </c>
      <c r="AZ236" s="80" t="s">
        <v>66</v>
      </c>
      <c r="BA236" s="80" t="str">
        <f>REPLACE(INDEX(GroupVertices[Group],MATCH(Vertices[[#This Row],[Vertex]],GroupVertices[Vertex],0)),1,1,"")</f>
        <v>3</v>
      </c>
      <c r="BB236" s="49">
        <v>0</v>
      </c>
      <c r="BC236" s="50">
        <v>0</v>
      </c>
      <c r="BD236" s="49">
        <v>0</v>
      </c>
      <c r="BE236" s="50">
        <v>0</v>
      </c>
      <c r="BF236" s="49">
        <v>0</v>
      </c>
      <c r="BG236" s="50">
        <v>0</v>
      </c>
      <c r="BH236" s="49">
        <v>8</v>
      </c>
      <c r="BI236" s="50">
        <v>100</v>
      </c>
      <c r="BJ236" s="49">
        <v>8</v>
      </c>
      <c r="BK236" s="49" t="s">
        <v>4228</v>
      </c>
      <c r="BL236" s="49" t="s">
        <v>4228</v>
      </c>
      <c r="BM236" s="49" t="s">
        <v>580</v>
      </c>
      <c r="BN236" s="49" t="s">
        <v>580</v>
      </c>
      <c r="BO236" s="49" t="s">
        <v>597</v>
      </c>
      <c r="BP236" s="49" t="s">
        <v>597</v>
      </c>
      <c r="BQ236" s="116" t="s">
        <v>4296</v>
      </c>
      <c r="BR236" s="116" t="s">
        <v>4296</v>
      </c>
      <c r="BS236" s="116" t="s">
        <v>4374</v>
      </c>
      <c r="BT236" s="116" t="s">
        <v>4374</v>
      </c>
      <c r="BU236" s="2"/>
      <c r="BV236" s="3"/>
      <c r="BW236" s="3"/>
      <c r="BX236" s="3"/>
      <c r="BY236" s="3"/>
    </row>
    <row r="237" spans="1:77" ht="15">
      <c r="A237" s="65" t="s">
        <v>443</v>
      </c>
      <c r="B237" s="66"/>
      <c r="C237" s="66" t="s">
        <v>64</v>
      </c>
      <c r="D237" s="67"/>
      <c r="E237" s="69"/>
      <c r="F237" s="104" t="str">
        <f>HYPERLINK("https://pbs.twimg.com/profile_images/3488926102/d2a738c36a3651bc8f465a783e805fda_normal.jpeg")</f>
        <v>https://pbs.twimg.com/profile_images/3488926102/d2a738c36a3651bc8f465a783e805fda_normal.jpeg</v>
      </c>
      <c r="G237" s="66"/>
      <c r="H237" s="70" t="s">
        <v>443</v>
      </c>
      <c r="I237" s="71" t="s">
        <v>4411</v>
      </c>
      <c r="J237" s="71" t="s">
        <v>73</v>
      </c>
      <c r="K237" s="70" t="s">
        <v>2375</v>
      </c>
      <c r="L237" s="74">
        <v>1</v>
      </c>
      <c r="M237" s="75">
        <v>8322.306640625</v>
      </c>
      <c r="N237" s="75">
        <v>5793.25927734375</v>
      </c>
      <c r="O237" s="76"/>
      <c r="P237" s="77"/>
      <c r="Q237" s="77"/>
      <c r="R237" s="90"/>
      <c r="S237" s="49">
        <v>0</v>
      </c>
      <c r="T237" s="49">
        <v>2</v>
      </c>
      <c r="U237" s="50">
        <v>384</v>
      </c>
      <c r="V237" s="50">
        <v>0.240161</v>
      </c>
      <c r="W237" s="50">
        <v>0.068376</v>
      </c>
      <c r="X237" s="50">
        <v>0.003654</v>
      </c>
      <c r="Y237" s="50">
        <v>0</v>
      </c>
      <c r="Z237" s="50">
        <v>0</v>
      </c>
      <c r="AA237" s="72">
        <v>237</v>
      </c>
      <c r="AB237" s="72"/>
      <c r="AC237" s="73"/>
      <c r="AD237" s="80" t="s">
        <v>1468</v>
      </c>
      <c r="AE237" s="89" t="s">
        <v>1728</v>
      </c>
      <c r="AF237" s="80">
        <v>926</v>
      </c>
      <c r="AG237" s="80">
        <v>1340</v>
      </c>
      <c r="AH237" s="80">
        <v>72647</v>
      </c>
      <c r="AI237" s="80">
        <v>209553</v>
      </c>
      <c r="AJ237" s="80"/>
      <c r="AK237" s="80" t="s">
        <v>1989</v>
      </c>
      <c r="AL237" s="80" t="s">
        <v>1201</v>
      </c>
      <c r="AM237" s="86" t="str">
        <f>HYPERLINK("http://t.co/wuW9NjmrFo")</f>
        <v>http://t.co/wuW9NjmrFo</v>
      </c>
      <c r="AN237" s="80"/>
      <c r="AO237" s="82">
        <v>40631.952256944445</v>
      </c>
      <c r="AP237" s="80"/>
      <c r="AQ237" s="80" t="b">
        <v>0</v>
      </c>
      <c r="AR237" s="80" t="b">
        <v>0</v>
      </c>
      <c r="AS237" s="80" t="b">
        <v>0</v>
      </c>
      <c r="AT237" s="80"/>
      <c r="AU237" s="80">
        <v>25</v>
      </c>
      <c r="AV237" s="86" t="str">
        <f>HYPERLINK("https://abs.twimg.com/images/themes/theme3/bg.gif")</f>
        <v>https://abs.twimg.com/images/themes/theme3/bg.gif</v>
      </c>
      <c r="AW237" s="80" t="b">
        <v>0</v>
      </c>
      <c r="AX237" s="80" t="s">
        <v>2141</v>
      </c>
      <c r="AY237" s="86" t="str">
        <f>HYPERLINK("https://twitter.com/katsojana")</f>
        <v>https://twitter.com/katsojana</v>
      </c>
      <c r="AZ237" s="80" t="s">
        <v>66</v>
      </c>
      <c r="BA237" s="80" t="str">
        <f>REPLACE(INDEX(GroupVertices[Group],MATCH(Vertices[[#This Row],[Vertex]],GroupVertices[Vertex],0)),1,1,"")</f>
        <v>10</v>
      </c>
      <c r="BB237" s="49">
        <v>0</v>
      </c>
      <c r="BC237" s="50">
        <v>0</v>
      </c>
      <c r="BD237" s="49">
        <v>0</v>
      </c>
      <c r="BE237" s="50">
        <v>0</v>
      </c>
      <c r="BF237" s="49">
        <v>0</v>
      </c>
      <c r="BG237" s="50">
        <v>0</v>
      </c>
      <c r="BH237" s="49">
        <v>53</v>
      </c>
      <c r="BI237" s="50">
        <v>100</v>
      </c>
      <c r="BJ237" s="49">
        <v>53</v>
      </c>
      <c r="BK237" s="49" t="s">
        <v>3990</v>
      </c>
      <c r="BL237" s="49" t="s">
        <v>3990</v>
      </c>
      <c r="BM237" s="49" t="s">
        <v>582</v>
      </c>
      <c r="BN237" s="49" t="s">
        <v>582</v>
      </c>
      <c r="BO237" s="49"/>
      <c r="BP237" s="49"/>
      <c r="BQ237" s="116" t="s">
        <v>4297</v>
      </c>
      <c r="BR237" s="116" t="s">
        <v>4313</v>
      </c>
      <c r="BS237" s="116" t="s">
        <v>4375</v>
      </c>
      <c r="BT237" s="116" t="s">
        <v>4375</v>
      </c>
      <c r="BU237" s="2"/>
      <c r="BV237" s="3"/>
      <c r="BW237" s="3"/>
      <c r="BX237" s="3"/>
      <c r="BY237" s="3"/>
    </row>
    <row r="238" spans="1:77" ht="15">
      <c r="A238" s="65" t="s">
        <v>498</v>
      </c>
      <c r="B238" s="66"/>
      <c r="C238" s="66" t="s">
        <v>64</v>
      </c>
      <c r="D238" s="67">
        <v>10</v>
      </c>
      <c r="E238" s="69"/>
      <c r="F238" s="104" t="str">
        <f>HYPERLINK("https://pbs.twimg.com/profile_images/1481519771732557829/j_Ybu-DS_normal.jpg")</f>
        <v>https://pbs.twimg.com/profile_images/1481519771732557829/j_Ybu-DS_normal.jpg</v>
      </c>
      <c r="G238" s="66"/>
      <c r="H238" s="70" t="s">
        <v>498</v>
      </c>
      <c r="I238" s="71" t="s">
        <v>4411</v>
      </c>
      <c r="J238" s="71" t="s">
        <v>75</v>
      </c>
      <c r="K238" s="70" t="s">
        <v>2376</v>
      </c>
      <c r="L238" s="74">
        <v>99.01960784313725</v>
      </c>
      <c r="M238" s="75">
        <v>8665.357421875</v>
      </c>
      <c r="N238" s="75">
        <v>5793.25927734375</v>
      </c>
      <c r="O238" s="76"/>
      <c r="P238" s="77"/>
      <c r="Q238" s="77"/>
      <c r="R238" s="90"/>
      <c r="S238" s="49">
        <v>1</v>
      </c>
      <c r="T238" s="49">
        <v>0</v>
      </c>
      <c r="U238" s="50">
        <v>0</v>
      </c>
      <c r="V238" s="50">
        <v>0.179168</v>
      </c>
      <c r="W238" s="50">
        <v>0.00644</v>
      </c>
      <c r="X238" s="50">
        <v>0.003354</v>
      </c>
      <c r="Y238" s="50">
        <v>0</v>
      </c>
      <c r="Z238" s="50">
        <v>0</v>
      </c>
      <c r="AA238" s="72">
        <v>238</v>
      </c>
      <c r="AB238" s="72"/>
      <c r="AC238" s="73"/>
      <c r="AD238" s="80" t="s">
        <v>1469</v>
      </c>
      <c r="AE238" s="89" t="s">
        <v>1174</v>
      </c>
      <c r="AF238" s="80">
        <v>316</v>
      </c>
      <c r="AG238" s="80">
        <v>148</v>
      </c>
      <c r="AH238" s="80">
        <v>87615</v>
      </c>
      <c r="AI238" s="80">
        <v>18083</v>
      </c>
      <c r="AJ238" s="80"/>
      <c r="AK238" s="80" t="s">
        <v>1990</v>
      </c>
      <c r="AL238" s="80" t="s">
        <v>1201</v>
      </c>
      <c r="AM238" s="80"/>
      <c r="AN238" s="80"/>
      <c r="AO238" s="82">
        <v>40550.570856481485</v>
      </c>
      <c r="AP238" s="86" t="str">
        <f>HYPERLINK("https://pbs.twimg.com/profile_banners/235148859/1562258773")</f>
        <v>https://pbs.twimg.com/profile_banners/235148859/1562258773</v>
      </c>
      <c r="AQ238" s="80" t="b">
        <v>0</v>
      </c>
      <c r="AR238" s="80" t="b">
        <v>0</v>
      </c>
      <c r="AS238" s="80" t="b">
        <v>0</v>
      </c>
      <c r="AT238" s="80"/>
      <c r="AU238" s="80">
        <v>7</v>
      </c>
      <c r="AV238" s="86" t="str">
        <f>HYPERLINK("https://abs.twimg.com/images/themes/theme1/bg.png")</f>
        <v>https://abs.twimg.com/images/themes/theme1/bg.png</v>
      </c>
      <c r="AW238" s="80" t="b">
        <v>0</v>
      </c>
      <c r="AX238" s="80" t="s">
        <v>2141</v>
      </c>
      <c r="AY238" s="86" t="str">
        <f>HYPERLINK("https://twitter.com/alfild")</f>
        <v>https://twitter.com/alfild</v>
      </c>
      <c r="AZ238" s="80" t="s">
        <v>65</v>
      </c>
      <c r="BA238" s="80" t="str">
        <f>REPLACE(INDEX(GroupVertices[Group],MATCH(Vertices[[#This Row],[Vertex]],GroupVertices[Vertex],0)),1,1,"")</f>
        <v>10</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5" t="s">
        <v>444</v>
      </c>
      <c r="B239" s="66"/>
      <c r="C239" s="66" t="s">
        <v>64</v>
      </c>
      <c r="D239" s="67"/>
      <c r="E239" s="69"/>
      <c r="F239" s="104" t="str">
        <f>HYPERLINK("https://pbs.twimg.com/profile_images/1667622196/IMG_5749_normal.jpg")</f>
        <v>https://pbs.twimg.com/profile_images/1667622196/IMG_5749_normal.jpg</v>
      </c>
      <c r="G239" s="66"/>
      <c r="H239" s="70" t="s">
        <v>444</v>
      </c>
      <c r="I239" s="71" t="s">
        <v>4393</v>
      </c>
      <c r="J239" s="71" t="s">
        <v>73</v>
      </c>
      <c r="K239" s="70" t="s">
        <v>2377</v>
      </c>
      <c r="L239" s="74">
        <v>1</v>
      </c>
      <c r="M239" s="75">
        <v>5714.6796875</v>
      </c>
      <c r="N239" s="75">
        <v>4962.81396484375</v>
      </c>
      <c r="O239" s="76"/>
      <c r="P239" s="77"/>
      <c r="Q239" s="77"/>
      <c r="R239" s="90"/>
      <c r="S239" s="49">
        <v>0</v>
      </c>
      <c r="T239" s="49">
        <v>1</v>
      </c>
      <c r="U239" s="50">
        <v>0</v>
      </c>
      <c r="V239" s="50">
        <v>0.239313</v>
      </c>
      <c r="W239" s="50">
        <v>0.067769</v>
      </c>
      <c r="X239" s="50">
        <v>0.003151</v>
      </c>
      <c r="Y239" s="50">
        <v>0</v>
      </c>
      <c r="Z239" s="50">
        <v>0</v>
      </c>
      <c r="AA239" s="72">
        <v>239</v>
      </c>
      <c r="AB239" s="72"/>
      <c r="AC239" s="73"/>
      <c r="AD239" s="80" t="s">
        <v>1470</v>
      </c>
      <c r="AE239" s="89" t="s">
        <v>1729</v>
      </c>
      <c r="AF239" s="80">
        <v>1040</v>
      </c>
      <c r="AG239" s="80">
        <v>363</v>
      </c>
      <c r="AH239" s="80">
        <v>9470</v>
      </c>
      <c r="AI239" s="80">
        <v>98445</v>
      </c>
      <c r="AJ239" s="80"/>
      <c r="AK239" s="80"/>
      <c r="AL239" s="80"/>
      <c r="AM239" s="80"/>
      <c r="AN239" s="80"/>
      <c r="AO239" s="82">
        <v>40878.43851851852</v>
      </c>
      <c r="AP239" s="80"/>
      <c r="AQ239" s="80" t="b">
        <v>1</v>
      </c>
      <c r="AR239" s="80" t="b">
        <v>0</v>
      </c>
      <c r="AS239" s="80" t="b">
        <v>0</v>
      </c>
      <c r="AT239" s="80"/>
      <c r="AU239" s="80">
        <v>1</v>
      </c>
      <c r="AV239" s="86" t="str">
        <f>HYPERLINK("https://abs.twimg.com/images/themes/theme1/bg.png")</f>
        <v>https://abs.twimg.com/images/themes/theme1/bg.png</v>
      </c>
      <c r="AW239" s="80" t="b">
        <v>0</v>
      </c>
      <c r="AX239" s="80" t="s">
        <v>2141</v>
      </c>
      <c r="AY239" s="86" t="str">
        <f>HYPERLINK("https://twitter.com/juha_penttinen")</f>
        <v>https://twitter.com/juha_penttinen</v>
      </c>
      <c r="AZ239" s="80" t="s">
        <v>66</v>
      </c>
      <c r="BA239" s="80" t="str">
        <f>REPLACE(INDEX(GroupVertices[Group],MATCH(Vertices[[#This Row],[Vertex]],GroupVertices[Vertex],0)),1,1,"")</f>
        <v>1</v>
      </c>
      <c r="BB239" s="49">
        <v>0</v>
      </c>
      <c r="BC239" s="50">
        <v>0</v>
      </c>
      <c r="BD239" s="49">
        <v>0</v>
      </c>
      <c r="BE239" s="50">
        <v>0</v>
      </c>
      <c r="BF239" s="49">
        <v>0</v>
      </c>
      <c r="BG239" s="50">
        <v>0</v>
      </c>
      <c r="BH239" s="49">
        <v>33</v>
      </c>
      <c r="BI239" s="50">
        <v>100</v>
      </c>
      <c r="BJ239" s="49">
        <v>33</v>
      </c>
      <c r="BK239" s="49" t="s">
        <v>3990</v>
      </c>
      <c r="BL239" s="49" t="s">
        <v>3990</v>
      </c>
      <c r="BM239" s="49" t="s">
        <v>582</v>
      </c>
      <c r="BN239" s="49" t="s">
        <v>582</v>
      </c>
      <c r="BO239" s="49"/>
      <c r="BP239" s="49"/>
      <c r="BQ239" s="116" t="s">
        <v>4267</v>
      </c>
      <c r="BR239" s="116" t="s">
        <v>4267</v>
      </c>
      <c r="BS239" s="116" t="s">
        <v>4346</v>
      </c>
      <c r="BT239" s="116" t="s">
        <v>4346</v>
      </c>
      <c r="BU239" s="2"/>
      <c r="BV239" s="3"/>
      <c r="BW239" s="3"/>
      <c r="BX239" s="3"/>
      <c r="BY239" s="3"/>
    </row>
    <row r="240" spans="1:77" ht="15">
      <c r="A240" s="65" t="s">
        <v>445</v>
      </c>
      <c r="B240" s="66"/>
      <c r="C240" s="66" t="s">
        <v>64</v>
      </c>
      <c r="D240" s="67"/>
      <c r="E240" s="69"/>
      <c r="F240" s="104" t="str">
        <f>HYPERLINK("https://abs.twimg.com/sticky/default_profile_images/default_profile_normal.png")</f>
        <v>https://abs.twimg.com/sticky/default_profile_images/default_profile_normal.png</v>
      </c>
      <c r="G240" s="66"/>
      <c r="H240" s="70" t="s">
        <v>445</v>
      </c>
      <c r="I240" s="71" t="s">
        <v>4393</v>
      </c>
      <c r="J240" s="71" t="s">
        <v>73</v>
      </c>
      <c r="K240" s="70" t="s">
        <v>2378</v>
      </c>
      <c r="L240" s="74">
        <v>1</v>
      </c>
      <c r="M240" s="75">
        <v>3999.34619140625</v>
      </c>
      <c r="N240" s="75">
        <v>4130.24658203125</v>
      </c>
      <c r="O240" s="76"/>
      <c r="P240" s="77"/>
      <c r="Q240" s="77"/>
      <c r="R240" s="90"/>
      <c r="S240" s="49">
        <v>0</v>
      </c>
      <c r="T240" s="49">
        <v>1</v>
      </c>
      <c r="U240" s="50">
        <v>0</v>
      </c>
      <c r="V240" s="50">
        <v>0.239313</v>
      </c>
      <c r="W240" s="50">
        <v>0.067769</v>
      </c>
      <c r="X240" s="50">
        <v>0.003151</v>
      </c>
      <c r="Y240" s="50">
        <v>0</v>
      </c>
      <c r="Z240" s="50">
        <v>0</v>
      </c>
      <c r="AA240" s="72">
        <v>240</v>
      </c>
      <c r="AB240" s="72"/>
      <c r="AC240" s="73"/>
      <c r="AD240" s="80" t="s">
        <v>1471</v>
      </c>
      <c r="AE240" s="89" t="s">
        <v>1730</v>
      </c>
      <c r="AF240" s="80">
        <v>257</v>
      </c>
      <c r="AG240" s="80">
        <v>28</v>
      </c>
      <c r="AH240" s="80">
        <v>837</v>
      </c>
      <c r="AI240" s="80">
        <v>1851</v>
      </c>
      <c r="AJ240" s="80"/>
      <c r="AK240" s="80" t="s">
        <v>1991</v>
      </c>
      <c r="AL240" s="80"/>
      <c r="AM240" s="80"/>
      <c r="AN240" s="80"/>
      <c r="AO240" s="82">
        <v>44365.22872685185</v>
      </c>
      <c r="AP240" s="80"/>
      <c r="AQ240" s="80" t="b">
        <v>1</v>
      </c>
      <c r="AR240" s="80" t="b">
        <v>1</v>
      </c>
      <c r="AS240" s="80" t="b">
        <v>0</v>
      </c>
      <c r="AT240" s="80"/>
      <c r="AU240" s="80">
        <v>0</v>
      </c>
      <c r="AV240" s="80"/>
      <c r="AW240" s="80" t="b">
        <v>0</v>
      </c>
      <c r="AX240" s="80" t="s">
        <v>2141</v>
      </c>
      <c r="AY240" s="86" t="str">
        <f>HYPERLINK("https://twitter.com/mies15807389")</f>
        <v>https://twitter.com/mies15807389</v>
      </c>
      <c r="AZ240" s="80" t="s">
        <v>66</v>
      </c>
      <c r="BA240" s="80" t="str">
        <f>REPLACE(INDEX(GroupVertices[Group],MATCH(Vertices[[#This Row],[Vertex]],GroupVertices[Vertex],0)),1,1,"")</f>
        <v>1</v>
      </c>
      <c r="BB240" s="49">
        <v>0</v>
      </c>
      <c r="BC240" s="50">
        <v>0</v>
      </c>
      <c r="BD240" s="49">
        <v>0</v>
      </c>
      <c r="BE240" s="50">
        <v>0</v>
      </c>
      <c r="BF240" s="49">
        <v>0</v>
      </c>
      <c r="BG240" s="50">
        <v>0</v>
      </c>
      <c r="BH240" s="49">
        <v>9</v>
      </c>
      <c r="BI240" s="50">
        <v>100</v>
      </c>
      <c r="BJ240" s="49">
        <v>9</v>
      </c>
      <c r="BK240" s="49"/>
      <c r="BL240" s="49"/>
      <c r="BM240" s="49"/>
      <c r="BN240" s="49"/>
      <c r="BO240" s="49"/>
      <c r="BP240" s="49"/>
      <c r="BQ240" s="116" t="s">
        <v>4298</v>
      </c>
      <c r="BR240" s="116" t="s">
        <v>4298</v>
      </c>
      <c r="BS240" s="116" t="s">
        <v>4376</v>
      </c>
      <c r="BT240" s="116" t="s">
        <v>4376</v>
      </c>
      <c r="BU240" s="2"/>
      <c r="BV240" s="3"/>
      <c r="BW240" s="3"/>
      <c r="BX240" s="3"/>
      <c r="BY240" s="3"/>
    </row>
    <row r="241" spans="1:77" ht="15">
      <c r="A241" s="65" t="s">
        <v>446</v>
      </c>
      <c r="B241" s="66"/>
      <c r="C241" s="66" t="s">
        <v>64</v>
      </c>
      <c r="D241" s="67">
        <v>10</v>
      </c>
      <c r="E241" s="69"/>
      <c r="F241" s="104" t="str">
        <f>HYPERLINK("https://pbs.twimg.com/profile_images/608604648300277760/6ASRa7Z3_normal.jpg")</f>
        <v>https://pbs.twimg.com/profile_images/608604648300277760/6ASRa7Z3_normal.jpg</v>
      </c>
      <c r="G241" s="66"/>
      <c r="H241" s="70" t="s">
        <v>446</v>
      </c>
      <c r="I241" s="71" t="s">
        <v>4398</v>
      </c>
      <c r="J241" s="71" t="s">
        <v>73</v>
      </c>
      <c r="K241" s="70" t="s">
        <v>2379</v>
      </c>
      <c r="L241" s="74">
        <v>99.01960784313725</v>
      </c>
      <c r="M241" s="75"/>
      <c r="N241" s="75"/>
      <c r="O241" s="76"/>
      <c r="P241" s="77"/>
      <c r="Q241" s="77"/>
      <c r="R241" s="90"/>
      <c r="S241" s="49">
        <v>1</v>
      </c>
      <c r="T241" s="49">
        <v>1</v>
      </c>
      <c r="U241" s="50">
        <v>0</v>
      </c>
      <c r="V241" s="50">
        <v>0</v>
      </c>
      <c r="W241" s="50">
        <v>0</v>
      </c>
      <c r="X241" s="50">
        <v>0.003623</v>
      </c>
      <c r="Y241" s="50">
        <v>0</v>
      </c>
      <c r="Z241" s="50">
        <v>0</v>
      </c>
      <c r="AA241" s="72">
        <v>241</v>
      </c>
      <c r="AB241" s="72"/>
      <c r="AC241" s="73"/>
      <c r="AD241" s="80" t="s">
        <v>1472</v>
      </c>
      <c r="AE241" s="89" t="s">
        <v>1731</v>
      </c>
      <c r="AF241" s="80">
        <v>215</v>
      </c>
      <c r="AG241" s="80">
        <v>897</v>
      </c>
      <c r="AH241" s="80">
        <v>8584</v>
      </c>
      <c r="AI241" s="80">
        <v>11867</v>
      </c>
      <c r="AJ241" s="80"/>
      <c r="AK241" s="80" t="s">
        <v>1992</v>
      </c>
      <c r="AL241" s="80" t="s">
        <v>1210</v>
      </c>
      <c r="AM241" s="80"/>
      <c r="AN241" s="80"/>
      <c r="AO241" s="82">
        <v>40433.660416666666</v>
      </c>
      <c r="AP241" s="86" t="str">
        <f>HYPERLINK("https://pbs.twimg.com/profile_banners/189916445/1433937505")</f>
        <v>https://pbs.twimg.com/profile_banners/189916445/1433937505</v>
      </c>
      <c r="AQ241" s="80" t="b">
        <v>0</v>
      </c>
      <c r="AR241" s="80" t="b">
        <v>0</v>
      </c>
      <c r="AS241" s="80" t="b">
        <v>0</v>
      </c>
      <c r="AT241" s="80"/>
      <c r="AU241" s="80">
        <v>20</v>
      </c>
      <c r="AV241" s="86" t="str">
        <f>HYPERLINK("https://abs.twimg.com/images/themes/theme8/bg.gif")</f>
        <v>https://abs.twimg.com/images/themes/theme8/bg.gif</v>
      </c>
      <c r="AW241" s="80" t="b">
        <v>0</v>
      </c>
      <c r="AX241" s="80" t="s">
        <v>2141</v>
      </c>
      <c r="AY241" s="86" t="str">
        <f>HYPERLINK("https://twitter.com/satuhujanen")</f>
        <v>https://twitter.com/satuhujanen</v>
      </c>
      <c r="AZ241" s="80" t="s">
        <v>66</v>
      </c>
      <c r="BA241" s="80" t="str">
        <f>REPLACE(INDEX(GroupVertices[Group],MATCH(Vertices[[#This Row],[Vertex]],GroupVertices[Vertex],0)),1,1,"")</f>
        <v>3</v>
      </c>
      <c r="BB241" s="49">
        <v>0</v>
      </c>
      <c r="BC241" s="50">
        <v>0</v>
      </c>
      <c r="BD241" s="49">
        <v>0</v>
      </c>
      <c r="BE241" s="50">
        <v>0</v>
      </c>
      <c r="BF241" s="49">
        <v>0</v>
      </c>
      <c r="BG241" s="50">
        <v>0</v>
      </c>
      <c r="BH241" s="49">
        <v>24</v>
      </c>
      <c r="BI241" s="50">
        <v>100</v>
      </c>
      <c r="BJ241" s="49">
        <v>24</v>
      </c>
      <c r="BK241" s="49" t="s">
        <v>3990</v>
      </c>
      <c r="BL241" s="49" t="s">
        <v>3990</v>
      </c>
      <c r="BM241" s="49" t="s">
        <v>582</v>
      </c>
      <c r="BN241" s="49" t="s">
        <v>582</v>
      </c>
      <c r="BO241" s="49" t="s">
        <v>598</v>
      </c>
      <c r="BP241" s="49" t="s">
        <v>598</v>
      </c>
      <c r="BQ241" s="116" t="s">
        <v>4299</v>
      </c>
      <c r="BR241" s="116" t="s">
        <v>4299</v>
      </c>
      <c r="BS241" s="116" t="s">
        <v>4377</v>
      </c>
      <c r="BT241" s="116" t="s">
        <v>4377</v>
      </c>
      <c r="BU241" s="2"/>
      <c r="BV241" s="3"/>
      <c r="BW241" s="3"/>
      <c r="BX241" s="3"/>
      <c r="BY241" s="3"/>
    </row>
    <row r="242" spans="1:77" ht="15">
      <c r="A242" s="65" t="s">
        <v>447</v>
      </c>
      <c r="B242" s="66"/>
      <c r="C242" s="66" t="s">
        <v>64</v>
      </c>
      <c r="D242" s="67">
        <v>10</v>
      </c>
      <c r="E242" s="69"/>
      <c r="F242" s="104" t="str">
        <f>HYPERLINK("https://pbs.twimg.com/profile_images/1474695807052001280/RuPgmZs2_normal.jpg")</f>
        <v>https://pbs.twimg.com/profile_images/1474695807052001280/RuPgmZs2_normal.jpg</v>
      </c>
      <c r="G242" s="66"/>
      <c r="H242" s="70" t="s">
        <v>447</v>
      </c>
      <c r="I242" s="71" t="s">
        <v>4398</v>
      </c>
      <c r="J242" s="71" t="s">
        <v>73</v>
      </c>
      <c r="K242" s="70" t="s">
        <v>2380</v>
      </c>
      <c r="L242" s="74">
        <v>99.01960784313725</v>
      </c>
      <c r="M242" s="75"/>
      <c r="N242" s="75"/>
      <c r="O242" s="76"/>
      <c r="P242" s="77"/>
      <c r="Q242" s="77"/>
      <c r="R242" s="90"/>
      <c r="S242" s="49">
        <v>1</v>
      </c>
      <c r="T242" s="49">
        <v>1</v>
      </c>
      <c r="U242" s="50">
        <v>0</v>
      </c>
      <c r="V242" s="50">
        <v>0</v>
      </c>
      <c r="W242" s="50">
        <v>0</v>
      </c>
      <c r="X242" s="50">
        <v>0.003623</v>
      </c>
      <c r="Y242" s="50">
        <v>0</v>
      </c>
      <c r="Z242" s="50">
        <v>0</v>
      </c>
      <c r="AA242" s="72">
        <v>242</v>
      </c>
      <c r="AB242" s="72"/>
      <c r="AC242" s="73"/>
      <c r="AD242" s="80" t="s">
        <v>1473</v>
      </c>
      <c r="AE242" s="89" t="s">
        <v>1732</v>
      </c>
      <c r="AF242" s="80">
        <v>276</v>
      </c>
      <c r="AG242" s="80">
        <v>375</v>
      </c>
      <c r="AH242" s="80">
        <v>976</v>
      </c>
      <c r="AI242" s="80">
        <v>1735</v>
      </c>
      <c r="AJ242" s="80"/>
      <c r="AK242" s="80" t="s">
        <v>1993</v>
      </c>
      <c r="AL242" s="80"/>
      <c r="AM242" s="80"/>
      <c r="AN242" s="80"/>
      <c r="AO242" s="82">
        <v>43181.56322916667</v>
      </c>
      <c r="AP242" s="86" t="str">
        <f>HYPERLINK("https://pbs.twimg.com/profile_banners/976813507151884288/1570818412")</f>
        <v>https://pbs.twimg.com/profile_banners/976813507151884288/1570818412</v>
      </c>
      <c r="AQ242" s="80" t="b">
        <v>1</v>
      </c>
      <c r="AR242" s="80" t="b">
        <v>0</v>
      </c>
      <c r="AS242" s="80" t="b">
        <v>1</v>
      </c>
      <c r="AT242" s="80"/>
      <c r="AU242" s="80">
        <v>0</v>
      </c>
      <c r="AV242" s="80"/>
      <c r="AW242" s="80" t="b">
        <v>0</v>
      </c>
      <c r="AX242" s="80" t="s">
        <v>2141</v>
      </c>
      <c r="AY242" s="86" t="str">
        <f>HYPERLINK("https://twitter.com/heinilamarika")</f>
        <v>https://twitter.com/heinilamarika</v>
      </c>
      <c r="AZ242" s="80" t="s">
        <v>66</v>
      </c>
      <c r="BA242" s="80" t="str">
        <f>REPLACE(INDEX(GroupVertices[Group],MATCH(Vertices[[#This Row],[Vertex]],GroupVertices[Vertex],0)),1,1,"")</f>
        <v>3</v>
      </c>
      <c r="BB242" s="49">
        <v>0</v>
      </c>
      <c r="BC242" s="50">
        <v>0</v>
      </c>
      <c r="BD242" s="49">
        <v>0</v>
      </c>
      <c r="BE242" s="50">
        <v>0</v>
      </c>
      <c r="BF242" s="49">
        <v>0</v>
      </c>
      <c r="BG242" s="50">
        <v>0</v>
      </c>
      <c r="BH242" s="49">
        <v>12</v>
      </c>
      <c r="BI242" s="50">
        <v>100</v>
      </c>
      <c r="BJ242" s="49">
        <v>12</v>
      </c>
      <c r="BK242" s="49" t="s">
        <v>3990</v>
      </c>
      <c r="BL242" s="49" t="s">
        <v>3990</v>
      </c>
      <c r="BM242" s="49" t="s">
        <v>582</v>
      </c>
      <c r="BN242" s="49" t="s">
        <v>582</v>
      </c>
      <c r="BO242" s="49"/>
      <c r="BP242" s="49"/>
      <c r="BQ242" s="116" t="s">
        <v>4300</v>
      </c>
      <c r="BR242" s="116" t="s">
        <v>4300</v>
      </c>
      <c r="BS242" s="116" t="s">
        <v>4378</v>
      </c>
      <c r="BT242" s="116" t="s">
        <v>4378</v>
      </c>
      <c r="BU242" s="2"/>
      <c r="BV242" s="3"/>
      <c r="BW242" s="3"/>
      <c r="BX242" s="3"/>
      <c r="BY242" s="3"/>
    </row>
    <row r="243" spans="1:77" ht="15">
      <c r="A243" s="65" t="s">
        <v>448</v>
      </c>
      <c r="B243" s="66"/>
      <c r="C243" s="66" t="s">
        <v>64</v>
      </c>
      <c r="D243" s="67">
        <v>10</v>
      </c>
      <c r="E243" s="69"/>
      <c r="F243" s="104" t="str">
        <f>HYPERLINK("https://pbs.twimg.com/profile_images/1299387168331194372/TnvkWY0g_normal.jpg")</f>
        <v>https://pbs.twimg.com/profile_images/1299387168331194372/TnvkWY0g_normal.jpg</v>
      </c>
      <c r="G243" s="66"/>
      <c r="H243" s="70" t="s">
        <v>448</v>
      </c>
      <c r="I243" s="71" t="s">
        <v>4398</v>
      </c>
      <c r="J243" s="71" t="s">
        <v>73</v>
      </c>
      <c r="K243" s="70" t="s">
        <v>2381</v>
      </c>
      <c r="L243" s="74">
        <v>99.01960784313725</v>
      </c>
      <c r="M243" s="75"/>
      <c r="N243" s="75"/>
      <c r="O243" s="76"/>
      <c r="P243" s="77"/>
      <c r="Q243" s="77"/>
      <c r="R243" s="90"/>
      <c r="S243" s="49">
        <v>1</v>
      </c>
      <c r="T243" s="49">
        <v>1</v>
      </c>
      <c r="U243" s="50">
        <v>0</v>
      </c>
      <c r="V243" s="50">
        <v>0</v>
      </c>
      <c r="W243" s="50">
        <v>0</v>
      </c>
      <c r="X243" s="50">
        <v>0.003623</v>
      </c>
      <c r="Y243" s="50">
        <v>0</v>
      </c>
      <c r="Z243" s="50">
        <v>0</v>
      </c>
      <c r="AA243" s="72">
        <v>243</v>
      </c>
      <c r="AB243" s="72"/>
      <c r="AC243" s="73"/>
      <c r="AD243" s="80" t="s">
        <v>1474</v>
      </c>
      <c r="AE243" s="89" t="s">
        <v>1733</v>
      </c>
      <c r="AF243" s="80">
        <v>191</v>
      </c>
      <c r="AG243" s="80">
        <v>178</v>
      </c>
      <c r="AH243" s="80">
        <v>3812</v>
      </c>
      <c r="AI243" s="80">
        <v>9152</v>
      </c>
      <c r="AJ243" s="80"/>
      <c r="AK243" s="80" t="s">
        <v>1994</v>
      </c>
      <c r="AL243" s="80" t="s">
        <v>2111</v>
      </c>
      <c r="AM243" s="86" t="str">
        <f>HYPERLINK("https://t.co/vVsZcQC6pd")</f>
        <v>https://t.co/vVsZcQC6pd</v>
      </c>
      <c r="AN243" s="80"/>
      <c r="AO243" s="82">
        <v>43180.50114583333</v>
      </c>
      <c r="AP243" s="86" t="str">
        <f>HYPERLINK("https://pbs.twimg.com/profile_banners/976428620343324672/1521783244")</f>
        <v>https://pbs.twimg.com/profile_banners/976428620343324672/1521783244</v>
      </c>
      <c r="AQ243" s="80" t="b">
        <v>1</v>
      </c>
      <c r="AR243" s="80" t="b">
        <v>0</v>
      </c>
      <c r="AS243" s="80" t="b">
        <v>0</v>
      </c>
      <c r="AT243" s="80"/>
      <c r="AU243" s="80">
        <v>0</v>
      </c>
      <c r="AV243" s="80"/>
      <c r="AW243" s="80" t="b">
        <v>0</v>
      </c>
      <c r="AX243" s="80" t="s">
        <v>2141</v>
      </c>
      <c r="AY243" s="86" t="str">
        <f>HYPERLINK("https://twitter.com/totentanzcomics")</f>
        <v>https://twitter.com/totentanzcomics</v>
      </c>
      <c r="AZ243" s="80" t="s">
        <v>66</v>
      </c>
      <c r="BA243" s="80" t="str">
        <f>REPLACE(INDEX(GroupVertices[Group],MATCH(Vertices[[#This Row],[Vertex]],GroupVertices[Vertex],0)),1,1,"")</f>
        <v>3</v>
      </c>
      <c r="BB243" s="49">
        <v>0</v>
      </c>
      <c r="BC243" s="50">
        <v>0</v>
      </c>
      <c r="BD243" s="49">
        <v>0</v>
      </c>
      <c r="BE243" s="50">
        <v>0</v>
      </c>
      <c r="BF243" s="49">
        <v>0</v>
      </c>
      <c r="BG243" s="50">
        <v>0</v>
      </c>
      <c r="BH243" s="49">
        <v>23</v>
      </c>
      <c r="BI243" s="50">
        <v>100</v>
      </c>
      <c r="BJ243" s="49">
        <v>23</v>
      </c>
      <c r="BK243" s="49"/>
      <c r="BL243" s="49"/>
      <c r="BM243" s="49"/>
      <c r="BN243" s="49"/>
      <c r="BO243" s="49" t="s">
        <v>599</v>
      </c>
      <c r="BP243" s="49" t="s">
        <v>599</v>
      </c>
      <c r="BQ243" s="116" t="s">
        <v>4301</v>
      </c>
      <c r="BR243" s="116" t="s">
        <v>4301</v>
      </c>
      <c r="BS243" s="116" t="s">
        <v>4379</v>
      </c>
      <c r="BT243" s="116" t="s">
        <v>4379</v>
      </c>
      <c r="BU243" s="2"/>
      <c r="BV243" s="3"/>
      <c r="BW243" s="3"/>
      <c r="BX243" s="3"/>
      <c r="BY243" s="3"/>
    </row>
    <row r="244" spans="1:77" ht="15">
      <c r="A244" s="65" t="s">
        <v>449</v>
      </c>
      <c r="B244" s="66"/>
      <c r="C244" s="66" t="s">
        <v>64</v>
      </c>
      <c r="D244" s="67"/>
      <c r="E244" s="69"/>
      <c r="F244" s="104" t="str">
        <f>HYPERLINK("https://pbs.twimg.com/profile_images/985555365361274881/L8l3BJoE_normal.jpg")</f>
        <v>https://pbs.twimg.com/profile_images/985555365361274881/L8l3BJoE_normal.jpg</v>
      </c>
      <c r="G244" s="66"/>
      <c r="H244" s="70" t="s">
        <v>449</v>
      </c>
      <c r="I244" s="71" t="s">
        <v>4393</v>
      </c>
      <c r="J244" s="71" t="s">
        <v>73</v>
      </c>
      <c r="K244" s="70" t="s">
        <v>2382</v>
      </c>
      <c r="L244" s="74">
        <v>1</v>
      </c>
      <c r="M244" s="75">
        <v>2407.038818359375</v>
      </c>
      <c r="N244" s="75">
        <v>7416.66748046875</v>
      </c>
      <c r="O244" s="76"/>
      <c r="P244" s="77"/>
      <c r="Q244" s="77"/>
      <c r="R244" s="90"/>
      <c r="S244" s="49">
        <v>0</v>
      </c>
      <c r="T244" s="49">
        <v>1</v>
      </c>
      <c r="U244" s="50">
        <v>0</v>
      </c>
      <c r="V244" s="50">
        <v>0.239313</v>
      </c>
      <c r="W244" s="50">
        <v>0.067769</v>
      </c>
      <c r="X244" s="50">
        <v>0.003151</v>
      </c>
      <c r="Y244" s="50">
        <v>0</v>
      </c>
      <c r="Z244" s="50">
        <v>0</v>
      </c>
      <c r="AA244" s="72">
        <v>244</v>
      </c>
      <c r="AB244" s="72"/>
      <c r="AC244" s="73"/>
      <c r="AD244" s="80" t="s">
        <v>1475</v>
      </c>
      <c r="AE244" s="89" t="s">
        <v>1734</v>
      </c>
      <c r="AF244" s="80">
        <v>962</v>
      </c>
      <c r="AG244" s="80">
        <v>196</v>
      </c>
      <c r="AH244" s="80">
        <v>3426</v>
      </c>
      <c r="AI244" s="80">
        <v>13369</v>
      </c>
      <c r="AJ244" s="80"/>
      <c r="AK244" s="80" t="s">
        <v>1995</v>
      </c>
      <c r="AL244" s="80" t="s">
        <v>2127</v>
      </c>
      <c r="AM244" s="80"/>
      <c r="AN244" s="80"/>
      <c r="AO244" s="82">
        <v>41599.69783564815</v>
      </c>
      <c r="AP244" s="86" t="str">
        <f>HYPERLINK("https://pbs.twimg.com/profile_banners/2190130624/1523809621")</f>
        <v>https://pbs.twimg.com/profile_banners/2190130624/1523809621</v>
      </c>
      <c r="AQ244" s="80" t="b">
        <v>1</v>
      </c>
      <c r="AR244" s="80" t="b">
        <v>0</v>
      </c>
      <c r="AS244" s="80" t="b">
        <v>1</v>
      </c>
      <c r="AT244" s="80"/>
      <c r="AU244" s="80">
        <v>6</v>
      </c>
      <c r="AV244" s="86" t="str">
        <f>HYPERLINK("https://abs.twimg.com/images/themes/theme1/bg.png")</f>
        <v>https://abs.twimg.com/images/themes/theme1/bg.png</v>
      </c>
      <c r="AW244" s="80" t="b">
        <v>0</v>
      </c>
      <c r="AX244" s="80" t="s">
        <v>2141</v>
      </c>
      <c r="AY244" s="86" t="str">
        <f>HYPERLINK("https://twitter.com/pralinekaisa")</f>
        <v>https://twitter.com/pralinekaisa</v>
      </c>
      <c r="AZ244" s="80" t="s">
        <v>66</v>
      </c>
      <c r="BA244" s="80" t="str">
        <f>REPLACE(INDEX(GroupVertices[Group],MATCH(Vertices[[#This Row],[Vertex]],GroupVertices[Vertex],0)),1,1,"")</f>
        <v>1</v>
      </c>
      <c r="BB244" s="49">
        <v>0</v>
      </c>
      <c r="BC244" s="50">
        <v>0</v>
      </c>
      <c r="BD244" s="49">
        <v>0</v>
      </c>
      <c r="BE244" s="50">
        <v>0</v>
      </c>
      <c r="BF244" s="49">
        <v>0</v>
      </c>
      <c r="BG244" s="50">
        <v>0</v>
      </c>
      <c r="BH244" s="49">
        <v>33</v>
      </c>
      <c r="BI244" s="50">
        <v>100</v>
      </c>
      <c r="BJ244" s="49">
        <v>33</v>
      </c>
      <c r="BK244" s="49" t="s">
        <v>3990</v>
      </c>
      <c r="BL244" s="49" t="s">
        <v>3990</v>
      </c>
      <c r="BM244" s="49" t="s">
        <v>582</v>
      </c>
      <c r="BN244" s="49" t="s">
        <v>582</v>
      </c>
      <c r="BO244" s="49"/>
      <c r="BP244" s="49"/>
      <c r="BQ244" s="116" t="s">
        <v>4267</v>
      </c>
      <c r="BR244" s="116" t="s">
        <v>4267</v>
      </c>
      <c r="BS244" s="116" t="s">
        <v>4346</v>
      </c>
      <c r="BT244" s="116" t="s">
        <v>4346</v>
      </c>
      <c r="BU244" s="2"/>
      <c r="BV244" s="3"/>
      <c r="BW244" s="3"/>
      <c r="BX244" s="3"/>
      <c r="BY244" s="3"/>
    </row>
    <row r="245" spans="1:77" ht="15">
      <c r="A245" s="65" t="s">
        <v>450</v>
      </c>
      <c r="B245" s="66"/>
      <c r="C245" s="66" t="s">
        <v>64</v>
      </c>
      <c r="D245" s="67">
        <v>10</v>
      </c>
      <c r="E245" s="69"/>
      <c r="F245" s="104" t="str">
        <f>HYPERLINK("https://pbs.twimg.com/profile_images/1203258087492198401/QC4hUaJB_normal.jpg")</f>
        <v>https://pbs.twimg.com/profile_images/1203258087492198401/QC4hUaJB_normal.jpg</v>
      </c>
      <c r="G245" s="66"/>
      <c r="H245" s="70" t="s">
        <v>450</v>
      </c>
      <c r="I245" s="71" t="s">
        <v>4398</v>
      </c>
      <c r="J245" s="71" t="s">
        <v>73</v>
      </c>
      <c r="K245" s="70" t="s">
        <v>2383</v>
      </c>
      <c r="L245" s="74">
        <v>99.01960784313725</v>
      </c>
      <c r="M245" s="75"/>
      <c r="N245" s="75"/>
      <c r="O245" s="76"/>
      <c r="P245" s="77"/>
      <c r="Q245" s="77"/>
      <c r="R245" s="90"/>
      <c r="S245" s="49">
        <v>1</v>
      </c>
      <c r="T245" s="49">
        <v>1</v>
      </c>
      <c r="U245" s="50">
        <v>0</v>
      </c>
      <c r="V245" s="50">
        <v>0</v>
      </c>
      <c r="W245" s="50">
        <v>0</v>
      </c>
      <c r="X245" s="50">
        <v>0.003623</v>
      </c>
      <c r="Y245" s="50">
        <v>0</v>
      </c>
      <c r="Z245" s="50">
        <v>0</v>
      </c>
      <c r="AA245" s="72">
        <v>245</v>
      </c>
      <c r="AB245" s="72"/>
      <c r="AC245" s="73"/>
      <c r="AD245" s="80" t="s">
        <v>1476</v>
      </c>
      <c r="AE245" s="89" t="s">
        <v>1735</v>
      </c>
      <c r="AF245" s="80">
        <v>964</v>
      </c>
      <c r="AG245" s="80">
        <v>364</v>
      </c>
      <c r="AH245" s="80">
        <v>383</v>
      </c>
      <c r="AI245" s="80">
        <v>1929</v>
      </c>
      <c r="AJ245" s="80"/>
      <c r="AK245" s="80" t="s">
        <v>1996</v>
      </c>
      <c r="AL245" s="80" t="s">
        <v>2128</v>
      </c>
      <c r="AM245" s="86" t="str">
        <f>HYPERLINK("https://t.co/VFfck4RTmR")</f>
        <v>https://t.co/VFfck4RTmR</v>
      </c>
      <c r="AN245" s="80"/>
      <c r="AO245" s="82">
        <v>41199.812951388885</v>
      </c>
      <c r="AP245" s="86" t="str">
        <f>HYPERLINK("https://pbs.twimg.com/profile_banners/887421872/1575714059")</f>
        <v>https://pbs.twimg.com/profile_banners/887421872/1575714059</v>
      </c>
      <c r="AQ245" s="80" t="b">
        <v>1</v>
      </c>
      <c r="AR245" s="80" t="b">
        <v>0</v>
      </c>
      <c r="AS245" s="80" t="b">
        <v>1</v>
      </c>
      <c r="AT245" s="80"/>
      <c r="AU245" s="80">
        <v>4</v>
      </c>
      <c r="AV245" s="86" t="str">
        <f>HYPERLINK("https://abs.twimg.com/images/themes/theme1/bg.png")</f>
        <v>https://abs.twimg.com/images/themes/theme1/bg.png</v>
      </c>
      <c r="AW245" s="80" t="b">
        <v>0</v>
      </c>
      <c r="AX245" s="80" t="s">
        <v>2141</v>
      </c>
      <c r="AY245" s="86" t="str">
        <f>HYPERLINK("https://twitter.com/pasanen_satu")</f>
        <v>https://twitter.com/pasanen_satu</v>
      </c>
      <c r="AZ245" s="80" t="s">
        <v>66</v>
      </c>
      <c r="BA245" s="80" t="str">
        <f>REPLACE(INDEX(GroupVertices[Group],MATCH(Vertices[[#This Row],[Vertex]],GroupVertices[Vertex],0)),1,1,"")</f>
        <v>3</v>
      </c>
      <c r="BB245" s="49">
        <v>0</v>
      </c>
      <c r="BC245" s="50">
        <v>0</v>
      </c>
      <c r="BD245" s="49">
        <v>0</v>
      </c>
      <c r="BE245" s="50">
        <v>0</v>
      </c>
      <c r="BF245" s="49">
        <v>0</v>
      </c>
      <c r="BG245" s="50">
        <v>0</v>
      </c>
      <c r="BH245" s="49">
        <v>22</v>
      </c>
      <c r="BI245" s="50">
        <v>100</v>
      </c>
      <c r="BJ245" s="49">
        <v>22</v>
      </c>
      <c r="BK245" s="49"/>
      <c r="BL245" s="49"/>
      <c r="BM245" s="49"/>
      <c r="BN245" s="49"/>
      <c r="BO245" s="49" t="s">
        <v>600</v>
      </c>
      <c r="BP245" s="49" t="s">
        <v>600</v>
      </c>
      <c r="BQ245" s="116" t="s">
        <v>4302</v>
      </c>
      <c r="BR245" s="116" t="s">
        <v>4302</v>
      </c>
      <c r="BS245" s="116" t="s">
        <v>4380</v>
      </c>
      <c r="BT245" s="116" t="s">
        <v>4380</v>
      </c>
      <c r="BU245" s="2"/>
      <c r="BV245" s="3"/>
      <c r="BW245" s="3"/>
      <c r="BX245" s="3"/>
      <c r="BY245" s="3"/>
    </row>
    <row r="246" spans="1:77" ht="15">
      <c r="A246" s="65" t="s">
        <v>451</v>
      </c>
      <c r="B246" s="66"/>
      <c r="C246" s="66" t="s">
        <v>64</v>
      </c>
      <c r="D246" s="67"/>
      <c r="E246" s="69"/>
      <c r="F246" s="104" t="str">
        <f>HYPERLINK("https://pbs.twimg.com/profile_images/1497820799188750338/T_F0jTCU_normal.jpg")</f>
        <v>https://pbs.twimg.com/profile_images/1497820799188750338/T_F0jTCU_normal.jpg</v>
      </c>
      <c r="G246" s="66"/>
      <c r="H246" s="70" t="s">
        <v>451</v>
      </c>
      <c r="I246" s="71" t="s">
        <v>4393</v>
      </c>
      <c r="J246" s="71" t="s">
        <v>73</v>
      </c>
      <c r="K246" s="70" t="s">
        <v>2384</v>
      </c>
      <c r="L246" s="74">
        <v>1</v>
      </c>
      <c r="M246" s="75">
        <v>2547.581298828125</v>
      </c>
      <c r="N246" s="75">
        <v>6343.5419921875</v>
      </c>
      <c r="O246" s="76"/>
      <c r="P246" s="77"/>
      <c r="Q246" s="77"/>
      <c r="R246" s="90"/>
      <c r="S246" s="49">
        <v>0</v>
      </c>
      <c r="T246" s="49">
        <v>1</v>
      </c>
      <c r="U246" s="50">
        <v>0</v>
      </c>
      <c r="V246" s="50">
        <v>0.239313</v>
      </c>
      <c r="W246" s="50">
        <v>0.067769</v>
      </c>
      <c r="X246" s="50">
        <v>0.003151</v>
      </c>
      <c r="Y246" s="50">
        <v>0</v>
      </c>
      <c r="Z246" s="50">
        <v>0</v>
      </c>
      <c r="AA246" s="72">
        <v>246</v>
      </c>
      <c r="AB246" s="72"/>
      <c r="AC246" s="73"/>
      <c r="AD246" s="80" t="s">
        <v>1477</v>
      </c>
      <c r="AE246" s="89" t="s">
        <v>1736</v>
      </c>
      <c r="AF246" s="80">
        <v>1325</v>
      </c>
      <c r="AG246" s="80">
        <v>861</v>
      </c>
      <c r="AH246" s="80">
        <v>29876</v>
      </c>
      <c r="AI246" s="80">
        <v>18547</v>
      </c>
      <c r="AJ246" s="80"/>
      <c r="AK246" s="80" t="s">
        <v>1997</v>
      </c>
      <c r="AL246" s="80" t="s">
        <v>2039</v>
      </c>
      <c r="AM246" s="80"/>
      <c r="AN246" s="80"/>
      <c r="AO246" s="82">
        <v>41623.82111111111</v>
      </c>
      <c r="AP246" s="86" t="str">
        <f>HYPERLINK("https://pbs.twimg.com/profile_banners/2247671652/1497696553")</f>
        <v>https://pbs.twimg.com/profile_banners/2247671652/1497696553</v>
      </c>
      <c r="AQ246" s="80" t="b">
        <v>0</v>
      </c>
      <c r="AR246" s="80" t="b">
        <v>0</v>
      </c>
      <c r="AS246" s="80" t="b">
        <v>0</v>
      </c>
      <c r="AT246" s="80"/>
      <c r="AU246" s="80">
        <v>0</v>
      </c>
      <c r="AV246" s="86" t="str">
        <f>HYPERLINK("https://abs.twimg.com/images/themes/theme6/bg.gif")</f>
        <v>https://abs.twimg.com/images/themes/theme6/bg.gif</v>
      </c>
      <c r="AW246" s="80" t="b">
        <v>0</v>
      </c>
      <c r="AX246" s="80" t="s">
        <v>2141</v>
      </c>
      <c r="AY246" s="86" t="str">
        <f>HYPERLINK("https://twitter.com/seikkulansuvi")</f>
        <v>https://twitter.com/seikkulansuvi</v>
      </c>
      <c r="AZ246" s="80" t="s">
        <v>66</v>
      </c>
      <c r="BA246" s="80" t="str">
        <f>REPLACE(INDEX(GroupVertices[Group],MATCH(Vertices[[#This Row],[Vertex]],GroupVertices[Vertex],0)),1,1,"")</f>
        <v>1</v>
      </c>
      <c r="BB246" s="49">
        <v>0</v>
      </c>
      <c r="BC246" s="50">
        <v>0</v>
      </c>
      <c r="BD246" s="49">
        <v>0</v>
      </c>
      <c r="BE246" s="50">
        <v>0</v>
      </c>
      <c r="BF246" s="49">
        <v>0</v>
      </c>
      <c r="BG246" s="50">
        <v>0</v>
      </c>
      <c r="BH246" s="49">
        <v>33</v>
      </c>
      <c r="BI246" s="50">
        <v>100</v>
      </c>
      <c r="BJ246" s="49">
        <v>33</v>
      </c>
      <c r="BK246" s="49" t="s">
        <v>3990</v>
      </c>
      <c r="BL246" s="49" t="s">
        <v>3990</v>
      </c>
      <c r="BM246" s="49" t="s">
        <v>582</v>
      </c>
      <c r="BN246" s="49" t="s">
        <v>582</v>
      </c>
      <c r="BO246" s="49"/>
      <c r="BP246" s="49"/>
      <c r="BQ246" s="116" t="s">
        <v>4267</v>
      </c>
      <c r="BR246" s="116" t="s">
        <v>4267</v>
      </c>
      <c r="BS246" s="116" t="s">
        <v>4346</v>
      </c>
      <c r="BT246" s="116" t="s">
        <v>4346</v>
      </c>
      <c r="BU246" s="2"/>
      <c r="BV246" s="3"/>
      <c r="BW246" s="3"/>
      <c r="BX246" s="3"/>
      <c r="BY246" s="3"/>
    </row>
    <row r="247" spans="1:77" ht="15">
      <c r="A247" s="65" t="s">
        <v>452</v>
      </c>
      <c r="B247" s="66"/>
      <c r="C247" s="66" t="s">
        <v>64</v>
      </c>
      <c r="D247" s="67"/>
      <c r="E247" s="69"/>
      <c r="F247" s="104" t="str">
        <f>HYPERLINK("https://pbs.twimg.com/profile_images/1501281468869496835/57q7C0B1_normal.jpg")</f>
        <v>https://pbs.twimg.com/profile_images/1501281468869496835/57q7C0B1_normal.jpg</v>
      </c>
      <c r="G247" s="66"/>
      <c r="H247" s="70" t="s">
        <v>452</v>
      </c>
      <c r="I247" s="71" t="s">
        <v>4393</v>
      </c>
      <c r="J247" s="71" t="s">
        <v>73</v>
      </c>
      <c r="K247" s="70" t="s">
        <v>2385</v>
      </c>
      <c r="L247" s="74">
        <v>1</v>
      </c>
      <c r="M247" s="75">
        <v>4430.29052734375</v>
      </c>
      <c r="N247" s="75">
        <v>3969.67333984375</v>
      </c>
      <c r="O247" s="76"/>
      <c r="P247" s="77"/>
      <c r="Q247" s="77"/>
      <c r="R247" s="90"/>
      <c r="S247" s="49">
        <v>0</v>
      </c>
      <c r="T247" s="49">
        <v>1</v>
      </c>
      <c r="U247" s="50">
        <v>0</v>
      </c>
      <c r="V247" s="50">
        <v>0.239313</v>
      </c>
      <c r="W247" s="50">
        <v>0.067769</v>
      </c>
      <c r="X247" s="50">
        <v>0.003151</v>
      </c>
      <c r="Y247" s="50">
        <v>0</v>
      </c>
      <c r="Z247" s="50">
        <v>0</v>
      </c>
      <c r="AA247" s="72">
        <v>247</v>
      </c>
      <c r="AB247" s="72"/>
      <c r="AC247" s="73"/>
      <c r="AD247" s="80" t="s">
        <v>1478</v>
      </c>
      <c r="AE247" s="89" t="s">
        <v>1737</v>
      </c>
      <c r="AF247" s="80">
        <v>1076</v>
      </c>
      <c r="AG247" s="80">
        <v>318</v>
      </c>
      <c r="AH247" s="80">
        <v>1555</v>
      </c>
      <c r="AI247" s="80">
        <v>13843</v>
      </c>
      <c r="AJ247" s="80"/>
      <c r="AK247" s="80" t="s">
        <v>1998</v>
      </c>
      <c r="AL247" s="80" t="s">
        <v>2129</v>
      </c>
      <c r="AM247" s="86" t="str">
        <f>HYPERLINK("https://t.co/wNGuM75DuO")</f>
        <v>https://t.co/wNGuM75DuO</v>
      </c>
      <c r="AN247" s="80"/>
      <c r="AO247" s="82">
        <v>41653.23454861111</v>
      </c>
      <c r="AP247" s="86" t="str">
        <f>HYPERLINK("https://pbs.twimg.com/profile_banners/2290703725/1646768370")</f>
        <v>https://pbs.twimg.com/profile_banners/2290703725/1646768370</v>
      </c>
      <c r="AQ247" s="80" t="b">
        <v>1</v>
      </c>
      <c r="AR247" s="80" t="b">
        <v>0</v>
      </c>
      <c r="AS247" s="80" t="b">
        <v>1</v>
      </c>
      <c r="AT247" s="80"/>
      <c r="AU247" s="80">
        <v>3</v>
      </c>
      <c r="AV247" s="86" t="str">
        <f>HYPERLINK("https://abs.twimg.com/images/themes/theme1/bg.png")</f>
        <v>https://abs.twimg.com/images/themes/theme1/bg.png</v>
      </c>
      <c r="AW247" s="80" t="b">
        <v>0</v>
      </c>
      <c r="AX247" s="80" t="s">
        <v>2141</v>
      </c>
      <c r="AY247" s="86" t="str">
        <f>HYPERLINK("https://twitter.com/mimosan78")</f>
        <v>https://twitter.com/mimosan78</v>
      </c>
      <c r="AZ247" s="80" t="s">
        <v>66</v>
      </c>
      <c r="BA247" s="80" t="str">
        <f>REPLACE(INDEX(GroupVertices[Group],MATCH(Vertices[[#This Row],[Vertex]],GroupVertices[Vertex],0)),1,1,"")</f>
        <v>1</v>
      </c>
      <c r="BB247" s="49">
        <v>0</v>
      </c>
      <c r="BC247" s="50">
        <v>0</v>
      </c>
      <c r="BD247" s="49">
        <v>0</v>
      </c>
      <c r="BE247" s="50">
        <v>0</v>
      </c>
      <c r="BF247" s="49">
        <v>0</v>
      </c>
      <c r="BG247" s="50">
        <v>0</v>
      </c>
      <c r="BH247" s="49">
        <v>33</v>
      </c>
      <c r="BI247" s="50">
        <v>100</v>
      </c>
      <c r="BJ247" s="49">
        <v>33</v>
      </c>
      <c r="BK247" s="49" t="s">
        <v>3990</v>
      </c>
      <c r="BL247" s="49" t="s">
        <v>3990</v>
      </c>
      <c r="BM247" s="49" t="s">
        <v>582</v>
      </c>
      <c r="BN247" s="49" t="s">
        <v>582</v>
      </c>
      <c r="BO247" s="49"/>
      <c r="BP247" s="49"/>
      <c r="BQ247" s="116" t="s">
        <v>4267</v>
      </c>
      <c r="BR247" s="116" t="s">
        <v>4267</v>
      </c>
      <c r="BS247" s="116" t="s">
        <v>4346</v>
      </c>
      <c r="BT247" s="116" t="s">
        <v>4346</v>
      </c>
      <c r="BU247" s="2"/>
      <c r="BV247" s="3"/>
      <c r="BW247" s="3"/>
      <c r="BX247" s="3"/>
      <c r="BY247" s="3"/>
    </row>
    <row r="248" spans="1:77" ht="15">
      <c r="A248" s="65" t="s">
        <v>453</v>
      </c>
      <c r="B248" s="66"/>
      <c r="C248" s="66" t="s">
        <v>64</v>
      </c>
      <c r="D248" s="67"/>
      <c r="E248" s="69"/>
      <c r="F248" s="104" t="str">
        <f>HYPERLINK("https://pbs.twimg.com/profile_images/1436657241868980225/flvroX5A_normal.jpg")</f>
        <v>https://pbs.twimg.com/profile_images/1436657241868980225/flvroX5A_normal.jpg</v>
      </c>
      <c r="G248" s="66"/>
      <c r="H248" s="70" t="s">
        <v>453</v>
      </c>
      <c r="I248" s="71" t="s">
        <v>4410</v>
      </c>
      <c r="J248" s="71" t="s">
        <v>73</v>
      </c>
      <c r="K248" s="70" t="s">
        <v>2386</v>
      </c>
      <c r="L248" s="74">
        <v>1</v>
      </c>
      <c r="M248" s="75">
        <v>727.7048950195312</v>
      </c>
      <c r="N248" s="75">
        <v>9526.244140625</v>
      </c>
      <c r="O248" s="76"/>
      <c r="P248" s="77"/>
      <c r="Q248" s="77"/>
      <c r="R248" s="90"/>
      <c r="S248" s="49">
        <v>0</v>
      </c>
      <c r="T248" s="49">
        <v>1</v>
      </c>
      <c r="U248" s="50">
        <v>0</v>
      </c>
      <c r="V248" s="50">
        <v>0.15898</v>
      </c>
      <c r="W248" s="50">
        <v>0.002672</v>
      </c>
      <c r="X248" s="50">
        <v>0.003162</v>
      </c>
      <c r="Y248" s="50">
        <v>0</v>
      </c>
      <c r="Z248" s="50">
        <v>0</v>
      </c>
      <c r="AA248" s="72">
        <v>248</v>
      </c>
      <c r="AB248" s="72"/>
      <c r="AC248" s="73"/>
      <c r="AD248" s="80" t="s">
        <v>1479</v>
      </c>
      <c r="AE248" s="89" t="s">
        <v>1738</v>
      </c>
      <c r="AF248" s="80">
        <v>3272</v>
      </c>
      <c r="AG248" s="80">
        <v>843</v>
      </c>
      <c r="AH248" s="80">
        <v>3938</v>
      </c>
      <c r="AI248" s="80">
        <v>12130</v>
      </c>
      <c r="AJ248" s="80"/>
      <c r="AK248" s="80" t="s">
        <v>1999</v>
      </c>
      <c r="AL248" s="80" t="s">
        <v>2130</v>
      </c>
      <c r="AM248" s="80"/>
      <c r="AN248" s="80"/>
      <c r="AO248" s="82">
        <v>44231.395787037036</v>
      </c>
      <c r="AP248" s="86" t="str">
        <f>HYPERLINK("https://pbs.twimg.com/profile_banners/1357259891161899010/1641375389")</f>
        <v>https://pbs.twimg.com/profile_banners/1357259891161899010/1641375389</v>
      </c>
      <c r="AQ248" s="80" t="b">
        <v>1</v>
      </c>
      <c r="AR248" s="80" t="b">
        <v>0</v>
      </c>
      <c r="AS248" s="80" t="b">
        <v>1</v>
      </c>
      <c r="AT248" s="80"/>
      <c r="AU248" s="80">
        <v>3</v>
      </c>
      <c r="AV248" s="80"/>
      <c r="AW248" s="80" t="b">
        <v>0</v>
      </c>
      <c r="AX248" s="80" t="s">
        <v>2141</v>
      </c>
      <c r="AY248" s="86" t="str">
        <f>HYPERLINK("https://twitter.com/jjflehtinen")</f>
        <v>https://twitter.com/jjflehtinen</v>
      </c>
      <c r="AZ248" s="80" t="s">
        <v>66</v>
      </c>
      <c r="BA248" s="80" t="str">
        <f>REPLACE(INDEX(GroupVertices[Group],MATCH(Vertices[[#This Row],[Vertex]],GroupVertices[Vertex],0)),1,1,"")</f>
        <v>4</v>
      </c>
      <c r="BB248" s="49">
        <v>0</v>
      </c>
      <c r="BC248" s="50">
        <v>0</v>
      </c>
      <c r="BD248" s="49">
        <v>0</v>
      </c>
      <c r="BE248" s="50">
        <v>0</v>
      </c>
      <c r="BF248" s="49">
        <v>0</v>
      </c>
      <c r="BG248" s="50">
        <v>0</v>
      </c>
      <c r="BH248" s="49">
        <v>33</v>
      </c>
      <c r="BI248" s="50">
        <v>100</v>
      </c>
      <c r="BJ248" s="49">
        <v>33</v>
      </c>
      <c r="BK248" s="49"/>
      <c r="BL248" s="49"/>
      <c r="BM248" s="49"/>
      <c r="BN248" s="49"/>
      <c r="BO248" s="49" t="s">
        <v>594</v>
      </c>
      <c r="BP248" s="49" t="s">
        <v>594</v>
      </c>
      <c r="BQ248" s="116" t="s">
        <v>4303</v>
      </c>
      <c r="BR248" s="116" t="s">
        <v>4303</v>
      </c>
      <c r="BS248" s="116" t="s">
        <v>4381</v>
      </c>
      <c r="BT248" s="116" t="s">
        <v>4381</v>
      </c>
      <c r="BU248" s="2"/>
      <c r="BV248" s="3"/>
      <c r="BW248" s="3"/>
      <c r="BX248" s="3"/>
      <c r="BY248" s="3"/>
    </row>
    <row r="249" spans="1:77" ht="15">
      <c r="A249" s="65" t="s">
        <v>454</v>
      </c>
      <c r="B249" s="66"/>
      <c r="C249" s="66" t="s">
        <v>64</v>
      </c>
      <c r="D249" s="67">
        <v>10</v>
      </c>
      <c r="E249" s="69"/>
      <c r="F249" s="104" t="str">
        <f>HYPERLINK("https://pbs.twimg.com/profile_images/1297589829606281218/AOaUKstj_normal.jpg")</f>
        <v>https://pbs.twimg.com/profile_images/1297589829606281218/AOaUKstj_normal.jpg</v>
      </c>
      <c r="G249" s="66"/>
      <c r="H249" s="70" t="s">
        <v>454</v>
      </c>
      <c r="I249" s="71" t="s">
        <v>4398</v>
      </c>
      <c r="J249" s="71" t="s">
        <v>73</v>
      </c>
      <c r="K249" s="70" t="s">
        <v>2387</v>
      </c>
      <c r="L249" s="74">
        <v>99.01960784313725</v>
      </c>
      <c r="M249" s="75"/>
      <c r="N249" s="75"/>
      <c r="O249" s="76"/>
      <c r="P249" s="77"/>
      <c r="Q249" s="77"/>
      <c r="R249" s="90"/>
      <c r="S249" s="49">
        <v>1</v>
      </c>
      <c r="T249" s="49">
        <v>1</v>
      </c>
      <c r="U249" s="50">
        <v>0</v>
      </c>
      <c r="V249" s="50">
        <v>0</v>
      </c>
      <c r="W249" s="50">
        <v>0</v>
      </c>
      <c r="X249" s="50">
        <v>0.003623</v>
      </c>
      <c r="Y249" s="50">
        <v>0</v>
      </c>
      <c r="Z249" s="50">
        <v>0</v>
      </c>
      <c r="AA249" s="72">
        <v>249</v>
      </c>
      <c r="AB249" s="72"/>
      <c r="AC249" s="73"/>
      <c r="AD249" s="80" t="s">
        <v>1480</v>
      </c>
      <c r="AE249" s="89" t="s">
        <v>1739</v>
      </c>
      <c r="AF249" s="80">
        <v>902</v>
      </c>
      <c r="AG249" s="80">
        <v>237</v>
      </c>
      <c r="AH249" s="80">
        <v>1625</v>
      </c>
      <c r="AI249" s="80">
        <v>23003</v>
      </c>
      <c r="AJ249" s="80"/>
      <c r="AK249" s="80" t="s">
        <v>2000</v>
      </c>
      <c r="AL249" s="80"/>
      <c r="AM249" s="80"/>
      <c r="AN249" s="80"/>
      <c r="AO249" s="82">
        <v>44066.736608796295</v>
      </c>
      <c r="AP249" s="86" t="str">
        <f>HYPERLINK("https://pbs.twimg.com/profile_banners/1297589504879067136/1603142379")</f>
        <v>https://pbs.twimg.com/profile_banners/1297589504879067136/1603142379</v>
      </c>
      <c r="AQ249" s="80" t="b">
        <v>1</v>
      </c>
      <c r="AR249" s="80" t="b">
        <v>0</v>
      </c>
      <c r="AS249" s="80" t="b">
        <v>1</v>
      </c>
      <c r="AT249" s="80"/>
      <c r="AU249" s="80">
        <v>2</v>
      </c>
      <c r="AV249" s="80"/>
      <c r="AW249" s="80" t="b">
        <v>0</v>
      </c>
      <c r="AX249" s="80" t="s">
        <v>2141</v>
      </c>
      <c r="AY249" s="86" t="str">
        <f>HYPERLINK("https://twitter.com/mmurdvee")</f>
        <v>https://twitter.com/mmurdvee</v>
      </c>
      <c r="AZ249" s="80" t="s">
        <v>66</v>
      </c>
      <c r="BA249" s="80" t="str">
        <f>REPLACE(INDEX(GroupVertices[Group],MATCH(Vertices[[#This Row],[Vertex]],GroupVertices[Vertex],0)),1,1,"")</f>
        <v>3</v>
      </c>
      <c r="BB249" s="49">
        <v>0</v>
      </c>
      <c r="BC249" s="50">
        <v>0</v>
      </c>
      <c r="BD249" s="49">
        <v>0</v>
      </c>
      <c r="BE249" s="50">
        <v>0</v>
      </c>
      <c r="BF249" s="49">
        <v>0</v>
      </c>
      <c r="BG249" s="50">
        <v>0</v>
      </c>
      <c r="BH249" s="49">
        <v>8</v>
      </c>
      <c r="BI249" s="50">
        <v>100</v>
      </c>
      <c r="BJ249" s="49">
        <v>8</v>
      </c>
      <c r="BK249" s="49" t="s">
        <v>3994</v>
      </c>
      <c r="BL249" s="49" t="s">
        <v>3994</v>
      </c>
      <c r="BM249" s="49" t="s">
        <v>580</v>
      </c>
      <c r="BN249" s="49" t="s">
        <v>580</v>
      </c>
      <c r="BO249" s="49" t="s">
        <v>601</v>
      </c>
      <c r="BP249" s="49" t="s">
        <v>601</v>
      </c>
      <c r="BQ249" s="116" t="s">
        <v>4304</v>
      </c>
      <c r="BR249" s="116" t="s">
        <v>4304</v>
      </c>
      <c r="BS249" s="116" t="s">
        <v>4382</v>
      </c>
      <c r="BT249" s="116" t="s">
        <v>4382</v>
      </c>
      <c r="BU249" s="2"/>
      <c r="BV249" s="3"/>
      <c r="BW249" s="3"/>
      <c r="BX249" s="3"/>
      <c r="BY249" s="3"/>
    </row>
    <row r="250" spans="1:77" ht="15">
      <c r="A250" s="65" t="s">
        <v>455</v>
      </c>
      <c r="B250" s="66"/>
      <c r="C250" s="66" t="s">
        <v>64</v>
      </c>
      <c r="D250" s="67"/>
      <c r="E250" s="69"/>
      <c r="F250" s="104" t="str">
        <f>HYPERLINK("https://pbs.twimg.com/profile_images/848874068610822145/N347usQ4_normal.jpg")</f>
        <v>https://pbs.twimg.com/profile_images/848874068610822145/N347usQ4_normal.jpg</v>
      </c>
      <c r="G250" s="66"/>
      <c r="H250" s="70" t="s">
        <v>455</v>
      </c>
      <c r="I250" s="71" t="s">
        <v>4393</v>
      </c>
      <c r="J250" s="71" t="s">
        <v>73</v>
      </c>
      <c r="K250" s="70" t="s">
        <v>2388</v>
      </c>
      <c r="L250" s="74">
        <v>1</v>
      </c>
      <c r="M250" s="75">
        <v>5871.16162109375</v>
      </c>
      <c r="N250" s="75">
        <v>5739.8251953125</v>
      </c>
      <c r="O250" s="76"/>
      <c r="P250" s="77"/>
      <c r="Q250" s="77"/>
      <c r="R250" s="90"/>
      <c r="S250" s="49">
        <v>0</v>
      </c>
      <c r="T250" s="49">
        <v>1</v>
      </c>
      <c r="U250" s="50">
        <v>0</v>
      </c>
      <c r="V250" s="50">
        <v>0.239313</v>
      </c>
      <c r="W250" s="50">
        <v>0.067769</v>
      </c>
      <c r="X250" s="50">
        <v>0.003151</v>
      </c>
      <c r="Y250" s="50">
        <v>0</v>
      </c>
      <c r="Z250" s="50">
        <v>0</v>
      </c>
      <c r="AA250" s="72">
        <v>250</v>
      </c>
      <c r="AB250" s="72"/>
      <c r="AC250" s="73"/>
      <c r="AD250" s="80" t="s">
        <v>1481</v>
      </c>
      <c r="AE250" s="89" t="s">
        <v>1740</v>
      </c>
      <c r="AF250" s="80">
        <v>464</v>
      </c>
      <c r="AG250" s="80">
        <v>223</v>
      </c>
      <c r="AH250" s="80">
        <v>1532</v>
      </c>
      <c r="AI250" s="80">
        <v>2791</v>
      </c>
      <c r="AJ250" s="80"/>
      <c r="AK250" s="80"/>
      <c r="AL250" s="80"/>
      <c r="AM250" s="80"/>
      <c r="AN250" s="80"/>
      <c r="AO250" s="82">
        <v>39973.93226851852</v>
      </c>
      <c r="AP250" s="80"/>
      <c r="AQ250" s="80" t="b">
        <v>0</v>
      </c>
      <c r="AR250" s="80" t="b">
        <v>0</v>
      </c>
      <c r="AS250" s="80" t="b">
        <v>1</v>
      </c>
      <c r="AT250" s="80"/>
      <c r="AU250" s="80">
        <v>9</v>
      </c>
      <c r="AV250" s="86" t="str">
        <f>HYPERLINK("https://abs.twimg.com/images/themes/theme9/bg.gif")</f>
        <v>https://abs.twimg.com/images/themes/theme9/bg.gif</v>
      </c>
      <c r="AW250" s="80" t="b">
        <v>0</v>
      </c>
      <c r="AX250" s="80" t="s">
        <v>2141</v>
      </c>
      <c r="AY250" s="86" t="str">
        <f>HYPERLINK("https://twitter.com/ladadude")</f>
        <v>https://twitter.com/ladadude</v>
      </c>
      <c r="AZ250" s="80" t="s">
        <v>66</v>
      </c>
      <c r="BA250" s="80" t="str">
        <f>REPLACE(INDEX(GroupVertices[Group],MATCH(Vertices[[#This Row],[Vertex]],GroupVertices[Vertex],0)),1,1,"")</f>
        <v>1</v>
      </c>
      <c r="BB250" s="49">
        <v>0</v>
      </c>
      <c r="BC250" s="50">
        <v>0</v>
      </c>
      <c r="BD250" s="49">
        <v>0</v>
      </c>
      <c r="BE250" s="50">
        <v>0</v>
      </c>
      <c r="BF250" s="49">
        <v>0</v>
      </c>
      <c r="BG250" s="50">
        <v>0</v>
      </c>
      <c r="BH250" s="49">
        <v>33</v>
      </c>
      <c r="BI250" s="50">
        <v>100</v>
      </c>
      <c r="BJ250" s="49">
        <v>33</v>
      </c>
      <c r="BK250" s="49" t="s">
        <v>3990</v>
      </c>
      <c r="BL250" s="49" t="s">
        <v>3990</v>
      </c>
      <c r="BM250" s="49" t="s">
        <v>582</v>
      </c>
      <c r="BN250" s="49" t="s">
        <v>582</v>
      </c>
      <c r="BO250" s="49"/>
      <c r="BP250" s="49"/>
      <c r="BQ250" s="116" t="s">
        <v>4267</v>
      </c>
      <c r="BR250" s="116" t="s">
        <v>4267</v>
      </c>
      <c r="BS250" s="116" t="s">
        <v>4346</v>
      </c>
      <c r="BT250" s="116" t="s">
        <v>4346</v>
      </c>
      <c r="BU250" s="2"/>
      <c r="BV250" s="3"/>
      <c r="BW250" s="3"/>
      <c r="BX250" s="3"/>
      <c r="BY250" s="3"/>
    </row>
    <row r="251" spans="1:77" ht="15">
      <c r="A251" s="65" t="s">
        <v>456</v>
      </c>
      <c r="B251" s="66"/>
      <c r="C251" s="66" t="s">
        <v>64</v>
      </c>
      <c r="D251" s="67"/>
      <c r="E251" s="69"/>
      <c r="F251" s="104" t="str">
        <f>HYPERLINK("https://pbs.twimg.com/profile_images/1417574436161691650/nAYaKpT__normal.jpg")</f>
        <v>https://pbs.twimg.com/profile_images/1417574436161691650/nAYaKpT__normal.jpg</v>
      </c>
      <c r="G251" s="66"/>
      <c r="H251" s="70" t="s">
        <v>456</v>
      </c>
      <c r="I251" s="71" t="s">
        <v>4410</v>
      </c>
      <c r="J251" s="71" t="s">
        <v>73</v>
      </c>
      <c r="K251" s="70" t="s">
        <v>2389</v>
      </c>
      <c r="L251" s="74">
        <v>1</v>
      </c>
      <c r="M251" s="75">
        <v>660.0872802734375</v>
      </c>
      <c r="N251" s="75">
        <v>8377.68359375</v>
      </c>
      <c r="O251" s="76"/>
      <c r="P251" s="77"/>
      <c r="Q251" s="77"/>
      <c r="R251" s="90"/>
      <c r="S251" s="49">
        <v>0</v>
      </c>
      <c r="T251" s="49">
        <v>1</v>
      </c>
      <c r="U251" s="50">
        <v>0</v>
      </c>
      <c r="V251" s="50">
        <v>0.15898</v>
      </c>
      <c r="W251" s="50">
        <v>0.002672</v>
      </c>
      <c r="X251" s="50">
        <v>0.003162</v>
      </c>
      <c r="Y251" s="50">
        <v>0</v>
      </c>
      <c r="Z251" s="50">
        <v>0</v>
      </c>
      <c r="AA251" s="72">
        <v>251</v>
      </c>
      <c r="AB251" s="72"/>
      <c r="AC251" s="73"/>
      <c r="AD251" s="80" t="s">
        <v>1482</v>
      </c>
      <c r="AE251" s="89" t="s">
        <v>1741</v>
      </c>
      <c r="AF251" s="80">
        <v>1590</v>
      </c>
      <c r="AG251" s="80">
        <v>633</v>
      </c>
      <c r="AH251" s="80">
        <v>30536</v>
      </c>
      <c r="AI251" s="80">
        <v>124734</v>
      </c>
      <c r="AJ251" s="80"/>
      <c r="AK251" s="80" t="s">
        <v>2001</v>
      </c>
      <c r="AL251" s="80"/>
      <c r="AM251" s="80"/>
      <c r="AN251" s="80"/>
      <c r="AO251" s="82">
        <v>43474.90106481482</v>
      </c>
      <c r="AP251" s="80"/>
      <c r="AQ251" s="80" t="b">
        <v>1</v>
      </c>
      <c r="AR251" s="80" t="b">
        <v>0</v>
      </c>
      <c r="AS251" s="80" t="b">
        <v>0</v>
      </c>
      <c r="AT251" s="80"/>
      <c r="AU251" s="80">
        <v>3</v>
      </c>
      <c r="AV251" s="80"/>
      <c r="AW251" s="80" t="b">
        <v>0</v>
      </c>
      <c r="AX251" s="80" t="s">
        <v>2141</v>
      </c>
      <c r="AY251" s="86" t="str">
        <f>HYPERLINK("https://twitter.com/panopti92236644")</f>
        <v>https://twitter.com/panopti92236644</v>
      </c>
      <c r="AZ251" s="80" t="s">
        <v>66</v>
      </c>
      <c r="BA251" s="80" t="str">
        <f>REPLACE(INDEX(GroupVertices[Group],MATCH(Vertices[[#This Row],[Vertex]],GroupVertices[Vertex],0)),1,1,"")</f>
        <v>4</v>
      </c>
      <c r="BB251" s="49">
        <v>0</v>
      </c>
      <c r="BC251" s="50">
        <v>0</v>
      </c>
      <c r="BD251" s="49">
        <v>0</v>
      </c>
      <c r="BE251" s="50">
        <v>0</v>
      </c>
      <c r="BF251" s="49">
        <v>0</v>
      </c>
      <c r="BG251" s="50">
        <v>0</v>
      </c>
      <c r="BH251" s="49">
        <v>33</v>
      </c>
      <c r="BI251" s="50">
        <v>100</v>
      </c>
      <c r="BJ251" s="49">
        <v>33</v>
      </c>
      <c r="BK251" s="49"/>
      <c r="BL251" s="49"/>
      <c r="BM251" s="49"/>
      <c r="BN251" s="49"/>
      <c r="BO251" s="49" t="s">
        <v>594</v>
      </c>
      <c r="BP251" s="49" t="s">
        <v>594</v>
      </c>
      <c r="BQ251" s="116" t="s">
        <v>4303</v>
      </c>
      <c r="BR251" s="116" t="s">
        <v>4303</v>
      </c>
      <c r="BS251" s="116" t="s">
        <v>4381</v>
      </c>
      <c r="BT251" s="116" t="s">
        <v>4381</v>
      </c>
      <c r="BU251" s="2"/>
      <c r="BV251" s="3"/>
      <c r="BW251" s="3"/>
      <c r="BX251" s="3"/>
      <c r="BY251" s="3"/>
    </row>
    <row r="252" spans="1:77" ht="15">
      <c r="A252" s="65" t="s">
        <v>457</v>
      </c>
      <c r="B252" s="66"/>
      <c r="C252" s="66" t="s">
        <v>64</v>
      </c>
      <c r="D252" s="67"/>
      <c r="E252" s="69"/>
      <c r="F252" s="104" t="str">
        <f>HYPERLINK("https://pbs.twimg.com/profile_images/1252146430975844352/dBSg8Frt_normal.jpg")</f>
        <v>https://pbs.twimg.com/profile_images/1252146430975844352/dBSg8Frt_normal.jpg</v>
      </c>
      <c r="G252" s="66"/>
      <c r="H252" s="70" t="s">
        <v>457</v>
      </c>
      <c r="I252" s="71" t="s">
        <v>4410</v>
      </c>
      <c r="J252" s="71" t="s">
        <v>73</v>
      </c>
      <c r="K252" s="70" t="s">
        <v>2390</v>
      </c>
      <c r="L252" s="74">
        <v>1</v>
      </c>
      <c r="M252" s="75">
        <v>1848.2191162109375</v>
      </c>
      <c r="N252" s="75">
        <v>6448.42822265625</v>
      </c>
      <c r="O252" s="76"/>
      <c r="P252" s="77"/>
      <c r="Q252" s="77"/>
      <c r="R252" s="90"/>
      <c r="S252" s="49">
        <v>0</v>
      </c>
      <c r="T252" s="49">
        <v>1</v>
      </c>
      <c r="U252" s="50">
        <v>0</v>
      </c>
      <c r="V252" s="50">
        <v>0.15898</v>
      </c>
      <c r="W252" s="50">
        <v>0.002672</v>
      </c>
      <c r="X252" s="50">
        <v>0.003162</v>
      </c>
      <c r="Y252" s="50">
        <v>0</v>
      </c>
      <c r="Z252" s="50">
        <v>0</v>
      </c>
      <c r="AA252" s="72">
        <v>252</v>
      </c>
      <c r="AB252" s="72"/>
      <c r="AC252" s="73"/>
      <c r="AD252" s="80" t="s">
        <v>1483</v>
      </c>
      <c r="AE252" s="89" t="s">
        <v>1742</v>
      </c>
      <c r="AF252" s="80">
        <v>5716</v>
      </c>
      <c r="AG252" s="80">
        <v>5269</v>
      </c>
      <c r="AH252" s="80">
        <v>45301</v>
      </c>
      <c r="AI252" s="80">
        <v>89897</v>
      </c>
      <c r="AJ252" s="80"/>
      <c r="AK252" s="80" t="s">
        <v>2002</v>
      </c>
      <c r="AL252" s="80" t="s">
        <v>2038</v>
      </c>
      <c r="AM252" s="86" t="str">
        <f>HYPERLINK("https://t.co/qOHSBWFNcT")</f>
        <v>https://t.co/qOHSBWFNcT</v>
      </c>
      <c r="AN252" s="80"/>
      <c r="AO252" s="82">
        <v>41320.52990740741</v>
      </c>
      <c r="AP252" s="86" t="str">
        <f>HYPERLINK("https://pbs.twimg.com/profile_banners/1182421820/1366560721")</f>
        <v>https://pbs.twimg.com/profile_banners/1182421820/1366560721</v>
      </c>
      <c r="AQ252" s="80" t="b">
        <v>1</v>
      </c>
      <c r="AR252" s="80" t="b">
        <v>0</v>
      </c>
      <c r="AS252" s="80" t="b">
        <v>1</v>
      </c>
      <c r="AT252" s="80"/>
      <c r="AU252" s="80">
        <v>20</v>
      </c>
      <c r="AV252" s="86" t="str">
        <f>HYPERLINK("https://abs.twimg.com/images/themes/theme1/bg.png")</f>
        <v>https://abs.twimg.com/images/themes/theme1/bg.png</v>
      </c>
      <c r="AW252" s="80" t="b">
        <v>0</v>
      </c>
      <c r="AX252" s="80" t="s">
        <v>2141</v>
      </c>
      <c r="AY252" s="86" t="str">
        <f>HYPERLINK("https://twitter.com/j_makr")</f>
        <v>https://twitter.com/j_makr</v>
      </c>
      <c r="AZ252" s="80" t="s">
        <v>66</v>
      </c>
      <c r="BA252" s="80" t="str">
        <f>REPLACE(INDEX(GroupVertices[Group],MATCH(Vertices[[#This Row],[Vertex]],GroupVertices[Vertex],0)),1,1,"")</f>
        <v>4</v>
      </c>
      <c r="BB252" s="49">
        <v>0</v>
      </c>
      <c r="BC252" s="50">
        <v>0</v>
      </c>
      <c r="BD252" s="49">
        <v>0</v>
      </c>
      <c r="BE252" s="50">
        <v>0</v>
      </c>
      <c r="BF252" s="49">
        <v>0</v>
      </c>
      <c r="BG252" s="50">
        <v>0</v>
      </c>
      <c r="BH252" s="49">
        <v>33</v>
      </c>
      <c r="BI252" s="50">
        <v>100</v>
      </c>
      <c r="BJ252" s="49">
        <v>33</v>
      </c>
      <c r="BK252" s="49"/>
      <c r="BL252" s="49"/>
      <c r="BM252" s="49"/>
      <c r="BN252" s="49"/>
      <c r="BO252" s="49" t="s">
        <v>594</v>
      </c>
      <c r="BP252" s="49" t="s">
        <v>594</v>
      </c>
      <c r="BQ252" s="116" t="s">
        <v>4303</v>
      </c>
      <c r="BR252" s="116" t="s">
        <v>4303</v>
      </c>
      <c r="BS252" s="116" t="s">
        <v>4381</v>
      </c>
      <c r="BT252" s="116" t="s">
        <v>4381</v>
      </c>
      <c r="BU252" s="2"/>
      <c r="BV252" s="3"/>
      <c r="BW252" s="3"/>
      <c r="BX252" s="3"/>
      <c r="BY252" s="3"/>
    </row>
    <row r="253" spans="1:77" ht="15">
      <c r="A253" s="65" t="s">
        <v>458</v>
      </c>
      <c r="B253" s="66"/>
      <c r="C253" s="66" t="s">
        <v>64</v>
      </c>
      <c r="D253" s="67"/>
      <c r="E253" s="69"/>
      <c r="F253" s="104" t="str">
        <f>HYPERLINK("https://pbs.twimg.com/profile_images/1404318005048270851/uO78qc5K_normal.jpg")</f>
        <v>https://pbs.twimg.com/profile_images/1404318005048270851/uO78qc5K_normal.jpg</v>
      </c>
      <c r="G253" s="66"/>
      <c r="H253" s="70" t="s">
        <v>458</v>
      </c>
      <c r="I253" s="71" t="s">
        <v>4410</v>
      </c>
      <c r="J253" s="71" t="s">
        <v>73</v>
      </c>
      <c r="K253" s="70" t="s">
        <v>2391</v>
      </c>
      <c r="L253" s="74">
        <v>1</v>
      </c>
      <c r="M253" s="75">
        <v>761.5946044921875</v>
      </c>
      <c r="N253" s="75">
        <v>5321.69482421875</v>
      </c>
      <c r="O253" s="76"/>
      <c r="P253" s="77"/>
      <c r="Q253" s="77"/>
      <c r="R253" s="90"/>
      <c r="S253" s="49">
        <v>0</v>
      </c>
      <c r="T253" s="49">
        <v>1</v>
      </c>
      <c r="U253" s="50">
        <v>0</v>
      </c>
      <c r="V253" s="50">
        <v>0.15898</v>
      </c>
      <c r="W253" s="50">
        <v>0.002672</v>
      </c>
      <c r="X253" s="50">
        <v>0.003162</v>
      </c>
      <c r="Y253" s="50">
        <v>0</v>
      </c>
      <c r="Z253" s="50">
        <v>0</v>
      </c>
      <c r="AA253" s="72">
        <v>253</v>
      </c>
      <c r="AB253" s="72"/>
      <c r="AC253" s="73"/>
      <c r="AD253" s="80" t="s">
        <v>1484</v>
      </c>
      <c r="AE253" s="89" t="s">
        <v>1743</v>
      </c>
      <c r="AF253" s="80">
        <v>2531</v>
      </c>
      <c r="AG253" s="80">
        <v>3429</v>
      </c>
      <c r="AH253" s="80">
        <v>14357</v>
      </c>
      <c r="AI253" s="80">
        <v>22313</v>
      </c>
      <c r="AJ253" s="80"/>
      <c r="AK253" s="80" t="s">
        <v>2003</v>
      </c>
      <c r="AL253" s="80" t="s">
        <v>2059</v>
      </c>
      <c r="AM253" s="80"/>
      <c r="AN253" s="80"/>
      <c r="AO253" s="82">
        <v>42899.48318287037</v>
      </c>
      <c r="AP253" s="86" t="str">
        <f>HYPERLINK("https://pbs.twimg.com/profile_banners/874591121095221248/1643009138")</f>
        <v>https://pbs.twimg.com/profile_banners/874591121095221248/1643009138</v>
      </c>
      <c r="AQ253" s="80" t="b">
        <v>1</v>
      </c>
      <c r="AR253" s="80" t="b">
        <v>0</v>
      </c>
      <c r="AS253" s="80" t="b">
        <v>1</v>
      </c>
      <c r="AT253" s="80"/>
      <c r="AU253" s="80">
        <v>13</v>
      </c>
      <c r="AV253" s="80"/>
      <c r="AW253" s="80" t="b">
        <v>0</v>
      </c>
      <c r="AX253" s="80" t="s">
        <v>2141</v>
      </c>
      <c r="AY253" s="86" t="str">
        <f>HYPERLINK("https://twitter.com/kreusharri")</f>
        <v>https://twitter.com/kreusharri</v>
      </c>
      <c r="AZ253" s="80" t="s">
        <v>66</v>
      </c>
      <c r="BA253" s="80" t="str">
        <f>REPLACE(INDEX(GroupVertices[Group],MATCH(Vertices[[#This Row],[Vertex]],GroupVertices[Vertex],0)),1,1,"")</f>
        <v>4</v>
      </c>
      <c r="BB253" s="49">
        <v>0</v>
      </c>
      <c r="BC253" s="50">
        <v>0</v>
      </c>
      <c r="BD253" s="49">
        <v>0</v>
      </c>
      <c r="BE253" s="50">
        <v>0</v>
      </c>
      <c r="BF253" s="49">
        <v>0</v>
      </c>
      <c r="BG253" s="50">
        <v>0</v>
      </c>
      <c r="BH253" s="49">
        <v>33</v>
      </c>
      <c r="BI253" s="50">
        <v>100</v>
      </c>
      <c r="BJ253" s="49">
        <v>33</v>
      </c>
      <c r="BK253" s="49"/>
      <c r="BL253" s="49"/>
      <c r="BM253" s="49"/>
      <c r="BN253" s="49"/>
      <c r="BO253" s="49" t="s">
        <v>594</v>
      </c>
      <c r="BP253" s="49" t="s">
        <v>594</v>
      </c>
      <c r="BQ253" s="116" t="s">
        <v>4303</v>
      </c>
      <c r="BR253" s="116" t="s">
        <v>4303</v>
      </c>
      <c r="BS253" s="116" t="s">
        <v>4381</v>
      </c>
      <c r="BT253" s="116" t="s">
        <v>4381</v>
      </c>
      <c r="BU253" s="2"/>
      <c r="BV253" s="3"/>
      <c r="BW253" s="3"/>
      <c r="BX253" s="3"/>
      <c r="BY253" s="3"/>
    </row>
    <row r="254" spans="1:77" ht="15">
      <c r="A254" s="65" t="s">
        <v>459</v>
      </c>
      <c r="B254" s="66"/>
      <c r="C254" s="66" t="s">
        <v>64</v>
      </c>
      <c r="D254" s="67"/>
      <c r="E254" s="69"/>
      <c r="F254" s="104" t="str">
        <f>HYPERLINK("https://pbs.twimg.com/profile_images/1279396328498479105/CEClTohA_normal.jpg")</f>
        <v>https://pbs.twimg.com/profile_images/1279396328498479105/CEClTohA_normal.jpg</v>
      </c>
      <c r="G254" s="66"/>
      <c r="H254" s="70" t="s">
        <v>459</v>
      </c>
      <c r="I254" s="71" t="s">
        <v>4410</v>
      </c>
      <c r="J254" s="71" t="s">
        <v>73</v>
      </c>
      <c r="K254" s="70" t="s">
        <v>2392</v>
      </c>
      <c r="L254" s="74">
        <v>1</v>
      </c>
      <c r="M254" s="75">
        <v>1446.11474609375</v>
      </c>
      <c r="N254" s="75">
        <v>7968.337890625</v>
      </c>
      <c r="O254" s="76"/>
      <c r="P254" s="77"/>
      <c r="Q254" s="77"/>
      <c r="R254" s="90"/>
      <c r="S254" s="49">
        <v>0</v>
      </c>
      <c r="T254" s="49">
        <v>1</v>
      </c>
      <c r="U254" s="50">
        <v>0</v>
      </c>
      <c r="V254" s="50">
        <v>0.15898</v>
      </c>
      <c r="W254" s="50">
        <v>0.002672</v>
      </c>
      <c r="X254" s="50">
        <v>0.003162</v>
      </c>
      <c r="Y254" s="50">
        <v>0</v>
      </c>
      <c r="Z254" s="50">
        <v>0</v>
      </c>
      <c r="AA254" s="72">
        <v>254</v>
      </c>
      <c r="AB254" s="72"/>
      <c r="AC254" s="73"/>
      <c r="AD254" s="80" t="s">
        <v>1485</v>
      </c>
      <c r="AE254" s="89" t="s">
        <v>1744</v>
      </c>
      <c r="AF254" s="80">
        <v>3674</v>
      </c>
      <c r="AG254" s="80">
        <v>821</v>
      </c>
      <c r="AH254" s="80">
        <v>6796</v>
      </c>
      <c r="AI254" s="80">
        <v>6019</v>
      </c>
      <c r="AJ254" s="80"/>
      <c r="AK254" s="80" t="s">
        <v>2004</v>
      </c>
      <c r="AL254" s="80"/>
      <c r="AM254" s="80"/>
      <c r="AN254" s="80"/>
      <c r="AO254" s="82">
        <v>41043.58650462963</v>
      </c>
      <c r="AP254" s="80"/>
      <c r="AQ254" s="80" t="b">
        <v>1</v>
      </c>
      <c r="AR254" s="80" t="b">
        <v>0</v>
      </c>
      <c r="AS254" s="80" t="b">
        <v>0</v>
      </c>
      <c r="AT254" s="80"/>
      <c r="AU254" s="80">
        <v>0</v>
      </c>
      <c r="AV254" s="86" t="str">
        <f>HYPERLINK("https://abs.twimg.com/images/themes/theme1/bg.png")</f>
        <v>https://abs.twimg.com/images/themes/theme1/bg.png</v>
      </c>
      <c r="AW254" s="80" t="b">
        <v>0</v>
      </c>
      <c r="AX254" s="80" t="s">
        <v>2141</v>
      </c>
      <c r="AY254" s="86" t="str">
        <f>HYPERLINK("https://twitter.com/rokrollhr")</f>
        <v>https://twitter.com/rokrollhr</v>
      </c>
      <c r="AZ254" s="80" t="s">
        <v>66</v>
      </c>
      <c r="BA254" s="80" t="str">
        <f>REPLACE(INDEX(GroupVertices[Group],MATCH(Vertices[[#This Row],[Vertex]],GroupVertices[Vertex],0)),1,1,"")</f>
        <v>4</v>
      </c>
      <c r="BB254" s="49">
        <v>0</v>
      </c>
      <c r="BC254" s="50">
        <v>0</v>
      </c>
      <c r="BD254" s="49">
        <v>0</v>
      </c>
      <c r="BE254" s="50">
        <v>0</v>
      </c>
      <c r="BF254" s="49">
        <v>0</v>
      </c>
      <c r="BG254" s="50">
        <v>0</v>
      </c>
      <c r="BH254" s="49">
        <v>33</v>
      </c>
      <c r="BI254" s="50">
        <v>100</v>
      </c>
      <c r="BJ254" s="49">
        <v>33</v>
      </c>
      <c r="BK254" s="49"/>
      <c r="BL254" s="49"/>
      <c r="BM254" s="49"/>
      <c r="BN254" s="49"/>
      <c r="BO254" s="49" t="s">
        <v>594</v>
      </c>
      <c r="BP254" s="49" t="s">
        <v>594</v>
      </c>
      <c r="BQ254" s="116" t="s">
        <v>4303</v>
      </c>
      <c r="BR254" s="116" t="s">
        <v>4303</v>
      </c>
      <c r="BS254" s="116" t="s">
        <v>4381</v>
      </c>
      <c r="BT254" s="116" t="s">
        <v>4381</v>
      </c>
      <c r="BU254" s="2"/>
      <c r="BV254" s="3"/>
      <c r="BW254" s="3"/>
      <c r="BX254" s="3"/>
      <c r="BY254" s="3"/>
    </row>
    <row r="255" spans="1:77" ht="15">
      <c r="A255" s="65" t="s">
        <v>460</v>
      </c>
      <c r="B255" s="66"/>
      <c r="C255" s="66" t="s">
        <v>64</v>
      </c>
      <c r="D255" s="67"/>
      <c r="E255" s="69"/>
      <c r="F255" s="104" t="str">
        <f>HYPERLINK("https://pbs.twimg.com/profile_images/1169862969976471555/13qPGTdJ_normal.jpg")</f>
        <v>https://pbs.twimg.com/profile_images/1169862969976471555/13qPGTdJ_normal.jpg</v>
      </c>
      <c r="G255" s="66"/>
      <c r="H255" s="70" t="s">
        <v>460</v>
      </c>
      <c r="I255" s="71" t="s">
        <v>4412</v>
      </c>
      <c r="J255" s="71" t="s">
        <v>73</v>
      </c>
      <c r="K255" s="70" t="s">
        <v>2393</v>
      </c>
      <c r="L255" s="74">
        <v>1</v>
      </c>
      <c r="M255" s="75">
        <v>304.4908142089844</v>
      </c>
      <c r="N255" s="75">
        <v>841.1481323242188</v>
      </c>
      <c r="O255" s="76"/>
      <c r="P255" s="77"/>
      <c r="Q255" s="77"/>
      <c r="R255" s="90"/>
      <c r="S255" s="49">
        <v>0</v>
      </c>
      <c r="T255" s="49">
        <v>1</v>
      </c>
      <c r="U255" s="50">
        <v>0</v>
      </c>
      <c r="V255" s="50">
        <v>0.003636</v>
      </c>
      <c r="W255" s="50">
        <v>0</v>
      </c>
      <c r="X255" s="50">
        <v>0.003623</v>
      </c>
      <c r="Y255" s="50">
        <v>0</v>
      </c>
      <c r="Z255" s="50">
        <v>0</v>
      </c>
      <c r="AA255" s="72">
        <v>255</v>
      </c>
      <c r="AB255" s="72"/>
      <c r="AC255" s="73"/>
      <c r="AD255" s="80" t="s">
        <v>1486</v>
      </c>
      <c r="AE255" s="89" t="s">
        <v>1745</v>
      </c>
      <c r="AF255" s="80">
        <v>216</v>
      </c>
      <c r="AG255" s="80">
        <v>546</v>
      </c>
      <c r="AH255" s="80">
        <v>772</v>
      </c>
      <c r="AI255" s="80">
        <v>632</v>
      </c>
      <c r="AJ255" s="80"/>
      <c r="AK255" s="80" t="s">
        <v>2005</v>
      </c>
      <c r="AL255" s="80" t="s">
        <v>2131</v>
      </c>
      <c r="AM255" s="86" t="str">
        <f>HYPERLINK("https://t.co/MfGShHg1DY")</f>
        <v>https://t.co/MfGShHg1DY</v>
      </c>
      <c r="AN255" s="80"/>
      <c r="AO255" s="82">
        <v>43714.27798611111</v>
      </c>
      <c r="AP255" s="86" t="str">
        <f>HYPERLINK("https://pbs.twimg.com/profile_banners/1169862778212872193/1622707666")</f>
        <v>https://pbs.twimg.com/profile_banners/1169862778212872193/1622707666</v>
      </c>
      <c r="AQ255" s="80" t="b">
        <v>1</v>
      </c>
      <c r="AR255" s="80" t="b">
        <v>0</v>
      </c>
      <c r="AS255" s="80" t="b">
        <v>0</v>
      </c>
      <c r="AT255" s="80"/>
      <c r="AU255" s="80">
        <v>3</v>
      </c>
      <c r="AV255" s="80"/>
      <c r="AW255" s="80" t="b">
        <v>0</v>
      </c>
      <c r="AX255" s="80" t="s">
        <v>2141</v>
      </c>
      <c r="AY255" s="86" t="str">
        <f>HYPERLINK("https://twitter.com/laplandbusiness")</f>
        <v>https://twitter.com/laplandbusiness</v>
      </c>
      <c r="AZ255" s="80" t="s">
        <v>66</v>
      </c>
      <c r="BA255" s="80" t="str">
        <f>REPLACE(INDEX(GroupVertices[Group],MATCH(Vertices[[#This Row],[Vertex]],GroupVertices[Vertex],0)),1,1,"")</f>
        <v>9</v>
      </c>
      <c r="BB255" s="49">
        <v>0</v>
      </c>
      <c r="BC255" s="50">
        <v>0</v>
      </c>
      <c r="BD255" s="49">
        <v>0</v>
      </c>
      <c r="BE255" s="50">
        <v>0</v>
      </c>
      <c r="BF255" s="49">
        <v>0</v>
      </c>
      <c r="BG255" s="50">
        <v>0</v>
      </c>
      <c r="BH255" s="49">
        <v>18</v>
      </c>
      <c r="BI255" s="50">
        <v>100</v>
      </c>
      <c r="BJ255" s="49">
        <v>18</v>
      </c>
      <c r="BK255" s="49" t="s">
        <v>4023</v>
      </c>
      <c r="BL255" s="49" t="s">
        <v>4023</v>
      </c>
      <c r="BM255" s="49" t="s">
        <v>586</v>
      </c>
      <c r="BN255" s="49" t="s">
        <v>586</v>
      </c>
      <c r="BO255" s="49" t="s">
        <v>602</v>
      </c>
      <c r="BP255" s="49" t="s">
        <v>602</v>
      </c>
      <c r="BQ255" s="116" t="s">
        <v>4305</v>
      </c>
      <c r="BR255" s="116" t="s">
        <v>4305</v>
      </c>
      <c r="BS255" s="116" t="s">
        <v>4383</v>
      </c>
      <c r="BT255" s="116" t="s">
        <v>4383</v>
      </c>
      <c r="BU255" s="2"/>
      <c r="BV255" s="3"/>
      <c r="BW255" s="3"/>
      <c r="BX255" s="3"/>
      <c r="BY255" s="3"/>
    </row>
    <row r="256" spans="1:77" ht="15">
      <c r="A256" s="65" t="s">
        <v>499</v>
      </c>
      <c r="B256" s="66"/>
      <c r="C256" s="66" t="s">
        <v>64</v>
      </c>
      <c r="D256" s="67">
        <v>10</v>
      </c>
      <c r="E256" s="69"/>
      <c r="F256" s="104" t="str">
        <f>HYPERLINK("https://pbs.twimg.com/profile_images/1356145624786329602/nPw0GrDC_normal.jpg")</f>
        <v>https://pbs.twimg.com/profile_images/1356145624786329602/nPw0GrDC_normal.jpg</v>
      </c>
      <c r="G256" s="66"/>
      <c r="H256" s="70" t="s">
        <v>499</v>
      </c>
      <c r="I256" s="71" t="s">
        <v>4412</v>
      </c>
      <c r="J256" s="71" t="s">
        <v>75</v>
      </c>
      <c r="K256" s="70" t="s">
        <v>2394</v>
      </c>
      <c r="L256" s="74">
        <v>99.01960784313725</v>
      </c>
      <c r="M256" s="75">
        <v>647.5416259765625</v>
      </c>
      <c r="N256" s="75">
        <v>841.1481323242188</v>
      </c>
      <c r="O256" s="76"/>
      <c r="P256" s="77"/>
      <c r="Q256" s="77"/>
      <c r="R256" s="90"/>
      <c r="S256" s="49">
        <v>1</v>
      </c>
      <c r="T256" s="49">
        <v>0</v>
      </c>
      <c r="U256" s="50">
        <v>0</v>
      </c>
      <c r="V256" s="50">
        <v>0.003636</v>
      </c>
      <c r="W256" s="50">
        <v>0</v>
      </c>
      <c r="X256" s="50">
        <v>0.003623</v>
      </c>
      <c r="Y256" s="50">
        <v>0</v>
      </c>
      <c r="Z256" s="50">
        <v>0</v>
      </c>
      <c r="AA256" s="72">
        <v>256</v>
      </c>
      <c r="AB256" s="72"/>
      <c r="AC256" s="73"/>
      <c r="AD256" s="80" t="s">
        <v>1487</v>
      </c>
      <c r="AE256" s="89" t="s">
        <v>1746</v>
      </c>
      <c r="AF256" s="80">
        <v>729</v>
      </c>
      <c r="AG256" s="80">
        <v>1294</v>
      </c>
      <c r="AH256" s="80">
        <v>510</v>
      </c>
      <c r="AI256" s="80">
        <v>128</v>
      </c>
      <c r="AJ256" s="80"/>
      <c r="AK256" s="80" t="s">
        <v>2006</v>
      </c>
      <c r="AL256" s="80" t="s">
        <v>2132</v>
      </c>
      <c r="AM256" s="86" t="str">
        <f>HYPERLINK("https://t.co/cE8pWWqvHX")</f>
        <v>https://t.co/cE8pWWqvHX</v>
      </c>
      <c r="AN256" s="80"/>
      <c r="AO256" s="82">
        <v>40464.53026620371</v>
      </c>
      <c r="AP256" s="86" t="str">
        <f>HYPERLINK("https://pbs.twimg.com/profile_banners/202158939/1612165289")</f>
        <v>https://pbs.twimg.com/profile_banners/202158939/1612165289</v>
      </c>
      <c r="AQ256" s="80" t="b">
        <v>0</v>
      </c>
      <c r="AR256" s="80" t="b">
        <v>0</v>
      </c>
      <c r="AS256" s="80" t="b">
        <v>1</v>
      </c>
      <c r="AT256" s="80"/>
      <c r="AU256" s="80">
        <v>0</v>
      </c>
      <c r="AV256" s="86" t="str">
        <f>HYPERLINK("https://abs.twimg.com/images/themes/theme1/bg.png")</f>
        <v>https://abs.twimg.com/images/themes/theme1/bg.png</v>
      </c>
      <c r="AW256" s="80" t="b">
        <v>0</v>
      </c>
      <c r="AX256" s="80" t="s">
        <v>2141</v>
      </c>
      <c r="AY256" s="86" t="str">
        <f>HYPERLINK("https://twitter.com/posiolapland")</f>
        <v>https://twitter.com/posiolapland</v>
      </c>
      <c r="AZ256" s="80" t="s">
        <v>65</v>
      </c>
      <c r="BA256" s="80" t="str">
        <f>REPLACE(INDEX(GroupVertices[Group],MATCH(Vertices[[#This Row],[Vertex]],GroupVertices[Vertex],0)),1,1,"")</f>
        <v>9</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5" t="s">
        <v>461</v>
      </c>
      <c r="B257" s="66"/>
      <c r="C257" s="66" t="s">
        <v>64</v>
      </c>
      <c r="D257" s="67"/>
      <c r="E257" s="69"/>
      <c r="F257" s="104" t="str">
        <f>HYPERLINK("https://pbs.twimg.com/profile_images/1505938209871732740/zH53ZKXE_normal.jpg")</f>
        <v>https://pbs.twimg.com/profile_images/1505938209871732740/zH53ZKXE_normal.jpg</v>
      </c>
      <c r="G257" s="66"/>
      <c r="H257" s="70" t="s">
        <v>461</v>
      </c>
      <c r="I257" s="71" t="s">
        <v>4410</v>
      </c>
      <c r="J257" s="71" t="s">
        <v>73</v>
      </c>
      <c r="K257" s="70" t="s">
        <v>2395</v>
      </c>
      <c r="L257" s="74">
        <v>1</v>
      </c>
      <c r="M257" s="75">
        <v>496.86236572265625</v>
      </c>
      <c r="N257" s="75">
        <v>4703.7783203125</v>
      </c>
      <c r="O257" s="76"/>
      <c r="P257" s="77"/>
      <c r="Q257" s="77"/>
      <c r="R257" s="90"/>
      <c r="S257" s="49">
        <v>0</v>
      </c>
      <c r="T257" s="49">
        <v>1</v>
      </c>
      <c r="U257" s="50">
        <v>0</v>
      </c>
      <c r="V257" s="50">
        <v>0.15898</v>
      </c>
      <c r="W257" s="50">
        <v>0.002672</v>
      </c>
      <c r="X257" s="50">
        <v>0.003162</v>
      </c>
      <c r="Y257" s="50">
        <v>0</v>
      </c>
      <c r="Z257" s="50">
        <v>0</v>
      </c>
      <c r="AA257" s="72">
        <v>257</v>
      </c>
      <c r="AB257" s="72"/>
      <c r="AC257" s="73"/>
      <c r="AD257" s="80" t="s">
        <v>1488</v>
      </c>
      <c r="AE257" s="89" t="s">
        <v>1747</v>
      </c>
      <c r="AF257" s="80">
        <v>2781</v>
      </c>
      <c r="AG257" s="80">
        <v>1917</v>
      </c>
      <c r="AH257" s="80">
        <v>3031</v>
      </c>
      <c r="AI257" s="80">
        <v>8575</v>
      </c>
      <c r="AJ257" s="80"/>
      <c r="AK257" s="80" t="s">
        <v>2007</v>
      </c>
      <c r="AL257" s="80" t="s">
        <v>2041</v>
      </c>
      <c r="AM257" s="80"/>
      <c r="AN257" s="80"/>
      <c r="AO257" s="82">
        <v>40054.51331018518</v>
      </c>
      <c r="AP257" s="86" t="str">
        <f>HYPERLINK("https://pbs.twimg.com/profile_banners/69855900/1611689468")</f>
        <v>https://pbs.twimg.com/profile_banners/69855900/1611689468</v>
      </c>
      <c r="AQ257" s="80" t="b">
        <v>0</v>
      </c>
      <c r="AR257" s="80" t="b">
        <v>0</v>
      </c>
      <c r="AS257" s="80" t="b">
        <v>1</v>
      </c>
      <c r="AT257" s="80"/>
      <c r="AU257" s="80">
        <v>39</v>
      </c>
      <c r="AV257" s="86" t="str">
        <f>HYPERLINK("https://abs.twimg.com/images/themes/theme9/bg.gif")</f>
        <v>https://abs.twimg.com/images/themes/theme9/bg.gif</v>
      </c>
      <c r="AW257" s="80" t="b">
        <v>0</v>
      </c>
      <c r="AX257" s="80" t="s">
        <v>2141</v>
      </c>
      <c r="AY257" s="86" t="str">
        <f>HYPERLINK("https://twitter.com/jarkkod")</f>
        <v>https://twitter.com/jarkkod</v>
      </c>
      <c r="AZ257" s="80" t="s">
        <v>66</v>
      </c>
      <c r="BA257" s="80" t="str">
        <f>REPLACE(INDEX(GroupVertices[Group],MATCH(Vertices[[#This Row],[Vertex]],GroupVertices[Vertex],0)),1,1,"")</f>
        <v>4</v>
      </c>
      <c r="BB257" s="49">
        <v>0</v>
      </c>
      <c r="BC257" s="50">
        <v>0</v>
      </c>
      <c r="BD257" s="49">
        <v>0</v>
      </c>
      <c r="BE257" s="50">
        <v>0</v>
      </c>
      <c r="BF257" s="49">
        <v>0</v>
      </c>
      <c r="BG257" s="50">
        <v>0</v>
      </c>
      <c r="BH257" s="49">
        <v>33</v>
      </c>
      <c r="BI257" s="50">
        <v>100</v>
      </c>
      <c r="BJ257" s="49">
        <v>33</v>
      </c>
      <c r="BK257" s="49"/>
      <c r="BL257" s="49"/>
      <c r="BM257" s="49"/>
      <c r="BN257" s="49"/>
      <c r="BO257" s="49" t="s">
        <v>594</v>
      </c>
      <c r="BP257" s="49" t="s">
        <v>594</v>
      </c>
      <c r="BQ257" s="116" t="s">
        <v>4303</v>
      </c>
      <c r="BR257" s="116" t="s">
        <v>4303</v>
      </c>
      <c r="BS257" s="116" t="s">
        <v>4381</v>
      </c>
      <c r="BT257" s="116" t="s">
        <v>4381</v>
      </c>
      <c r="BU257" s="2"/>
      <c r="BV257" s="3"/>
      <c r="BW257" s="3"/>
      <c r="BX257" s="3"/>
      <c r="BY257" s="3"/>
    </row>
    <row r="258" spans="1:77" ht="15">
      <c r="A258" s="65" t="s">
        <v>462</v>
      </c>
      <c r="B258" s="66"/>
      <c r="C258" s="66" t="s">
        <v>64</v>
      </c>
      <c r="D258" s="67"/>
      <c r="E258" s="69"/>
      <c r="F258" s="104" t="str">
        <f>HYPERLINK("https://pbs.twimg.com/profile_images/621038093022289920/Ce52AKNY_normal.jpg")</f>
        <v>https://pbs.twimg.com/profile_images/621038093022289920/Ce52AKNY_normal.jpg</v>
      </c>
      <c r="G258" s="66"/>
      <c r="H258" s="70" t="s">
        <v>462</v>
      </c>
      <c r="I258" s="71" t="s">
        <v>4410</v>
      </c>
      <c r="J258" s="71" t="s">
        <v>73</v>
      </c>
      <c r="K258" s="70" t="s">
        <v>2396</v>
      </c>
      <c r="L258" s="74">
        <v>1</v>
      </c>
      <c r="M258" s="75">
        <v>438.441650390625</v>
      </c>
      <c r="N258" s="75">
        <v>7323.93994140625</v>
      </c>
      <c r="O258" s="76"/>
      <c r="P258" s="77"/>
      <c r="Q258" s="77"/>
      <c r="R258" s="90"/>
      <c r="S258" s="49">
        <v>0</v>
      </c>
      <c r="T258" s="49">
        <v>1</v>
      </c>
      <c r="U258" s="50">
        <v>0</v>
      </c>
      <c r="V258" s="50">
        <v>0.15898</v>
      </c>
      <c r="W258" s="50">
        <v>0.002672</v>
      </c>
      <c r="X258" s="50">
        <v>0.003162</v>
      </c>
      <c r="Y258" s="50">
        <v>0</v>
      </c>
      <c r="Z258" s="50">
        <v>0</v>
      </c>
      <c r="AA258" s="72">
        <v>258</v>
      </c>
      <c r="AB258" s="72"/>
      <c r="AC258" s="73"/>
      <c r="AD258" s="80" t="s">
        <v>1489</v>
      </c>
      <c r="AE258" s="89" t="s">
        <v>1748</v>
      </c>
      <c r="AF258" s="80">
        <v>758</v>
      </c>
      <c r="AG258" s="80">
        <v>548</v>
      </c>
      <c r="AH258" s="80">
        <v>5018</v>
      </c>
      <c r="AI258" s="80">
        <v>57557</v>
      </c>
      <c r="AJ258" s="80"/>
      <c r="AK258" s="80" t="s">
        <v>2008</v>
      </c>
      <c r="AL258" s="80"/>
      <c r="AM258" s="80"/>
      <c r="AN258" s="80"/>
      <c r="AO258" s="82">
        <v>41509.60060185185</v>
      </c>
      <c r="AP258" s="86" t="str">
        <f>HYPERLINK("https://pbs.twimg.com/profile_banners/1694012251/1436901706")</f>
        <v>https://pbs.twimg.com/profile_banners/1694012251/1436901706</v>
      </c>
      <c r="AQ258" s="80" t="b">
        <v>1</v>
      </c>
      <c r="AR258" s="80" t="b">
        <v>0</v>
      </c>
      <c r="AS258" s="80" t="b">
        <v>0</v>
      </c>
      <c r="AT258" s="80"/>
      <c r="AU258" s="80">
        <v>2</v>
      </c>
      <c r="AV258" s="86" t="str">
        <f>HYPERLINK("https://abs.twimg.com/images/themes/theme1/bg.png")</f>
        <v>https://abs.twimg.com/images/themes/theme1/bg.png</v>
      </c>
      <c r="AW258" s="80" t="b">
        <v>0</v>
      </c>
      <c r="AX258" s="80" t="s">
        <v>2141</v>
      </c>
      <c r="AY258" s="86" t="str">
        <f>HYPERLINK("https://twitter.com/mustikkamunkki")</f>
        <v>https://twitter.com/mustikkamunkki</v>
      </c>
      <c r="AZ258" s="80" t="s">
        <v>66</v>
      </c>
      <c r="BA258" s="80" t="str">
        <f>REPLACE(INDEX(GroupVertices[Group],MATCH(Vertices[[#This Row],[Vertex]],GroupVertices[Vertex],0)),1,1,"")</f>
        <v>4</v>
      </c>
      <c r="BB258" s="49">
        <v>0</v>
      </c>
      <c r="BC258" s="50">
        <v>0</v>
      </c>
      <c r="BD258" s="49">
        <v>0</v>
      </c>
      <c r="BE258" s="50">
        <v>0</v>
      </c>
      <c r="BF258" s="49">
        <v>0</v>
      </c>
      <c r="BG258" s="50">
        <v>0</v>
      </c>
      <c r="BH258" s="49">
        <v>33</v>
      </c>
      <c r="BI258" s="50">
        <v>100</v>
      </c>
      <c r="BJ258" s="49">
        <v>33</v>
      </c>
      <c r="BK258" s="49"/>
      <c r="BL258" s="49"/>
      <c r="BM258" s="49"/>
      <c r="BN258" s="49"/>
      <c r="BO258" s="49" t="s">
        <v>594</v>
      </c>
      <c r="BP258" s="49" t="s">
        <v>594</v>
      </c>
      <c r="BQ258" s="116" t="s">
        <v>4303</v>
      </c>
      <c r="BR258" s="116" t="s">
        <v>4303</v>
      </c>
      <c r="BS258" s="116" t="s">
        <v>4381</v>
      </c>
      <c r="BT258" s="116" t="s">
        <v>4381</v>
      </c>
      <c r="BU258" s="2"/>
      <c r="BV258" s="3"/>
      <c r="BW258" s="3"/>
      <c r="BX258" s="3"/>
      <c r="BY258" s="3"/>
    </row>
    <row r="259" spans="1:77" ht="15">
      <c r="A259" s="65" t="s">
        <v>463</v>
      </c>
      <c r="B259" s="66"/>
      <c r="C259" s="66" t="s">
        <v>64</v>
      </c>
      <c r="D259" s="67"/>
      <c r="E259" s="69"/>
      <c r="F259" s="104" t="str">
        <f>HYPERLINK("https://pbs.twimg.com/profile_images/1371532616818692097/PKWbhSgC_normal.jpg")</f>
        <v>https://pbs.twimg.com/profile_images/1371532616818692097/PKWbhSgC_normal.jpg</v>
      </c>
      <c r="G259" s="66"/>
      <c r="H259" s="70" t="s">
        <v>463</v>
      </c>
      <c r="I259" s="71" t="s">
        <v>4410</v>
      </c>
      <c r="J259" s="71" t="s">
        <v>73</v>
      </c>
      <c r="K259" s="70" t="s">
        <v>2397</v>
      </c>
      <c r="L259" s="74">
        <v>1</v>
      </c>
      <c r="M259" s="75">
        <v>1293.5518798828125</v>
      </c>
      <c r="N259" s="75">
        <v>9545.068359375</v>
      </c>
      <c r="O259" s="76"/>
      <c r="P259" s="77"/>
      <c r="Q259" s="77"/>
      <c r="R259" s="90"/>
      <c r="S259" s="49">
        <v>0</v>
      </c>
      <c r="T259" s="49">
        <v>1</v>
      </c>
      <c r="U259" s="50">
        <v>0</v>
      </c>
      <c r="V259" s="50">
        <v>0.15898</v>
      </c>
      <c r="W259" s="50">
        <v>0.002672</v>
      </c>
      <c r="X259" s="50">
        <v>0.003162</v>
      </c>
      <c r="Y259" s="50">
        <v>0</v>
      </c>
      <c r="Z259" s="50">
        <v>0</v>
      </c>
      <c r="AA259" s="72">
        <v>259</v>
      </c>
      <c r="AB259" s="72"/>
      <c r="AC259" s="73"/>
      <c r="AD259" s="80" t="s">
        <v>1490</v>
      </c>
      <c r="AE259" s="89" t="s">
        <v>1749</v>
      </c>
      <c r="AF259" s="80">
        <v>2157</v>
      </c>
      <c r="AG259" s="80">
        <v>175</v>
      </c>
      <c r="AH259" s="80">
        <v>5085</v>
      </c>
      <c r="AI259" s="80">
        <v>10488</v>
      </c>
      <c r="AJ259" s="80"/>
      <c r="AK259" s="80" t="s">
        <v>2009</v>
      </c>
      <c r="AL259" s="80"/>
      <c r="AM259" s="80"/>
      <c r="AN259" s="80"/>
      <c r="AO259" s="82">
        <v>44270.78015046296</v>
      </c>
      <c r="AP259" s="80"/>
      <c r="AQ259" s="80" t="b">
        <v>1</v>
      </c>
      <c r="AR259" s="80" t="b">
        <v>0</v>
      </c>
      <c r="AS259" s="80" t="b">
        <v>0</v>
      </c>
      <c r="AT259" s="80"/>
      <c r="AU259" s="80">
        <v>3</v>
      </c>
      <c r="AV259" s="80"/>
      <c r="AW259" s="80" t="b">
        <v>0</v>
      </c>
      <c r="AX259" s="80" t="s">
        <v>2141</v>
      </c>
      <c r="AY259" s="86" t="str">
        <f>HYPERLINK("https://twitter.com/eilapertti")</f>
        <v>https://twitter.com/eilapertti</v>
      </c>
      <c r="AZ259" s="80" t="s">
        <v>66</v>
      </c>
      <c r="BA259" s="80" t="str">
        <f>REPLACE(INDEX(GroupVertices[Group],MATCH(Vertices[[#This Row],[Vertex]],GroupVertices[Vertex],0)),1,1,"")</f>
        <v>4</v>
      </c>
      <c r="BB259" s="49">
        <v>0</v>
      </c>
      <c r="BC259" s="50">
        <v>0</v>
      </c>
      <c r="BD259" s="49">
        <v>0</v>
      </c>
      <c r="BE259" s="50">
        <v>0</v>
      </c>
      <c r="BF259" s="49">
        <v>0</v>
      </c>
      <c r="BG259" s="50">
        <v>0</v>
      </c>
      <c r="BH259" s="49">
        <v>33</v>
      </c>
      <c r="BI259" s="50">
        <v>100</v>
      </c>
      <c r="BJ259" s="49">
        <v>33</v>
      </c>
      <c r="BK259" s="49"/>
      <c r="BL259" s="49"/>
      <c r="BM259" s="49"/>
      <c r="BN259" s="49"/>
      <c r="BO259" s="49" t="s">
        <v>594</v>
      </c>
      <c r="BP259" s="49" t="s">
        <v>594</v>
      </c>
      <c r="BQ259" s="116" t="s">
        <v>4303</v>
      </c>
      <c r="BR259" s="116" t="s">
        <v>4303</v>
      </c>
      <c r="BS259" s="116" t="s">
        <v>4381</v>
      </c>
      <c r="BT259" s="116" t="s">
        <v>4381</v>
      </c>
      <c r="BU259" s="2"/>
      <c r="BV259" s="3"/>
      <c r="BW259" s="3"/>
      <c r="BX259" s="3"/>
      <c r="BY259" s="3"/>
    </row>
    <row r="260" spans="1:77" ht="15">
      <c r="A260" s="65" t="s">
        <v>464</v>
      </c>
      <c r="B260" s="66"/>
      <c r="C260" s="66" t="s">
        <v>64</v>
      </c>
      <c r="D260" s="67"/>
      <c r="E260" s="69"/>
      <c r="F260" s="104" t="str">
        <f>HYPERLINK("https://pbs.twimg.com/profile_images/1477427063141322753/VsyrLSEt_normal.jpg")</f>
        <v>https://pbs.twimg.com/profile_images/1477427063141322753/VsyrLSEt_normal.jpg</v>
      </c>
      <c r="G260" s="66"/>
      <c r="H260" s="70" t="s">
        <v>464</v>
      </c>
      <c r="I260" s="71" t="s">
        <v>4410</v>
      </c>
      <c r="J260" s="71" t="s">
        <v>73</v>
      </c>
      <c r="K260" s="70" t="s">
        <v>2398</v>
      </c>
      <c r="L260" s="74">
        <v>1</v>
      </c>
      <c r="M260" s="75">
        <v>1735.62353515625</v>
      </c>
      <c r="N260" s="75">
        <v>5460.06298828125</v>
      </c>
      <c r="O260" s="76"/>
      <c r="P260" s="77"/>
      <c r="Q260" s="77"/>
      <c r="R260" s="90"/>
      <c r="S260" s="49">
        <v>0</v>
      </c>
      <c r="T260" s="49">
        <v>1</v>
      </c>
      <c r="U260" s="50">
        <v>0</v>
      </c>
      <c r="V260" s="50">
        <v>0.15898</v>
      </c>
      <c r="W260" s="50">
        <v>0.002672</v>
      </c>
      <c r="X260" s="50">
        <v>0.003162</v>
      </c>
      <c r="Y260" s="50">
        <v>0</v>
      </c>
      <c r="Z260" s="50">
        <v>0</v>
      </c>
      <c r="AA260" s="72">
        <v>260</v>
      </c>
      <c r="AB260" s="72"/>
      <c r="AC260" s="73"/>
      <c r="AD260" s="80" t="s">
        <v>1468</v>
      </c>
      <c r="AE260" s="89" t="s">
        <v>1750</v>
      </c>
      <c r="AF260" s="80">
        <v>859</v>
      </c>
      <c r="AG260" s="80">
        <v>3635</v>
      </c>
      <c r="AH260" s="80">
        <v>87467</v>
      </c>
      <c r="AI260" s="80">
        <v>131862</v>
      </c>
      <c r="AJ260" s="80"/>
      <c r="AK260" s="80" t="s">
        <v>2010</v>
      </c>
      <c r="AL260" s="80" t="s">
        <v>2038</v>
      </c>
      <c r="AM260" s="80"/>
      <c r="AN260" s="80"/>
      <c r="AO260" s="82">
        <v>42981.582604166666</v>
      </c>
      <c r="AP260" s="86" t="str">
        <f>HYPERLINK("https://pbs.twimg.com/profile_banners/904342954516590592/1570029974")</f>
        <v>https://pbs.twimg.com/profile_banners/904342954516590592/1570029974</v>
      </c>
      <c r="AQ260" s="80" t="b">
        <v>0</v>
      </c>
      <c r="AR260" s="80" t="b">
        <v>0</v>
      </c>
      <c r="AS260" s="80" t="b">
        <v>1</v>
      </c>
      <c r="AT260" s="80"/>
      <c r="AU260" s="80">
        <v>8</v>
      </c>
      <c r="AV260" s="86" t="str">
        <f>HYPERLINK("https://abs.twimg.com/images/themes/theme1/bg.png")</f>
        <v>https://abs.twimg.com/images/themes/theme1/bg.png</v>
      </c>
      <c r="AW260" s="80" t="b">
        <v>0</v>
      </c>
      <c r="AX260" s="80" t="s">
        <v>2141</v>
      </c>
      <c r="AY260" s="86" t="str">
        <f>HYPERLINK("https://twitter.com/lauraemiliait")</f>
        <v>https://twitter.com/lauraemiliait</v>
      </c>
      <c r="AZ260" s="80" t="s">
        <v>66</v>
      </c>
      <c r="BA260" s="80" t="str">
        <f>REPLACE(INDEX(GroupVertices[Group],MATCH(Vertices[[#This Row],[Vertex]],GroupVertices[Vertex],0)),1,1,"")</f>
        <v>4</v>
      </c>
      <c r="BB260" s="49">
        <v>0</v>
      </c>
      <c r="BC260" s="50">
        <v>0</v>
      </c>
      <c r="BD260" s="49">
        <v>0</v>
      </c>
      <c r="BE260" s="50">
        <v>0</v>
      </c>
      <c r="BF260" s="49">
        <v>0</v>
      </c>
      <c r="BG260" s="50">
        <v>0</v>
      </c>
      <c r="BH260" s="49">
        <v>33</v>
      </c>
      <c r="BI260" s="50">
        <v>100</v>
      </c>
      <c r="BJ260" s="49">
        <v>33</v>
      </c>
      <c r="BK260" s="49"/>
      <c r="BL260" s="49"/>
      <c r="BM260" s="49"/>
      <c r="BN260" s="49"/>
      <c r="BO260" s="49" t="s">
        <v>594</v>
      </c>
      <c r="BP260" s="49" t="s">
        <v>594</v>
      </c>
      <c r="BQ260" s="116" t="s">
        <v>4303</v>
      </c>
      <c r="BR260" s="116" t="s">
        <v>4303</v>
      </c>
      <c r="BS260" s="116" t="s">
        <v>4381</v>
      </c>
      <c r="BT260" s="116" t="s">
        <v>4381</v>
      </c>
      <c r="BU260" s="2"/>
      <c r="BV260" s="3"/>
      <c r="BW260" s="3"/>
      <c r="BX260" s="3"/>
      <c r="BY260" s="3"/>
    </row>
    <row r="261" spans="1:77" ht="15">
      <c r="A261" s="65" t="s">
        <v>465</v>
      </c>
      <c r="B261" s="66"/>
      <c r="C261" s="66" t="s">
        <v>64</v>
      </c>
      <c r="D261" s="67"/>
      <c r="E261" s="69"/>
      <c r="F261" s="104" t="str">
        <f>HYPERLINK("https://pbs.twimg.com/profile_images/1485265767218229253/QvI1V0Cd_normal.jpg")</f>
        <v>https://pbs.twimg.com/profile_images/1485265767218229253/QvI1V0Cd_normal.jpg</v>
      </c>
      <c r="G261" s="66"/>
      <c r="H261" s="70" t="s">
        <v>465</v>
      </c>
      <c r="I261" s="71" t="s">
        <v>4410</v>
      </c>
      <c r="J261" s="71" t="s">
        <v>73</v>
      </c>
      <c r="K261" s="70" t="s">
        <v>2399</v>
      </c>
      <c r="L261" s="74">
        <v>1</v>
      </c>
      <c r="M261" s="75">
        <v>1002.1141967773438</v>
      </c>
      <c r="N261" s="75">
        <v>9762.056640625</v>
      </c>
      <c r="O261" s="76"/>
      <c r="P261" s="77"/>
      <c r="Q261" s="77"/>
      <c r="R261" s="90"/>
      <c r="S261" s="49">
        <v>0</v>
      </c>
      <c r="T261" s="49">
        <v>1</v>
      </c>
      <c r="U261" s="50">
        <v>0</v>
      </c>
      <c r="V261" s="50">
        <v>0.15898</v>
      </c>
      <c r="W261" s="50">
        <v>0.002672</v>
      </c>
      <c r="X261" s="50">
        <v>0.003162</v>
      </c>
      <c r="Y261" s="50">
        <v>0</v>
      </c>
      <c r="Z261" s="50">
        <v>0</v>
      </c>
      <c r="AA261" s="72">
        <v>261</v>
      </c>
      <c r="AB261" s="72"/>
      <c r="AC261" s="73"/>
      <c r="AD261" s="80" t="s">
        <v>1491</v>
      </c>
      <c r="AE261" s="89" t="s">
        <v>1751</v>
      </c>
      <c r="AF261" s="80">
        <v>4335</v>
      </c>
      <c r="AG261" s="80">
        <v>2150</v>
      </c>
      <c r="AH261" s="80">
        <v>47705</v>
      </c>
      <c r="AI261" s="80">
        <v>22765</v>
      </c>
      <c r="AJ261" s="80"/>
      <c r="AK261" s="80" t="s">
        <v>2011</v>
      </c>
      <c r="AL261" s="80" t="s">
        <v>2133</v>
      </c>
      <c r="AM261" s="86" t="str">
        <f>HYPERLINK("https://t.co/b5JPs8tbYt")</f>
        <v>https://t.co/b5JPs8tbYt</v>
      </c>
      <c r="AN261" s="80"/>
      <c r="AO261" s="82">
        <v>41296.48788194444</v>
      </c>
      <c r="AP261" s="86" t="str">
        <f>HYPERLINK("https://pbs.twimg.com/profile_banners/1111326769/1642949929")</f>
        <v>https://pbs.twimg.com/profile_banners/1111326769/1642949929</v>
      </c>
      <c r="AQ261" s="80" t="b">
        <v>0</v>
      </c>
      <c r="AR261" s="80" t="b">
        <v>0</v>
      </c>
      <c r="AS261" s="80" t="b">
        <v>0</v>
      </c>
      <c r="AT261" s="80"/>
      <c r="AU261" s="80">
        <v>41</v>
      </c>
      <c r="AV261" s="86" t="str">
        <f>HYPERLINK("https://abs.twimg.com/images/themes/theme2/bg.gif")</f>
        <v>https://abs.twimg.com/images/themes/theme2/bg.gif</v>
      </c>
      <c r="AW261" s="80" t="b">
        <v>0</v>
      </c>
      <c r="AX261" s="80" t="s">
        <v>2141</v>
      </c>
      <c r="AY261" s="86" t="str">
        <f>HYPERLINK("https://twitter.com/palloholisti")</f>
        <v>https://twitter.com/palloholisti</v>
      </c>
      <c r="AZ261" s="80" t="s">
        <v>66</v>
      </c>
      <c r="BA261" s="80" t="str">
        <f>REPLACE(INDEX(GroupVertices[Group],MATCH(Vertices[[#This Row],[Vertex]],GroupVertices[Vertex],0)),1,1,"")</f>
        <v>4</v>
      </c>
      <c r="BB261" s="49">
        <v>0</v>
      </c>
      <c r="BC261" s="50">
        <v>0</v>
      </c>
      <c r="BD261" s="49">
        <v>0</v>
      </c>
      <c r="BE261" s="50">
        <v>0</v>
      </c>
      <c r="BF261" s="49">
        <v>0</v>
      </c>
      <c r="BG261" s="50">
        <v>0</v>
      </c>
      <c r="BH261" s="49">
        <v>33</v>
      </c>
      <c r="BI261" s="50">
        <v>100</v>
      </c>
      <c r="BJ261" s="49">
        <v>33</v>
      </c>
      <c r="BK261" s="49"/>
      <c r="BL261" s="49"/>
      <c r="BM261" s="49"/>
      <c r="BN261" s="49"/>
      <c r="BO261" s="49" t="s">
        <v>594</v>
      </c>
      <c r="BP261" s="49" t="s">
        <v>594</v>
      </c>
      <c r="BQ261" s="116" t="s">
        <v>4303</v>
      </c>
      <c r="BR261" s="116" t="s">
        <v>4303</v>
      </c>
      <c r="BS261" s="116" t="s">
        <v>4381</v>
      </c>
      <c r="BT261" s="116" t="s">
        <v>4381</v>
      </c>
      <c r="BU261" s="2"/>
      <c r="BV261" s="3"/>
      <c r="BW261" s="3"/>
      <c r="BX261" s="3"/>
      <c r="BY261" s="3"/>
    </row>
    <row r="262" spans="1:77" ht="15">
      <c r="A262" s="65" t="s">
        <v>466</v>
      </c>
      <c r="B262" s="66"/>
      <c r="C262" s="66" t="s">
        <v>64</v>
      </c>
      <c r="D262" s="67"/>
      <c r="E262" s="69"/>
      <c r="F262" s="104" t="str">
        <f>HYPERLINK("https://pbs.twimg.com/profile_images/1361602487480967171/lUdsHwlq_normal.jpg")</f>
        <v>https://pbs.twimg.com/profile_images/1361602487480967171/lUdsHwlq_normal.jpg</v>
      </c>
      <c r="G262" s="66"/>
      <c r="H262" s="70" t="s">
        <v>466</v>
      </c>
      <c r="I262" s="71" t="s">
        <v>4410</v>
      </c>
      <c r="J262" s="71" t="s">
        <v>73</v>
      </c>
      <c r="K262" s="70" t="s">
        <v>2400</v>
      </c>
      <c r="L262" s="74">
        <v>1</v>
      </c>
      <c r="M262" s="75">
        <v>1126.52978515625</v>
      </c>
      <c r="N262" s="75">
        <v>5161.921875</v>
      </c>
      <c r="O262" s="76"/>
      <c r="P262" s="77"/>
      <c r="Q262" s="77"/>
      <c r="R262" s="90"/>
      <c r="S262" s="49">
        <v>0</v>
      </c>
      <c r="T262" s="49">
        <v>1</v>
      </c>
      <c r="U262" s="50">
        <v>0</v>
      </c>
      <c r="V262" s="50">
        <v>0.15898</v>
      </c>
      <c r="W262" s="50">
        <v>0.002672</v>
      </c>
      <c r="X262" s="50">
        <v>0.003162</v>
      </c>
      <c r="Y262" s="50">
        <v>0</v>
      </c>
      <c r="Z262" s="50">
        <v>0</v>
      </c>
      <c r="AA262" s="72">
        <v>262</v>
      </c>
      <c r="AB262" s="72"/>
      <c r="AC262" s="73"/>
      <c r="AD262" s="80" t="s">
        <v>1492</v>
      </c>
      <c r="AE262" s="89" t="s">
        <v>1752</v>
      </c>
      <c r="AF262" s="80">
        <v>3431</v>
      </c>
      <c r="AG262" s="80">
        <v>8336</v>
      </c>
      <c r="AH262" s="80">
        <v>81884</v>
      </c>
      <c r="AI262" s="80">
        <v>121296</v>
      </c>
      <c r="AJ262" s="80"/>
      <c r="AK262" s="80" t="s">
        <v>2012</v>
      </c>
      <c r="AL262" s="80" t="s">
        <v>2134</v>
      </c>
      <c r="AM262" s="80"/>
      <c r="AN262" s="80"/>
      <c r="AO262" s="82">
        <v>40843.368263888886</v>
      </c>
      <c r="AP262" s="86" t="str">
        <f>HYPERLINK("https://pbs.twimg.com/profile_banners/399294295/1525631773")</f>
        <v>https://pbs.twimg.com/profile_banners/399294295/1525631773</v>
      </c>
      <c r="AQ262" s="80" t="b">
        <v>1</v>
      </c>
      <c r="AR262" s="80" t="b">
        <v>0</v>
      </c>
      <c r="AS262" s="80" t="b">
        <v>1</v>
      </c>
      <c r="AT262" s="80"/>
      <c r="AU262" s="80">
        <v>37</v>
      </c>
      <c r="AV262" s="86" t="str">
        <f>HYPERLINK("https://abs.twimg.com/images/themes/theme1/bg.png")</f>
        <v>https://abs.twimg.com/images/themes/theme1/bg.png</v>
      </c>
      <c r="AW262" s="80" t="b">
        <v>0</v>
      </c>
      <c r="AX262" s="80" t="s">
        <v>2141</v>
      </c>
      <c r="AY262" s="86" t="str">
        <f>HYPERLINK("https://twitter.com/peltolapeltsi")</f>
        <v>https://twitter.com/peltolapeltsi</v>
      </c>
      <c r="AZ262" s="80" t="s">
        <v>66</v>
      </c>
      <c r="BA262" s="80" t="str">
        <f>REPLACE(INDEX(GroupVertices[Group],MATCH(Vertices[[#This Row],[Vertex]],GroupVertices[Vertex],0)),1,1,"")</f>
        <v>4</v>
      </c>
      <c r="BB262" s="49">
        <v>0</v>
      </c>
      <c r="BC262" s="50">
        <v>0</v>
      </c>
      <c r="BD262" s="49">
        <v>0</v>
      </c>
      <c r="BE262" s="50">
        <v>0</v>
      </c>
      <c r="BF262" s="49">
        <v>0</v>
      </c>
      <c r="BG262" s="50">
        <v>0</v>
      </c>
      <c r="BH262" s="49">
        <v>33</v>
      </c>
      <c r="BI262" s="50">
        <v>100</v>
      </c>
      <c r="BJ262" s="49">
        <v>33</v>
      </c>
      <c r="BK262" s="49"/>
      <c r="BL262" s="49"/>
      <c r="BM262" s="49"/>
      <c r="BN262" s="49"/>
      <c r="BO262" s="49" t="s">
        <v>594</v>
      </c>
      <c r="BP262" s="49" t="s">
        <v>594</v>
      </c>
      <c r="BQ262" s="116" t="s">
        <v>4303</v>
      </c>
      <c r="BR262" s="116" t="s">
        <v>4303</v>
      </c>
      <c r="BS262" s="116" t="s">
        <v>4381</v>
      </c>
      <c r="BT262" s="116" t="s">
        <v>4381</v>
      </c>
      <c r="BU262" s="2"/>
      <c r="BV262" s="3"/>
      <c r="BW262" s="3"/>
      <c r="BX262" s="3"/>
      <c r="BY262" s="3"/>
    </row>
    <row r="263" spans="1:77" ht="15">
      <c r="A263" s="65" t="s">
        <v>467</v>
      </c>
      <c r="B263" s="66"/>
      <c r="C263" s="66" t="s">
        <v>64</v>
      </c>
      <c r="D263" s="67"/>
      <c r="E263" s="69"/>
      <c r="F263" s="104" t="str">
        <f>HYPERLINK("https://pbs.twimg.com/profile_images/1302177831439474688/Og45wudf_normal.jpg")</f>
        <v>https://pbs.twimg.com/profile_images/1302177831439474688/Og45wudf_normal.jpg</v>
      </c>
      <c r="G263" s="66"/>
      <c r="H263" s="70" t="s">
        <v>467</v>
      </c>
      <c r="I263" s="71" t="s">
        <v>4410</v>
      </c>
      <c r="J263" s="71" t="s">
        <v>73</v>
      </c>
      <c r="K263" s="70" t="s">
        <v>2401</v>
      </c>
      <c r="L263" s="74">
        <v>1</v>
      </c>
      <c r="M263" s="75">
        <v>1455.227783203125</v>
      </c>
      <c r="N263" s="75">
        <v>4582.87451171875</v>
      </c>
      <c r="O263" s="76"/>
      <c r="P263" s="77"/>
      <c r="Q263" s="77"/>
      <c r="R263" s="90"/>
      <c r="S263" s="49">
        <v>0</v>
      </c>
      <c r="T263" s="49">
        <v>1</v>
      </c>
      <c r="U263" s="50">
        <v>0</v>
      </c>
      <c r="V263" s="50">
        <v>0.15898</v>
      </c>
      <c r="W263" s="50">
        <v>0.002672</v>
      </c>
      <c r="X263" s="50">
        <v>0.003162</v>
      </c>
      <c r="Y263" s="50">
        <v>0</v>
      </c>
      <c r="Z263" s="50">
        <v>0</v>
      </c>
      <c r="AA263" s="72">
        <v>263</v>
      </c>
      <c r="AB263" s="72"/>
      <c r="AC263" s="73"/>
      <c r="AD263" s="80" t="s">
        <v>1493</v>
      </c>
      <c r="AE263" s="89" t="s">
        <v>1753</v>
      </c>
      <c r="AF263" s="80">
        <v>845</v>
      </c>
      <c r="AG263" s="80">
        <v>391</v>
      </c>
      <c r="AH263" s="80">
        <v>44944</v>
      </c>
      <c r="AI263" s="80">
        <v>84262</v>
      </c>
      <c r="AJ263" s="80"/>
      <c r="AK263" s="80" t="s">
        <v>2013</v>
      </c>
      <c r="AL263" s="80"/>
      <c r="AM263" s="80"/>
      <c r="AN263" s="80"/>
      <c r="AO263" s="82">
        <v>43445.5546875</v>
      </c>
      <c r="AP263" s="86" t="str">
        <f>HYPERLINK("https://pbs.twimg.com/profile_banners/1072480807699267584/1646139687")</f>
        <v>https://pbs.twimg.com/profile_banners/1072480807699267584/1646139687</v>
      </c>
      <c r="AQ263" s="80" t="b">
        <v>1</v>
      </c>
      <c r="AR263" s="80" t="b">
        <v>0</v>
      </c>
      <c r="AS263" s="80" t="b">
        <v>0</v>
      </c>
      <c r="AT263" s="80"/>
      <c r="AU263" s="80">
        <v>0</v>
      </c>
      <c r="AV263" s="80"/>
      <c r="AW263" s="80" t="b">
        <v>0</v>
      </c>
      <c r="AX263" s="80" t="s">
        <v>2141</v>
      </c>
      <c r="AY263" s="86" t="str">
        <f>HYPERLINK("https://twitter.com/wallellaa")</f>
        <v>https://twitter.com/wallellaa</v>
      </c>
      <c r="AZ263" s="80" t="s">
        <v>66</v>
      </c>
      <c r="BA263" s="80" t="str">
        <f>REPLACE(INDEX(GroupVertices[Group],MATCH(Vertices[[#This Row],[Vertex]],GroupVertices[Vertex],0)),1,1,"")</f>
        <v>4</v>
      </c>
      <c r="BB263" s="49">
        <v>0</v>
      </c>
      <c r="BC263" s="50">
        <v>0</v>
      </c>
      <c r="BD263" s="49">
        <v>0</v>
      </c>
      <c r="BE263" s="50">
        <v>0</v>
      </c>
      <c r="BF263" s="49">
        <v>0</v>
      </c>
      <c r="BG263" s="50">
        <v>0</v>
      </c>
      <c r="BH263" s="49">
        <v>33</v>
      </c>
      <c r="BI263" s="50">
        <v>100</v>
      </c>
      <c r="BJ263" s="49">
        <v>33</v>
      </c>
      <c r="BK263" s="49"/>
      <c r="BL263" s="49"/>
      <c r="BM263" s="49"/>
      <c r="BN263" s="49"/>
      <c r="BO263" s="49" t="s">
        <v>594</v>
      </c>
      <c r="BP263" s="49" t="s">
        <v>594</v>
      </c>
      <c r="BQ263" s="116" t="s">
        <v>4303</v>
      </c>
      <c r="BR263" s="116" t="s">
        <v>4303</v>
      </c>
      <c r="BS263" s="116" t="s">
        <v>4381</v>
      </c>
      <c r="BT263" s="116" t="s">
        <v>4381</v>
      </c>
      <c r="BU263" s="2"/>
      <c r="BV263" s="3"/>
      <c r="BW263" s="3"/>
      <c r="BX263" s="3"/>
      <c r="BY263" s="3"/>
    </row>
    <row r="264" spans="1:77" ht="15">
      <c r="A264" s="65" t="s">
        <v>468</v>
      </c>
      <c r="B264" s="66"/>
      <c r="C264" s="66" t="s">
        <v>64</v>
      </c>
      <c r="D264" s="67"/>
      <c r="E264" s="69"/>
      <c r="F264" s="104" t="str">
        <f>HYPERLINK("https://pbs.twimg.com/profile_images/1498972590198689793/KdYnmh5G_normal.jpg")</f>
        <v>https://pbs.twimg.com/profile_images/1498972590198689793/KdYnmh5G_normal.jpg</v>
      </c>
      <c r="G264" s="66"/>
      <c r="H264" s="70" t="s">
        <v>468</v>
      </c>
      <c r="I264" s="71" t="s">
        <v>4410</v>
      </c>
      <c r="J264" s="71" t="s">
        <v>73</v>
      </c>
      <c r="K264" s="70" t="s">
        <v>2402</v>
      </c>
      <c r="L264" s="74">
        <v>1</v>
      </c>
      <c r="M264" s="75">
        <v>1833.755615234375</v>
      </c>
      <c r="N264" s="75">
        <v>7455.939453125</v>
      </c>
      <c r="O264" s="76"/>
      <c r="P264" s="77"/>
      <c r="Q264" s="77"/>
      <c r="R264" s="90"/>
      <c r="S264" s="49">
        <v>0</v>
      </c>
      <c r="T264" s="49">
        <v>2</v>
      </c>
      <c r="U264" s="50">
        <v>2672</v>
      </c>
      <c r="V264" s="50">
        <v>0.261488</v>
      </c>
      <c r="W264" s="50">
        <v>0.070441</v>
      </c>
      <c r="X264" s="50">
        <v>0.003233</v>
      </c>
      <c r="Y264" s="50">
        <v>0</v>
      </c>
      <c r="Z264" s="50">
        <v>0</v>
      </c>
      <c r="AA264" s="72">
        <v>264</v>
      </c>
      <c r="AB264" s="72"/>
      <c r="AC264" s="73"/>
      <c r="AD264" s="80" t="s">
        <v>1494</v>
      </c>
      <c r="AE264" s="89" t="s">
        <v>1754</v>
      </c>
      <c r="AF264" s="80">
        <v>113</v>
      </c>
      <c r="AG264" s="80">
        <v>35</v>
      </c>
      <c r="AH264" s="80">
        <v>21</v>
      </c>
      <c r="AI264" s="80">
        <v>192</v>
      </c>
      <c r="AJ264" s="80"/>
      <c r="AK264" s="80" t="s">
        <v>2014</v>
      </c>
      <c r="AL264" s="80" t="s">
        <v>2135</v>
      </c>
      <c r="AM264" s="80"/>
      <c r="AN264" s="80"/>
      <c r="AO264" s="82">
        <v>44622.44259259259</v>
      </c>
      <c r="AP264" s="86" t="str">
        <f>HYPERLINK("https://pbs.twimg.com/profile_banners/1498970671111671808/1646219374")</f>
        <v>https://pbs.twimg.com/profile_banners/1498970671111671808/1646219374</v>
      </c>
      <c r="AQ264" s="80" t="b">
        <v>1</v>
      </c>
      <c r="AR264" s="80" t="b">
        <v>0</v>
      </c>
      <c r="AS264" s="80" t="b">
        <v>0</v>
      </c>
      <c r="AT264" s="80"/>
      <c r="AU264" s="80">
        <v>0</v>
      </c>
      <c r="AV264" s="80"/>
      <c r="AW264" s="80" t="b">
        <v>0</v>
      </c>
      <c r="AX264" s="80" t="s">
        <v>2141</v>
      </c>
      <c r="AY264" s="86" t="str">
        <f>HYPERLINK("https://twitter.com/annakaisapirila")</f>
        <v>https://twitter.com/annakaisapirila</v>
      </c>
      <c r="AZ264" s="80" t="s">
        <v>66</v>
      </c>
      <c r="BA264" s="80" t="str">
        <f>REPLACE(INDEX(GroupVertices[Group],MATCH(Vertices[[#This Row],[Vertex]],GroupVertices[Vertex],0)),1,1,"")</f>
        <v>4</v>
      </c>
      <c r="BB264" s="49">
        <v>0</v>
      </c>
      <c r="BC264" s="50">
        <v>0</v>
      </c>
      <c r="BD264" s="49">
        <v>0</v>
      </c>
      <c r="BE264" s="50">
        <v>0</v>
      </c>
      <c r="BF264" s="49">
        <v>0</v>
      </c>
      <c r="BG264" s="50">
        <v>0</v>
      </c>
      <c r="BH264" s="49">
        <v>66</v>
      </c>
      <c r="BI264" s="50">
        <v>100</v>
      </c>
      <c r="BJ264" s="49">
        <v>66</v>
      </c>
      <c r="BK264" s="49" t="s">
        <v>3990</v>
      </c>
      <c r="BL264" s="49" t="s">
        <v>3990</v>
      </c>
      <c r="BM264" s="49" t="s">
        <v>582</v>
      </c>
      <c r="BN264" s="49" t="s">
        <v>582</v>
      </c>
      <c r="BO264" s="49" t="s">
        <v>594</v>
      </c>
      <c r="BP264" s="49" t="s">
        <v>594</v>
      </c>
      <c r="BQ264" s="116" t="s">
        <v>4306</v>
      </c>
      <c r="BR264" s="116" t="s">
        <v>4314</v>
      </c>
      <c r="BS264" s="116" t="s">
        <v>4384</v>
      </c>
      <c r="BT264" s="116" t="s">
        <v>4391</v>
      </c>
      <c r="BU264" s="2"/>
      <c r="BV264" s="3"/>
      <c r="BW264" s="3"/>
      <c r="BX264" s="3"/>
      <c r="BY264" s="3"/>
    </row>
    <row r="265" spans="1:77" ht="15">
      <c r="A265" s="65" t="s">
        <v>469</v>
      </c>
      <c r="B265" s="66"/>
      <c r="C265" s="66" t="s">
        <v>64</v>
      </c>
      <c r="D265" s="67"/>
      <c r="E265" s="69"/>
      <c r="F265" s="104" t="str">
        <f>HYPERLINK("https://pbs.twimg.com/profile_images/516848328089149440/Zm-RZcB6_normal.jpeg")</f>
        <v>https://pbs.twimg.com/profile_images/516848328089149440/Zm-RZcB6_normal.jpeg</v>
      </c>
      <c r="G265" s="66"/>
      <c r="H265" s="70" t="s">
        <v>469</v>
      </c>
      <c r="I265" s="71" t="s">
        <v>4410</v>
      </c>
      <c r="J265" s="71" t="s">
        <v>73</v>
      </c>
      <c r="K265" s="70" t="s">
        <v>2403</v>
      </c>
      <c r="L265" s="74">
        <v>1</v>
      </c>
      <c r="M265" s="75">
        <v>1532.816162109375</v>
      </c>
      <c r="N265" s="75">
        <v>9076.9736328125</v>
      </c>
      <c r="O265" s="76"/>
      <c r="P265" s="77"/>
      <c r="Q265" s="77"/>
      <c r="R265" s="90"/>
      <c r="S265" s="49">
        <v>0</v>
      </c>
      <c r="T265" s="49">
        <v>1</v>
      </c>
      <c r="U265" s="50">
        <v>0</v>
      </c>
      <c r="V265" s="50">
        <v>0.15898</v>
      </c>
      <c r="W265" s="50">
        <v>0.002672</v>
      </c>
      <c r="X265" s="50">
        <v>0.003162</v>
      </c>
      <c r="Y265" s="50">
        <v>0</v>
      </c>
      <c r="Z265" s="50">
        <v>0</v>
      </c>
      <c r="AA265" s="72">
        <v>265</v>
      </c>
      <c r="AB265" s="72"/>
      <c r="AC265" s="73"/>
      <c r="AD265" s="80" t="s">
        <v>1495</v>
      </c>
      <c r="AE265" s="89" t="s">
        <v>1755</v>
      </c>
      <c r="AF265" s="80">
        <v>169</v>
      </c>
      <c r="AG265" s="80">
        <v>87</v>
      </c>
      <c r="AH265" s="80">
        <v>2728</v>
      </c>
      <c r="AI265" s="80">
        <v>35683</v>
      </c>
      <c r="AJ265" s="80"/>
      <c r="AK265" s="80"/>
      <c r="AL265" s="80"/>
      <c r="AM265" s="86" t="str">
        <f>HYPERLINK("https://t.co/mwS1uIHnb9")</f>
        <v>https://t.co/mwS1uIHnb9</v>
      </c>
      <c r="AN265" s="80"/>
      <c r="AO265" s="82">
        <v>41908.286875</v>
      </c>
      <c r="AP265" s="80"/>
      <c r="AQ265" s="80" t="b">
        <v>1</v>
      </c>
      <c r="AR265" s="80" t="b">
        <v>0</v>
      </c>
      <c r="AS265" s="80" t="b">
        <v>0</v>
      </c>
      <c r="AT265" s="80"/>
      <c r="AU265" s="80">
        <v>3</v>
      </c>
      <c r="AV265" s="86" t="str">
        <f>HYPERLINK("https://abs.twimg.com/images/themes/theme1/bg.png")</f>
        <v>https://abs.twimg.com/images/themes/theme1/bg.png</v>
      </c>
      <c r="AW265" s="80" t="b">
        <v>0</v>
      </c>
      <c r="AX265" s="80" t="s">
        <v>2141</v>
      </c>
      <c r="AY265" s="86" t="str">
        <f>HYPERLINK("https://twitter.com/rikupul")</f>
        <v>https://twitter.com/rikupul</v>
      </c>
      <c r="AZ265" s="80" t="s">
        <v>66</v>
      </c>
      <c r="BA265" s="80" t="str">
        <f>REPLACE(INDEX(GroupVertices[Group],MATCH(Vertices[[#This Row],[Vertex]],GroupVertices[Vertex],0)),1,1,"")</f>
        <v>4</v>
      </c>
      <c r="BB265" s="49">
        <v>0</v>
      </c>
      <c r="BC265" s="50">
        <v>0</v>
      </c>
      <c r="BD265" s="49">
        <v>0</v>
      </c>
      <c r="BE265" s="50">
        <v>0</v>
      </c>
      <c r="BF265" s="49">
        <v>0</v>
      </c>
      <c r="BG265" s="50">
        <v>0</v>
      </c>
      <c r="BH265" s="49">
        <v>33</v>
      </c>
      <c r="BI265" s="50">
        <v>100</v>
      </c>
      <c r="BJ265" s="49">
        <v>33</v>
      </c>
      <c r="BK265" s="49"/>
      <c r="BL265" s="49"/>
      <c r="BM265" s="49"/>
      <c r="BN265" s="49"/>
      <c r="BO265" s="49" t="s">
        <v>594</v>
      </c>
      <c r="BP265" s="49" t="s">
        <v>594</v>
      </c>
      <c r="BQ265" s="116" t="s">
        <v>4303</v>
      </c>
      <c r="BR265" s="116" t="s">
        <v>4303</v>
      </c>
      <c r="BS265" s="116" t="s">
        <v>4381</v>
      </c>
      <c r="BT265" s="116" t="s">
        <v>4381</v>
      </c>
      <c r="BU265" s="2"/>
      <c r="BV265" s="3"/>
      <c r="BW265" s="3"/>
      <c r="BX265" s="3"/>
      <c r="BY265" s="3"/>
    </row>
    <row r="266" spans="1:77" ht="15">
      <c r="A266" s="65" t="s">
        <v>470</v>
      </c>
      <c r="B266" s="66"/>
      <c r="C266" s="66" t="s">
        <v>64</v>
      </c>
      <c r="D266" s="67"/>
      <c r="E266" s="69"/>
      <c r="F266" s="104" t="str">
        <f>HYPERLINK("https://pbs.twimg.com/profile_images/1248971729453621248/wgzlhaUF_normal.jpg")</f>
        <v>https://pbs.twimg.com/profile_images/1248971729453621248/wgzlhaUF_normal.jpg</v>
      </c>
      <c r="G266" s="66"/>
      <c r="H266" s="70" t="s">
        <v>470</v>
      </c>
      <c r="I266" s="71" t="s">
        <v>4410</v>
      </c>
      <c r="J266" s="71" t="s">
        <v>73</v>
      </c>
      <c r="K266" s="70" t="s">
        <v>2404</v>
      </c>
      <c r="L266" s="74">
        <v>1</v>
      </c>
      <c r="M266" s="75">
        <v>132.96542358398438</v>
      </c>
      <c r="N266" s="75">
        <v>7463.97705078125</v>
      </c>
      <c r="O266" s="76"/>
      <c r="P266" s="77"/>
      <c r="Q266" s="77"/>
      <c r="R266" s="90"/>
      <c r="S266" s="49">
        <v>0</v>
      </c>
      <c r="T266" s="49">
        <v>1</v>
      </c>
      <c r="U266" s="50">
        <v>0</v>
      </c>
      <c r="V266" s="50">
        <v>0.15898</v>
      </c>
      <c r="W266" s="50">
        <v>0.002672</v>
      </c>
      <c r="X266" s="50">
        <v>0.003162</v>
      </c>
      <c r="Y266" s="50">
        <v>0</v>
      </c>
      <c r="Z266" s="50">
        <v>0</v>
      </c>
      <c r="AA266" s="72">
        <v>266</v>
      </c>
      <c r="AB266" s="72"/>
      <c r="AC266" s="73"/>
      <c r="AD266" s="80" t="s">
        <v>1496</v>
      </c>
      <c r="AE266" s="89" t="s">
        <v>1756</v>
      </c>
      <c r="AF266" s="80">
        <v>991</v>
      </c>
      <c r="AG266" s="80">
        <v>465</v>
      </c>
      <c r="AH266" s="80">
        <v>6015</v>
      </c>
      <c r="AI266" s="80">
        <v>39323</v>
      </c>
      <c r="AJ266" s="80"/>
      <c r="AK266" s="80" t="s">
        <v>2015</v>
      </c>
      <c r="AL266" s="80" t="s">
        <v>2136</v>
      </c>
      <c r="AM266" s="80"/>
      <c r="AN266" s="80"/>
      <c r="AO266" s="82">
        <v>39951.414247685185</v>
      </c>
      <c r="AP266" s="86" t="str">
        <f>HYPERLINK("https://pbs.twimg.com/profile_banners/40846486/1476693598")</f>
        <v>https://pbs.twimg.com/profile_banners/40846486/1476693598</v>
      </c>
      <c r="AQ266" s="80" t="b">
        <v>1</v>
      </c>
      <c r="AR266" s="80" t="b">
        <v>0</v>
      </c>
      <c r="AS266" s="80" t="b">
        <v>1</v>
      </c>
      <c r="AT266" s="80"/>
      <c r="AU266" s="80">
        <v>1</v>
      </c>
      <c r="AV266" s="86" t="str">
        <f>HYPERLINK("https://abs.twimg.com/images/themes/theme1/bg.png")</f>
        <v>https://abs.twimg.com/images/themes/theme1/bg.png</v>
      </c>
      <c r="AW266" s="80" t="b">
        <v>0</v>
      </c>
      <c r="AX266" s="80" t="s">
        <v>2141</v>
      </c>
      <c r="AY266" s="86" t="str">
        <f>HYPERLINK("https://twitter.com/joniaittola")</f>
        <v>https://twitter.com/joniaittola</v>
      </c>
      <c r="AZ266" s="80" t="s">
        <v>66</v>
      </c>
      <c r="BA266" s="80" t="str">
        <f>REPLACE(INDEX(GroupVertices[Group],MATCH(Vertices[[#This Row],[Vertex]],GroupVertices[Vertex],0)),1,1,"")</f>
        <v>4</v>
      </c>
      <c r="BB266" s="49">
        <v>0</v>
      </c>
      <c r="BC266" s="50">
        <v>0</v>
      </c>
      <c r="BD266" s="49">
        <v>0</v>
      </c>
      <c r="BE266" s="50">
        <v>0</v>
      </c>
      <c r="BF266" s="49">
        <v>0</v>
      </c>
      <c r="BG266" s="50">
        <v>0</v>
      </c>
      <c r="BH266" s="49">
        <v>33</v>
      </c>
      <c r="BI266" s="50">
        <v>100</v>
      </c>
      <c r="BJ266" s="49">
        <v>33</v>
      </c>
      <c r="BK266" s="49"/>
      <c r="BL266" s="49"/>
      <c r="BM266" s="49"/>
      <c r="BN266" s="49"/>
      <c r="BO266" s="49" t="s">
        <v>594</v>
      </c>
      <c r="BP266" s="49" t="s">
        <v>594</v>
      </c>
      <c r="BQ266" s="116" t="s">
        <v>4303</v>
      </c>
      <c r="BR266" s="116" t="s">
        <v>4303</v>
      </c>
      <c r="BS266" s="116" t="s">
        <v>4381</v>
      </c>
      <c r="BT266" s="116" t="s">
        <v>4381</v>
      </c>
      <c r="BU266" s="2"/>
      <c r="BV266" s="3"/>
      <c r="BW266" s="3"/>
      <c r="BX266" s="3"/>
      <c r="BY266" s="3"/>
    </row>
    <row r="267" spans="1:77" ht="15">
      <c r="A267" s="65" t="s">
        <v>471</v>
      </c>
      <c r="B267" s="66"/>
      <c r="C267" s="66" t="s">
        <v>64</v>
      </c>
      <c r="D267" s="67"/>
      <c r="E267" s="69"/>
      <c r="F267" s="104" t="str">
        <f>HYPERLINK("https://pbs.twimg.com/profile_images/1412097919071686659/quuIPyEQ_normal.jpg")</f>
        <v>https://pbs.twimg.com/profile_images/1412097919071686659/quuIPyEQ_normal.jpg</v>
      </c>
      <c r="G267" s="66"/>
      <c r="H267" s="70" t="s">
        <v>471</v>
      </c>
      <c r="I267" s="71" t="s">
        <v>4410</v>
      </c>
      <c r="J267" s="71" t="s">
        <v>73</v>
      </c>
      <c r="K267" s="70" t="s">
        <v>2405</v>
      </c>
      <c r="L267" s="74">
        <v>1</v>
      </c>
      <c r="M267" s="75">
        <v>1744.5836181640625</v>
      </c>
      <c r="N267" s="75">
        <v>8386.1943359375</v>
      </c>
      <c r="O267" s="76"/>
      <c r="P267" s="77"/>
      <c r="Q267" s="77"/>
      <c r="R267" s="90"/>
      <c r="S267" s="49">
        <v>0</v>
      </c>
      <c r="T267" s="49">
        <v>1</v>
      </c>
      <c r="U267" s="50">
        <v>0</v>
      </c>
      <c r="V267" s="50">
        <v>0.15898</v>
      </c>
      <c r="W267" s="50">
        <v>0.002672</v>
      </c>
      <c r="X267" s="50">
        <v>0.003162</v>
      </c>
      <c r="Y267" s="50">
        <v>0</v>
      </c>
      <c r="Z267" s="50">
        <v>0</v>
      </c>
      <c r="AA267" s="72">
        <v>267</v>
      </c>
      <c r="AB267" s="72"/>
      <c r="AC267" s="73"/>
      <c r="AD267" s="80" t="s">
        <v>1497</v>
      </c>
      <c r="AE267" s="89" t="s">
        <v>1757</v>
      </c>
      <c r="AF267" s="80">
        <v>856</v>
      </c>
      <c r="AG267" s="80">
        <v>235</v>
      </c>
      <c r="AH267" s="80">
        <v>3330</v>
      </c>
      <c r="AI267" s="80">
        <v>23819</v>
      </c>
      <c r="AJ267" s="80"/>
      <c r="AK267" s="80" t="s">
        <v>2016</v>
      </c>
      <c r="AL267" s="80" t="s">
        <v>2137</v>
      </c>
      <c r="AM267" s="80"/>
      <c r="AN267" s="80"/>
      <c r="AO267" s="82">
        <v>41281.48778935185</v>
      </c>
      <c r="AP267" s="86" t="str">
        <f>HYPERLINK("https://pbs.twimg.com/profile_banners/1068107642/1625505459")</f>
        <v>https://pbs.twimg.com/profile_banners/1068107642/1625505459</v>
      </c>
      <c r="AQ267" s="80" t="b">
        <v>1</v>
      </c>
      <c r="AR267" s="80" t="b">
        <v>0</v>
      </c>
      <c r="AS267" s="80" t="b">
        <v>0</v>
      </c>
      <c r="AT267" s="80"/>
      <c r="AU267" s="80">
        <v>2</v>
      </c>
      <c r="AV267" s="86" t="str">
        <f>HYPERLINK("https://abs.twimg.com/images/themes/theme1/bg.png")</f>
        <v>https://abs.twimg.com/images/themes/theme1/bg.png</v>
      </c>
      <c r="AW267" s="80" t="b">
        <v>0</v>
      </c>
      <c r="AX267" s="80" t="s">
        <v>2141</v>
      </c>
      <c r="AY267" s="86" t="str">
        <f>HYPERLINK("https://twitter.com/paakonhele")</f>
        <v>https://twitter.com/paakonhele</v>
      </c>
      <c r="AZ267" s="80" t="s">
        <v>66</v>
      </c>
      <c r="BA267" s="80" t="str">
        <f>REPLACE(INDEX(GroupVertices[Group],MATCH(Vertices[[#This Row],[Vertex]],GroupVertices[Vertex],0)),1,1,"")</f>
        <v>4</v>
      </c>
      <c r="BB267" s="49">
        <v>0</v>
      </c>
      <c r="BC267" s="50">
        <v>0</v>
      </c>
      <c r="BD267" s="49">
        <v>0</v>
      </c>
      <c r="BE267" s="50">
        <v>0</v>
      </c>
      <c r="BF267" s="49">
        <v>0</v>
      </c>
      <c r="BG267" s="50">
        <v>0</v>
      </c>
      <c r="BH267" s="49">
        <v>33</v>
      </c>
      <c r="BI267" s="50">
        <v>100</v>
      </c>
      <c r="BJ267" s="49">
        <v>33</v>
      </c>
      <c r="BK267" s="49"/>
      <c r="BL267" s="49"/>
      <c r="BM267" s="49"/>
      <c r="BN267" s="49"/>
      <c r="BO267" s="49" t="s">
        <v>594</v>
      </c>
      <c r="BP267" s="49" t="s">
        <v>594</v>
      </c>
      <c r="BQ267" s="116" t="s">
        <v>4303</v>
      </c>
      <c r="BR267" s="116" t="s">
        <v>4303</v>
      </c>
      <c r="BS267" s="116" t="s">
        <v>4381</v>
      </c>
      <c r="BT267" s="116" t="s">
        <v>4381</v>
      </c>
      <c r="BU267" s="2"/>
      <c r="BV267" s="3"/>
      <c r="BW267" s="3"/>
      <c r="BX267" s="3"/>
      <c r="BY267" s="3"/>
    </row>
    <row r="268" spans="1:77" ht="15">
      <c r="A268" s="65" t="s">
        <v>472</v>
      </c>
      <c r="B268" s="66"/>
      <c r="C268" s="66" t="s">
        <v>64</v>
      </c>
      <c r="D268" s="67"/>
      <c r="E268" s="69"/>
      <c r="F268" s="104" t="str">
        <f>HYPERLINK("https://pbs.twimg.com/profile_images/1417520737016029189/EdM_evPh_normal.jpg")</f>
        <v>https://pbs.twimg.com/profile_images/1417520737016029189/EdM_evPh_normal.jpg</v>
      </c>
      <c r="G268" s="66"/>
      <c r="H268" s="70" t="s">
        <v>472</v>
      </c>
      <c r="I268" s="71" t="s">
        <v>4410</v>
      </c>
      <c r="J268" s="71" t="s">
        <v>73</v>
      </c>
      <c r="K268" s="70" t="s">
        <v>2406</v>
      </c>
      <c r="L268" s="74">
        <v>1</v>
      </c>
      <c r="M268" s="75">
        <v>1449.1920166015625</v>
      </c>
      <c r="N268" s="75">
        <v>5592.44921875</v>
      </c>
      <c r="O268" s="76"/>
      <c r="P268" s="77"/>
      <c r="Q268" s="77"/>
      <c r="R268" s="90"/>
      <c r="S268" s="49">
        <v>0</v>
      </c>
      <c r="T268" s="49">
        <v>1</v>
      </c>
      <c r="U268" s="50">
        <v>0</v>
      </c>
      <c r="V268" s="50">
        <v>0.15898</v>
      </c>
      <c r="W268" s="50">
        <v>0.002672</v>
      </c>
      <c r="X268" s="50">
        <v>0.003162</v>
      </c>
      <c r="Y268" s="50">
        <v>0</v>
      </c>
      <c r="Z268" s="50">
        <v>0</v>
      </c>
      <c r="AA268" s="72">
        <v>268</v>
      </c>
      <c r="AB268" s="72"/>
      <c r="AC268" s="73"/>
      <c r="AD268" s="80" t="s">
        <v>1498</v>
      </c>
      <c r="AE268" s="89" t="s">
        <v>1758</v>
      </c>
      <c r="AF268" s="80">
        <v>2597</v>
      </c>
      <c r="AG268" s="80">
        <v>525</v>
      </c>
      <c r="AH268" s="80">
        <v>7312</v>
      </c>
      <c r="AI268" s="80">
        <v>58451</v>
      </c>
      <c r="AJ268" s="80"/>
      <c r="AK268" s="80"/>
      <c r="AL268" s="80"/>
      <c r="AM268" s="80"/>
      <c r="AN268" s="80"/>
      <c r="AO268" s="82">
        <v>44117.12366898148</v>
      </c>
      <c r="AP268" s="80"/>
      <c r="AQ268" s="80" t="b">
        <v>1</v>
      </c>
      <c r="AR268" s="80" t="b">
        <v>0</v>
      </c>
      <c r="AS268" s="80" t="b">
        <v>0</v>
      </c>
      <c r="AT268" s="80"/>
      <c r="AU268" s="80">
        <v>2</v>
      </c>
      <c r="AV268" s="80"/>
      <c r="AW268" s="80" t="b">
        <v>0</v>
      </c>
      <c r="AX268" s="80" t="s">
        <v>2141</v>
      </c>
      <c r="AY268" s="86" t="str">
        <f>HYPERLINK("https://twitter.com/jjrehn1")</f>
        <v>https://twitter.com/jjrehn1</v>
      </c>
      <c r="AZ268" s="80" t="s">
        <v>66</v>
      </c>
      <c r="BA268" s="80" t="str">
        <f>REPLACE(INDEX(GroupVertices[Group],MATCH(Vertices[[#This Row],[Vertex]],GroupVertices[Vertex],0)),1,1,"")</f>
        <v>4</v>
      </c>
      <c r="BB268" s="49">
        <v>0</v>
      </c>
      <c r="BC268" s="50">
        <v>0</v>
      </c>
      <c r="BD268" s="49">
        <v>0</v>
      </c>
      <c r="BE268" s="50">
        <v>0</v>
      </c>
      <c r="BF268" s="49">
        <v>0</v>
      </c>
      <c r="BG268" s="50">
        <v>0</v>
      </c>
      <c r="BH268" s="49">
        <v>33</v>
      </c>
      <c r="BI268" s="50">
        <v>100</v>
      </c>
      <c r="BJ268" s="49">
        <v>33</v>
      </c>
      <c r="BK268" s="49"/>
      <c r="BL268" s="49"/>
      <c r="BM268" s="49"/>
      <c r="BN268" s="49"/>
      <c r="BO268" s="49" t="s">
        <v>594</v>
      </c>
      <c r="BP268" s="49" t="s">
        <v>594</v>
      </c>
      <c r="BQ268" s="116" t="s">
        <v>4303</v>
      </c>
      <c r="BR268" s="116" t="s">
        <v>4303</v>
      </c>
      <c r="BS268" s="116" t="s">
        <v>4381</v>
      </c>
      <c r="BT268" s="116" t="s">
        <v>4381</v>
      </c>
      <c r="BU268" s="2"/>
      <c r="BV268" s="3"/>
      <c r="BW268" s="3"/>
      <c r="BX268" s="3"/>
      <c r="BY268" s="3"/>
    </row>
    <row r="269" spans="1:77" ht="15">
      <c r="A269" s="65" t="s">
        <v>473</v>
      </c>
      <c r="B269" s="66"/>
      <c r="C269" s="66" t="s">
        <v>64</v>
      </c>
      <c r="D269" s="67"/>
      <c r="E269" s="69"/>
      <c r="F269" s="104" t="str">
        <f>HYPERLINK("https://pbs.twimg.com/profile_images/1417078664861192198/M0DtOFMD_normal.jpg")</f>
        <v>https://pbs.twimg.com/profile_images/1417078664861192198/M0DtOFMD_normal.jpg</v>
      </c>
      <c r="G269" s="66"/>
      <c r="H269" s="70" t="s">
        <v>473</v>
      </c>
      <c r="I269" s="71" t="s">
        <v>4410</v>
      </c>
      <c r="J269" s="71" t="s">
        <v>73</v>
      </c>
      <c r="K269" s="70" t="s">
        <v>2407</v>
      </c>
      <c r="L269" s="74">
        <v>1</v>
      </c>
      <c r="M269" s="75">
        <v>152.70831298828125</v>
      </c>
      <c r="N269" s="75">
        <v>6438.08349609375</v>
      </c>
      <c r="O269" s="76"/>
      <c r="P269" s="77"/>
      <c r="Q269" s="77"/>
      <c r="R269" s="90"/>
      <c r="S269" s="49">
        <v>0</v>
      </c>
      <c r="T269" s="49">
        <v>1</v>
      </c>
      <c r="U269" s="50">
        <v>0</v>
      </c>
      <c r="V269" s="50">
        <v>0.15898</v>
      </c>
      <c r="W269" s="50">
        <v>0.002672</v>
      </c>
      <c r="X269" s="50">
        <v>0.003162</v>
      </c>
      <c r="Y269" s="50">
        <v>0</v>
      </c>
      <c r="Z269" s="50">
        <v>0</v>
      </c>
      <c r="AA269" s="72">
        <v>269</v>
      </c>
      <c r="AB269" s="72"/>
      <c r="AC269" s="73"/>
      <c r="AD269" s="80" t="s">
        <v>1499</v>
      </c>
      <c r="AE269" s="89" t="s">
        <v>1759</v>
      </c>
      <c r="AF269" s="80">
        <v>131</v>
      </c>
      <c r="AG269" s="80">
        <v>221</v>
      </c>
      <c r="AH269" s="80">
        <v>21020</v>
      </c>
      <c r="AI269" s="80">
        <v>31417</v>
      </c>
      <c r="AJ269" s="80"/>
      <c r="AK269" s="80" t="s">
        <v>2017</v>
      </c>
      <c r="AL269" s="80" t="s">
        <v>2138</v>
      </c>
      <c r="AM269" s="80"/>
      <c r="AN269" s="80"/>
      <c r="AO269" s="82">
        <v>41002.68638888889</v>
      </c>
      <c r="AP269" s="86" t="str">
        <f>HYPERLINK("https://pbs.twimg.com/profile_banners/544406788/1623649080")</f>
        <v>https://pbs.twimg.com/profile_banners/544406788/1623649080</v>
      </c>
      <c r="AQ269" s="80" t="b">
        <v>0</v>
      </c>
      <c r="AR269" s="80" t="b">
        <v>0</v>
      </c>
      <c r="AS269" s="80" t="b">
        <v>0</v>
      </c>
      <c r="AT269" s="80"/>
      <c r="AU269" s="80">
        <v>0</v>
      </c>
      <c r="AV269" s="86" t="str">
        <f>HYPERLINK("https://abs.twimg.com/images/themes/theme1/bg.png")</f>
        <v>https://abs.twimg.com/images/themes/theme1/bg.png</v>
      </c>
      <c r="AW269" s="80" t="b">
        <v>0</v>
      </c>
      <c r="AX269" s="80" t="s">
        <v>2141</v>
      </c>
      <c r="AY269" s="86" t="str">
        <f>HYPERLINK("https://twitter.com/jatkis")</f>
        <v>https://twitter.com/jatkis</v>
      </c>
      <c r="AZ269" s="80" t="s">
        <v>66</v>
      </c>
      <c r="BA269" s="80" t="str">
        <f>REPLACE(INDEX(GroupVertices[Group],MATCH(Vertices[[#This Row],[Vertex]],GroupVertices[Vertex],0)),1,1,"")</f>
        <v>4</v>
      </c>
      <c r="BB269" s="49">
        <v>0</v>
      </c>
      <c r="BC269" s="50">
        <v>0</v>
      </c>
      <c r="BD269" s="49">
        <v>0</v>
      </c>
      <c r="BE269" s="50">
        <v>0</v>
      </c>
      <c r="BF269" s="49">
        <v>0</v>
      </c>
      <c r="BG269" s="50">
        <v>0</v>
      </c>
      <c r="BH269" s="49">
        <v>33</v>
      </c>
      <c r="BI269" s="50">
        <v>100</v>
      </c>
      <c r="BJ269" s="49">
        <v>33</v>
      </c>
      <c r="BK269" s="49"/>
      <c r="BL269" s="49"/>
      <c r="BM269" s="49"/>
      <c r="BN269" s="49"/>
      <c r="BO269" s="49" t="s">
        <v>594</v>
      </c>
      <c r="BP269" s="49" t="s">
        <v>594</v>
      </c>
      <c r="BQ269" s="116" t="s">
        <v>4303</v>
      </c>
      <c r="BR269" s="116" t="s">
        <v>4303</v>
      </c>
      <c r="BS269" s="116" t="s">
        <v>4381</v>
      </c>
      <c r="BT269" s="116" t="s">
        <v>4381</v>
      </c>
      <c r="BU269" s="2"/>
      <c r="BV269" s="3"/>
      <c r="BW269" s="3"/>
      <c r="BX269" s="3"/>
      <c r="BY269" s="3"/>
    </row>
    <row r="270" spans="1:77" ht="15">
      <c r="A270" s="65" t="s">
        <v>474</v>
      </c>
      <c r="B270" s="66"/>
      <c r="C270" s="66" t="s">
        <v>64</v>
      </c>
      <c r="D270" s="67"/>
      <c r="E270" s="69"/>
      <c r="F270" s="104" t="str">
        <f>HYPERLINK("https://pbs.twimg.com/profile_images/1493314674418409477/XXWqPBRy_normal.jpg")</f>
        <v>https://pbs.twimg.com/profile_images/1493314674418409477/XXWqPBRy_normal.jpg</v>
      </c>
      <c r="G270" s="66"/>
      <c r="H270" s="70" t="s">
        <v>474</v>
      </c>
      <c r="I270" s="71" t="s">
        <v>4410</v>
      </c>
      <c r="J270" s="71" t="s">
        <v>73</v>
      </c>
      <c r="K270" s="70" t="s">
        <v>2408</v>
      </c>
      <c r="L270" s="74">
        <v>1</v>
      </c>
      <c r="M270" s="75">
        <v>1545.43994140625</v>
      </c>
      <c r="N270" s="75">
        <v>6738.06298828125</v>
      </c>
      <c r="O270" s="76"/>
      <c r="P270" s="77"/>
      <c r="Q270" s="77"/>
      <c r="R270" s="90"/>
      <c r="S270" s="49">
        <v>0</v>
      </c>
      <c r="T270" s="49">
        <v>1</v>
      </c>
      <c r="U270" s="50">
        <v>0</v>
      </c>
      <c r="V270" s="50">
        <v>0.15898</v>
      </c>
      <c r="W270" s="50">
        <v>0.002672</v>
      </c>
      <c r="X270" s="50">
        <v>0.003162</v>
      </c>
      <c r="Y270" s="50">
        <v>0</v>
      </c>
      <c r="Z270" s="50">
        <v>0</v>
      </c>
      <c r="AA270" s="72">
        <v>270</v>
      </c>
      <c r="AB270" s="72"/>
      <c r="AC270" s="73"/>
      <c r="AD270" s="80" t="s">
        <v>1500</v>
      </c>
      <c r="AE270" s="89" t="s">
        <v>1760</v>
      </c>
      <c r="AF270" s="80">
        <v>16389</v>
      </c>
      <c r="AG270" s="80">
        <v>15034</v>
      </c>
      <c r="AH270" s="80">
        <v>240406</v>
      </c>
      <c r="AI270" s="80">
        <v>225105</v>
      </c>
      <c r="AJ270" s="80"/>
      <c r="AK270" s="80" t="s">
        <v>2018</v>
      </c>
      <c r="AL270" s="80" t="s">
        <v>2139</v>
      </c>
      <c r="AM270" s="80"/>
      <c r="AN270" s="80"/>
      <c r="AO270" s="82">
        <v>41476.73409722222</v>
      </c>
      <c r="AP270" s="86" t="str">
        <f>HYPERLINK("https://pbs.twimg.com/profile_banners/1610983362/1534061130")</f>
        <v>https://pbs.twimg.com/profile_banners/1610983362/1534061130</v>
      </c>
      <c r="AQ270" s="80" t="b">
        <v>0</v>
      </c>
      <c r="AR270" s="80" t="b">
        <v>0</v>
      </c>
      <c r="AS270" s="80" t="b">
        <v>0</v>
      </c>
      <c r="AT270" s="80"/>
      <c r="AU270" s="80">
        <v>240</v>
      </c>
      <c r="AV270" s="86" t="str">
        <f>HYPERLINK("https://abs.twimg.com/images/themes/theme10/bg.gif")</f>
        <v>https://abs.twimg.com/images/themes/theme10/bg.gif</v>
      </c>
      <c r="AW270" s="80" t="b">
        <v>0</v>
      </c>
      <c r="AX270" s="80" t="s">
        <v>2141</v>
      </c>
      <c r="AY270" s="86" t="str">
        <f>HYPERLINK("https://twitter.com/maaninkavaara")</f>
        <v>https://twitter.com/maaninkavaara</v>
      </c>
      <c r="AZ270" s="80" t="s">
        <v>66</v>
      </c>
      <c r="BA270" s="80" t="str">
        <f>REPLACE(INDEX(GroupVertices[Group],MATCH(Vertices[[#This Row],[Vertex]],GroupVertices[Vertex],0)),1,1,"")</f>
        <v>4</v>
      </c>
      <c r="BB270" s="49">
        <v>0</v>
      </c>
      <c r="BC270" s="50">
        <v>0</v>
      </c>
      <c r="BD270" s="49">
        <v>0</v>
      </c>
      <c r="BE270" s="50">
        <v>0</v>
      </c>
      <c r="BF270" s="49">
        <v>0</v>
      </c>
      <c r="BG270" s="50">
        <v>0</v>
      </c>
      <c r="BH270" s="49">
        <v>33</v>
      </c>
      <c r="BI270" s="50">
        <v>100</v>
      </c>
      <c r="BJ270" s="49">
        <v>33</v>
      </c>
      <c r="BK270" s="49"/>
      <c r="BL270" s="49"/>
      <c r="BM270" s="49"/>
      <c r="BN270" s="49"/>
      <c r="BO270" s="49" t="s">
        <v>594</v>
      </c>
      <c r="BP270" s="49" t="s">
        <v>594</v>
      </c>
      <c r="BQ270" s="116" t="s">
        <v>4303</v>
      </c>
      <c r="BR270" s="116" t="s">
        <v>4303</v>
      </c>
      <c r="BS270" s="116" t="s">
        <v>4381</v>
      </c>
      <c r="BT270" s="116" t="s">
        <v>4381</v>
      </c>
      <c r="BU270" s="2"/>
      <c r="BV270" s="3"/>
      <c r="BW270" s="3"/>
      <c r="BX270" s="3"/>
      <c r="BY270" s="3"/>
    </row>
    <row r="271" spans="1:77" ht="15">
      <c r="A271" s="65" t="s">
        <v>475</v>
      </c>
      <c r="B271" s="66"/>
      <c r="C271" s="66" t="s">
        <v>64</v>
      </c>
      <c r="D271" s="67">
        <v>10</v>
      </c>
      <c r="E271" s="69"/>
      <c r="F271" s="104" t="str">
        <f>HYPERLINK("https://pbs.twimg.com/profile_images/1497760917798465542/M2z49jOP_normal.jpg")</f>
        <v>https://pbs.twimg.com/profile_images/1497760917798465542/M2z49jOP_normal.jpg</v>
      </c>
      <c r="G271" s="66"/>
      <c r="H271" s="70" t="s">
        <v>475</v>
      </c>
      <c r="I271" s="71" t="s">
        <v>4398</v>
      </c>
      <c r="J271" s="71" t="s">
        <v>73</v>
      </c>
      <c r="K271" s="70" t="s">
        <v>2409</v>
      </c>
      <c r="L271" s="74">
        <v>99.01960784313725</v>
      </c>
      <c r="M271" s="75"/>
      <c r="N271" s="75"/>
      <c r="O271" s="76"/>
      <c r="P271" s="77"/>
      <c r="Q271" s="77"/>
      <c r="R271" s="90"/>
      <c r="S271" s="49">
        <v>1</v>
      </c>
      <c r="T271" s="49">
        <v>1</v>
      </c>
      <c r="U271" s="50">
        <v>0</v>
      </c>
      <c r="V271" s="50">
        <v>0</v>
      </c>
      <c r="W271" s="50">
        <v>0</v>
      </c>
      <c r="X271" s="50">
        <v>0.003623</v>
      </c>
      <c r="Y271" s="50">
        <v>0</v>
      </c>
      <c r="Z271" s="50">
        <v>0</v>
      </c>
      <c r="AA271" s="72">
        <v>271</v>
      </c>
      <c r="AB271" s="72"/>
      <c r="AC271" s="73"/>
      <c r="AD271" s="80" t="s">
        <v>1501</v>
      </c>
      <c r="AE271" s="89" t="s">
        <v>1761</v>
      </c>
      <c r="AF271" s="80">
        <v>223</v>
      </c>
      <c r="AG271" s="80">
        <v>242</v>
      </c>
      <c r="AH271" s="80">
        <v>3493</v>
      </c>
      <c r="AI271" s="80">
        <v>4714</v>
      </c>
      <c r="AJ271" s="80"/>
      <c r="AK271" s="80" t="s">
        <v>2019</v>
      </c>
      <c r="AL271" s="80"/>
      <c r="AM271" s="80"/>
      <c r="AN271" s="80"/>
      <c r="AO271" s="82">
        <v>41726.738344907404</v>
      </c>
      <c r="AP271" s="86" t="str">
        <f>HYPERLINK("https://pbs.twimg.com/profile_banners/2442521200/1618339607")</f>
        <v>https://pbs.twimg.com/profile_banners/2442521200/1618339607</v>
      </c>
      <c r="AQ271" s="80" t="b">
        <v>1</v>
      </c>
      <c r="AR271" s="80" t="b">
        <v>0</v>
      </c>
      <c r="AS271" s="80" t="b">
        <v>1</v>
      </c>
      <c r="AT271" s="80"/>
      <c r="AU271" s="80">
        <v>2</v>
      </c>
      <c r="AV271" s="86" t="str">
        <f>HYPERLINK("https://abs.twimg.com/images/themes/theme1/bg.png")</f>
        <v>https://abs.twimg.com/images/themes/theme1/bg.png</v>
      </c>
      <c r="AW271" s="80" t="b">
        <v>0</v>
      </c>
      <c r="AX271" s="80" t="s">
        <v>2141</v>
      </c>
      <c r="AY271" s="86" t="str">
        <f>HYPERLINK("https://twitter.com/aapo_haavi")</f>
        <v>https://twitter.com/aapo_haavi</v>
      </c>
      <c r="AZ271" s="80" t="s">
        <v>66</v>
      </c>
      <c r="BA271" s="80" t="str">
        <f>REPLACE(INDEX(GroupVertices[Group],MATCH(Vertices[[#This Row],[Vertex]],GroupVertices[Vertex],0)),1,1,"")</f>
        <v>3</v>
      </c>
      <c r="BB271" s="49">
        <v>0</v>
      </c>
      <c r="BC271" s="50">
        <v>0</v>
      </c>
      <c r="BD271" s="49">
        <v>0</v>
      </c>
      <c r="BE271" s="50">
        <v>0</v>
      </c>
      <c r="BF271" s="49">
        <v>0</v>
      </c>
      <c r="BG271" s="50">
        <v>0</v>
      </c>
      <c r="BH271" s="49">
        <v>15</v>
      </c>
      <c r="BI271" s="50">
        <v>100</v>
      </c>
      <c r="BJ271" s="49">
        <v>15</v>
      </c>
      <c r="BK271" s="49" t="s">
        <v>3994</v>
      </c>
      <c r="BL271" s="49" t="s">
        <v>3994</v>
      </c>
      <c r="BM271" s="49" t="s">
        <v>580</v>
      </c>
      <c r="BN271" s="49" t="s">
        <v>580</v>
      </c>
      <c r="BO271" s="49" t="s">
        <v>603</v>
      </c>
      <c r="BP271" s="49" t="s">
        <v>603</v>
      </c>
      <c r="BQ271" s="116" t="s">
        <v>4307</v>
      </c>
      <c r="BR271" s="116" t="s">
        <v>4307</v>
      </c>
      <c r="BS271" s="116" t="s">
        <v>4385</v>
      </c>
      <c r="BT271" s="116" t="s">
        <v>4385</v>
      </c>
      <c r="BU271" s="2"/>
      <c r="BV271" s="3"/>
      <c r="BW271" s="3"/>
      <c r="BX271" s="3"/>
      <c r="BY271" s="3"/>
    </row>
    <row r="272" spans="1:77" ht="15">
      <c r="A272" s="65" t="s">
        <v>476</v>
      </c>
      <c r="B272" s="66"/>
      <c r="C272" s="66" t="s">
        <v>64</v>
      </c>
      <c r="D272" s="67"/>
      <c r="E272" s="69"/>
      <c r="F272" s="104" t="str">
        <f>HYPERLINK("https://pbs.twimg.com/profile_images/1460860804924907522/f1r6hKXp_normal.jpg")</f>
        <v>https://pbs.twimg.com/profile_images/1460860804924907522/f1r6hKXp_normal.jpg</v>
      </c>
      <c r="G272" s="66"/>
      <c r="H272" s="70" t="s">
        <v>476</v>
      </c>
      <c r="I272" s="71" t="s">
        <v>4410</v>
      </c>
      <c r="J272" s="71" t="s">
        <v>73</v>
      </c>
      <c r="K272" s="70" t="s">
        <v>2410</v>
      </c>
      <c r="L272" s="74">
        <v>1</v>
      </c>
      <c r="M272" s="75">
        <v>801.3218994140625</v>
      </c>
      <c r="N272" s="75">
        <v>4275.9091796875</v>
      </c>
      <c r="O272" s="76"/>
      <c r="P272" s="77"/>
      <c r="Q272" s="77"/>
      <c r="R272" s="90"/>
      <c r="S272" s="49">
        <v>0</v>
      </c>
      <c r="T272" s="49">
        <v>1</v>
      </c>
      <c r="U272" s="50">
        <v>0</v>
      </c>
      <c r="V272" s="50">
        <v>0.15898</v>
      </c>
      <c r="W272" s="50">
        <v>0.002672</v>
      </c>
      <c r="X272" s="50">
        <v>0.003162</v>
      </c>
      <c r="Y272" s="50">
        <v>0</v>
      </c>
      <c r="Z272" s="50">
        <v>0</v>
      </c>
      <c r="AA272" s="72">
        <v>272</v>
      </c>
      <c r="AB272" s="72"/>
      <c r="AC272" s="73"/>
      <c r="AD272" s="80" t="s">
        <v>1502</v>
      </c>
      <c r="AE272" s="89" t="s">
        <v>1762</v>
      </c>
      <c r="AF272" s="80">
        <v>959</v>
      </c>
      <c r="AG272" s="80">
        <v>1158</v>
      </c>
      <c r="AH272" s="80">
        <v>67247</v>
      </c>
      <c r="AI272" s="80">
        <v>56</v>
      </c>
      <c r="AJ272" s="80"/>
      <c r="AK272" s="80" t="s">
        <v>2020</v>
      </c>
      <c r="AL272" s="80" t="s">
        <v>2083</v>
      </c>
      <c r="AM272" s="80"/>
      <c r="AN272" s="80"/>
      <c r="AO272" s="82">
        <v>40185.42109953704</v>
      </c>
      <c r="AP272" s="86" t="str">
        <f>HYPERLINK("https://pbs.twimg.com/profile_banners/102634616/1647277330")</f>
        <v>https://pbs.twimg.com/profile_banners/102634616/1647277330</v>
      </c>
      <c r="AQ272" s="80" t="b">
        <v>0</v>
      </c>
      <c r="AR272" s="80" t="b">
        <v>0</v>
      </c>
      <c r="AS272" s="80" t="b">
        <v>1</v>
      </c>
      <c r="AT272" s="80"/>
      <c r="AU272" s="80">
        <v>15</v>
      </c>
      <c r="AV272" s="86" t="str">
        <f>HYPERLINK("https://abs.twimg.com/images/themes/theme1/bg.png")</f>
        <v>https://abs.twimg.com/images/themes/theme1/bg.png</v>
      </c>
      <c r="AW272" s="80" t="b">
        <v>0</v>
      </c>
      <c r="AX272" s="80" t="s">
        <v>2141</v>
      </c>
      <c r="AY272" s="86" t="str">
        <f>HYPERLINK("https://twitter.com/__danc")</f>
        <v>https://twitter.com/__danc</v>
      </c>
      <c r="AZ272" s="80" t="s">
        <v>66</v>
      </c>
      <c r="BA272" s="80" t="str">
        <f>REPLACE(INDEX(GroupVertices[Group],MATCH(Vertices[[#This Row],[Vertex]],GroupVertices[Vertex],0)),1,1,"")</f>
        <v>4</v>
      </c>
      <c r="BB272" s="49">
        <v>0</v>
      </c>
      <c r="BC272" s="50">
        <v>0</v>
      </c>
      <c r="BD272" s="49">
        <v>0</v>
      </c>
      <c r="BE272" s="50">
        <v>0</v>
      </c>
      <c r="BF272" s="49">
        <v>0</v>
      </c>
      <c r="BG272" s="50">
        <v>0</v>
      </c>
      <c r="BH272" s="49">
        <v>33</v>
      </c>
      <c r="BI272" s="50">
        <v>100</v>
      </c>
      <c r="BJ272" s="49">
        <v>33</v>
      </c>
      <c r="BK272" s="49"/>
      <c r="BL272" s="49"/>
      <c r="BM272" s="49"/>
      <c r="BN272" s="49"/>
      <c r="BO272" s="49" t="s">
        <v>594</v>
      </c>
      <c r="BP272" s="49" t="s">
        <v>594</v>
      </c>
      <c r="BQ272" s="116" t="s">
        <v>4303</v>
      </c>
      <c r="BR272" s="116" t="s">
        <v>4303</v>
      </c>
      <c r="BS272" s="116" t="s">
        <v>4381</v>
      </c>
      <c r="BT272" s="116" t="s">
        <v>4381</v>
      </c>
      <c r="BU272" s="2"/>
      <c r="BV272" s="3"/>
      <c r="BW272" s="3"/>
      <c r="BX272" s="3"/>
      <c r="BY272" s="3"/>
    </row>
    <row r="273" spans="1:77" ht="15">
      <c r="A273" s="65" t="s">
        <v>477</v>
      </c>
      <c r="B273" s="66"/>
      <c r="C273" s="66" t="s">
        <v>64</v>
      </c>
      <c r="D273" s="67"/>
      <c r="E273" s="69"/>
      <c r="F273" s="104" t="str">
        <f>HYPERLINK("https://pbs.twimg.com/profile_images/1456997595365138432/-R0yYqQN_normal.jpg")</f>
        <v>https://pbs.twimg.com/profile_images/1456997595365138432/-R0yYqQN_normal.jpg</v>
      </c>
      <c r="G273" s="66"/>
      <c r="H273" s="70" t="s">
        <v>477</v>
      </c>
      <c r="I273" s="71" t="s">
        <v>4410</v>
      </c>
      <c r="J273" s="71" t="s">
        <v>73</v>
      </c>
      <c r="K273" s="70" t="s">
        <v>2411</v>
      </c>
      <c r="L273" s="74">
        <v>1</v>
      </c>
      <c r="M273" s="75">
        <v>264.9940185546875</v>
      </c>
      <c r="N273" s="75">
        <v>8383.5419921875</v>
      </c>
      <c r="O273" s="76"/>
      <c r="P273" s="77"/>
      <c r="Q273" s="77"/>
      <c r="R273" s="90"/>
      <c r="S273" s="49">
        <v>0</v>
      </c>
      <c r="T273" s="49">
        <v>2</v>
      </c>
      <c r="U273" s="50">
        <v>2672</v>
      </c>
      <c r="V273" s="50">
        <v>0.261488</v>
      </c>
      <c r="W273" s="50">
        <v>0.070441</v>
      </c>
      <c r="X273" s="50">
        <v>0.003233</v>
      </c>
      <c r="Y273" s="50">
        <v>0</v>
      </c>
      <c r="Z273" s="50">
        <v>0</v>
      </c>
      <c r="AA273" s="72">
        <v>273</v>
      </c>
      <c r="AB273" s="72"/>
      <c r="AC273" s="73"/>
      <c r="AD273" s="80" t="s">
        <v>1503</v>
      </c>
      <c r="AE273" s="89" t="s">
        <v>1763</v>
      </c>
      <c r="AF273" s="80">
        <v>275</v>
      </c>
      <c r="AG273" s="80">
        <v>470</v>
      </c>
      <c r="AH273" s="80">
        <v>10986</v>
      </c>
      <c r="AI273" s="80">
        <v>26187</v>
      </c>
      <c r="AJ273" s="80"/>
      <c r="AK273" s="80" t="s">
        <v>2021</v>
      </c>
      <c r="AL273" s="80"/>
      <c r="AM273" s="80"/>
      <c r="AN273" s="80"/>
      <c r="AO273" s="82">
        <v>41745.47938657407</v>
      </c>
      <c r="AP273" s="86" t="str">
        <f>HYPERLINK("https://pbs.twimg.com/profile_banners/2447033442/1589896585")</f>
        <v>https://pbs.twimg.com/profile_banners/2447033442/1589896585</v>
      </c>
      <c r="AQ273" s="80" t="b">
        <v>1</v>
      </c>
      <c r="AR273" s="80" t="b">
        <v>0</v>
      </c>
      <c r="AS273" s="80" t="b">
        <v>1</v>
      </c>
      <c r="AT273" s="80"/>
      <c r="AU273" s="80">
        <v>0</v>
      </c>
      <c r="AV273" s="86" t="str">
        <f>HYPERLINK("https://abs.twimg.com/images/themes/theme1/bg.png")</f>
        <v>https://abs.twimg.com/images/themes/theme1/bg.png</v>
      </c>
      <c r="AW273" s="80" t="b">
        <v>0</v>
      </c>
      <c r="AX273" s="80" t="s">
        <v>2141</v>
      </c>
      <c r="AY273" s="86" t="str">
        <f>HYPERLINK("https://twitter.com/artovee")</f>
        <v>https://twitter.com/artovee</v>
      </c>
      <c r="AZ273" s="80" t="s">
        <v>66</v>
      </c>
      <c r="BA273" s="80" t="str">
        <f>REPLACE(INDEX(GroupVertices[Group],MATCH(Vertices[[#This Row],[Vertex]],GroupVertices[Vertex],0)),1,1,"")</f>
        <v>4</v>
      </c>
      <c r="BB273" s="49">
        <v>0</v>
      </c>
      <c r="BC273" s="50">
        <v>0</v>
      </c>
      <c r="BD273" s="49">
        <v>0</v>
      </c>
      <c r="BE273" s="50">
        <v>0</v>
      </c>
      <c r="BF273" s="49">
        <v>0</v>
      </c>
      <c r="BG273" s="50">
        <v>0</v>
      </c>
      <c r="BH273" s="49">
        <v>7</v>
      </c>
      <c r="BI273" s="50">
        <v>100</v>
      </c>
      <c r="BJ273" s="49">
        <v>7</v>
      </c>
      <c r="BK273" s="49"/>
      <c r="BL273" s="49"/>
      <c r="BM273" s="49"/>
      <c r="BN273" s="49"/>
      <c r="BO273" s="49"/>
      <c r="BP273" s="49"/>
      <c r="BQ273" s="116" t="s">
        <v>4308</v>
      </c>
      <c r="BR273" s="116" t="s">
        <v>4308</v>
      </c>
      <c r="BS273" s="116" t="s">
        <v>4386</v>
      </c>
      <c r="BT273" s="116" t="s">
        <v>4386</v>
      </c>
      <c r="BU273" s="2"/>
      <c r="BV273" s="3"/>
      <c r="BW273" s="3"/>
      <c r="BX273" s="3"/>
      <c r="BY273" s="3"/>
    </row>
    <row r="274" spans="1:77" ht="15">
      <c r="A274" s="65" t="s">
        <v>478</v>
      </c>
      <c r="B274" s="66"/>
      <c r="C274" s="66" t="s">
        <v>64</v>
      </c>
      <c r="D274" s="67"/>
      <c r="E274" s="69"/>
      <c r="F274" s="104" t="str">
        <f>HYPERLINK("https://pbs.twimg.com/profile_images/1494592467479502853/TgAN7EVR_normal.jpg")</f>
        <v>https://pbs.twimg.com/profile_images/1494592467479502853/TgAN7EVR_normal.jpg</v>
      </c>
      <c r="G274" s="66"/>
      <c r="H274" s="70" t="s">
        <v>478</v>
      </c>
      <c r="I274" s="71" t="s">
        <v>4410</v>
      </c>
      <c r="J274" s="71" t="s">
        <v>73</v>
      </c>
      <c r="K274" s="70" t="s">
        <v>2412</v>
      </c>
      <c r="L274" s="74">
        <v>1</v>
      </c>
      <c r="M274" s="75">
        <v>263.6381530761719</v>
      </c>
      <c r="N274" s="75">
        <v>5421.68408203125</v>
      </c>
      <c r="O274" s="76"/>
      <c r="P274" s="77"/>
      <c r="Q274" s="77"/>
      <c r="R274" s="90"/>
      <c r="S274" s="49">
        <v>0</v>
      </c>
      <c r="T274" s="49">
        <v>1</v>
      </c>
      <c r="U274" s="50">
        <v>0</v>
      </c>
      <c r="V274" s="50">
        <v>0.15898</v>
      </c>
      <c r="W274" s="50">
        <v>0.002672</v>
      </c>
      <c r="X274" s="50">
        <v>0.003162</v>
      </c>
      <c r="Y274" s="50">
        <v>0</v>
      </c>
      <c r="Z274" s="50">
        <v>0</v>
      </c>
      <c r="AA274" s="72">
        <v>274</v>
      </c>
      <c r="AB274" s="72"/>
      <c r="AC274" s="73"/>
      <c r="AD274" s="80" t="s">
        <v>1504</v>
      </c>
      <c r="AE274" s="89" t="s">
        <v>1764</v>
      </c>
      <c r="AF274" s="80">
        <v>155</v>
      </c>
      <c r="AG274" s="80">
        <v>73</v>
      </c>
      <c r="AH274" s="80">
        <v>2741</v>
      </c>
      <c r="AI274" s="80">
        <v>13881</v>
      </c>
      <c r="AJ274" s="80"/>
      <c r="AK274" s="80" t="s">
        <v>2022</v>
      </c>
      <c r="AL274" s="80"/>
      <c r="AM274" s="80"/>
      <c r="AN274" s="80"/>
      <c r="AO274" s="82">
        <v>44560.69386574074</v>
      </c>
      <c r="AP274" s="86" t="str">
        <f>HYPERLINK("https://pbs.twimg.com/profile_banners/1476593580957437953/1643531385")</f>
        <v>https://pbs.twimg.com/profile_banners/1476593580957437953/1643531385</v>
      </c>
      <c r="AQ274" s="80" t="b">
        <v>1</v>
      </c>
      <c r="AR274" s="80" t="b">
        <v>0</v>
      </c>
      <c r="AS274" s="80" t="b">
        <v>0</v>
      </c>
      <c r="AT274" s="80"/>
      <c r="AU274" s="80">
        <v>0</v>
      </c>
      <c r="AV274" s="80"/>
      <c r="AW274" s="80" t="b">
        <v>0</v>
      </c>
      <c r="AX274" s="80" t="s">
        <v>2141</v>
      </c>
      <c r="AY274" s="86" t="str">
        <f>HYPERLINK("https://twitter.com/muoriskaj")</f>
        <v>https://twitter.com/muoriskaj</v>
      </c>
      <c r="AZ274" s="80" t="s">
        <v>66</v>
      </c>
      <c r="BA274" s="80" t="str">
        <f>REPLACE(INDEX(GroupVertices[Group],MATCH(Vertices[[#This Row],[Vertex]],GroupVertices[Vertex],0)),1,1,"")</f>
        <v>4</v>
      </c>
      <c r="BB274" s="49">
        <v>0</v>
      </c>
      <c r="BC274" s="50">
        <v>0</v>
      </c>
      <c r="BD274" s="49">
        <v>0</v>
      </c>
      <c r="BE274" s="50">
        <v>0</v>
      </c>
      <c r="BF274" s="49">
        <v>0</v>
      </c>
      <c r="BG274" s="50">
        <v>0</v>
      </c>
      <c r="BH274" s="49">
        <v>33</v>
      </c>
      <c r="BI274" s="50">
        <v>100</v>
      </c>
      <c r="BJ274" s="49">
        <v>33</v>
      </c>
      <c r="BK274" s="49"/>
      <c r="BL274" s="49"/>
      <c r="BM274" s="49"/>
      <c r="BN274" s="49"/>
      <c r="BO274" s="49" t="s">
        <v>594</v>
      </c>
      <c r="BP274" s="49" t="s">
        <v>594</v>
      </c>
      <c r="BQ274" s="116" t="s">
        <v>4303</v>
      </c>
      <c r="BR274" s="116" t="s">
        <v>4303</v>
      </c>
      <c r="BS274" s="116" t="s">
        <v>4381</v>
      </c>
      <c r="BT274" s="116" t="s">
        <v>4381</v>
      </c>
      <c r="BU274" s="2"/>
      <c r="BV274" s="3"/>
      <c r="BW274" s="3"/>
      <c r="BX274" s="3"/>
      <c r="BY274" s="3"/>
    </row>
    <row r="275" spans="1:77" ht="15">
      <c r="A275" s="65" t="s">
        <v>480</v>
      </c>
      <c r="B275" s="66"/>
      <c r="C275" s="66" t="s">
        <v>64</v>
      </c>
      <c r="D275" s="67"/>
      <c r="E275" s="69"/>
      <c r="F275" s="104" t="str">
        <f>HYPERLINK("https://pbs.twimg.com/profile_images/1494690575425101828/bMgp4vjV_normal.jpg")</f>
        <v>https://pbs.twimg.com/profile_images/1494690575425101828/bMgp4vjV_normal.jpg</v>
      </c>
      <c r="G275" s="66"/>
      <c r="H275" s="70" t="s">
        <v>480</v>
      </c>
      <c r="I275" s="71" t="s">
        <v>4393</v>
      </c>
      <c r="J275" s="71" t="s">
        <v>73</v>
      </c>
      <c r="K275" s="70" t="s">
        <v>2413</v>
      </c>
      <c r="L275" s="74">
        <v>1</v>
      </c>
      <c r="M275" s="75">
        <v>3933.121337890625</v>
      </c>
      <c r="N275" s="75">
        <v>9526.1201171875</v>
      </c>
      <c r="O275" s="76"/>
      <c r="P275" s="77"/>
      <c r="Q275" s="77"/>
      <c r="R275" s="90"/>
      <c r="S275" s="49">
        <v>0</v>
      </c>
      <c r="T275" s="49">
        <v>1</v>
      </c>
      <c r="U275" s="50">
        <v>0</v>
      </c>
      <c r="V275" s="50">
        <v>0.239313</v>
      </c>
      <c r="W275" s="50">
        <v>0.067769</v>
      </c>
      <c r="X275" s="50">
        <v>0.003151</v>
      </c>
      <c r="Y275" s="50">
        <v>0</v>
      </c>
      <c r="Z275" s="50">
        <v>0</v>
      </c>
      <c r="AA275" s="72">
        <v>275</v>
      </c>
      <c r="AB275" s="72"/>
      <c r="AC275" s="73"/>
      <c r="AD275" s="80" t="s">
        <v>1505</v>
      </c>
      <c r="AE275" s="89" t="s">
        <v>1765</v>
      </c>
      <c r="AF275" s="80">
        <v>1075</v>
      </c>
      <c r="AG275" s="80">
        <v>312</v>
      </c>
      <c r="AH275" s="80">
        <v>90203</v>
      </c>
      <c r="AI275" s="80">
        <v>264029</v>
      </c>
      <c r="AJ275" s="80"/>
      <c r="AK275" s="80" t="s">
        <v>2023</v>
      </c>
      <c r="AL275" s="80" t="s">
        <v>2100</v>
      </c>
      <c r="AM275" s="86" t="str">
        <f>HYPERLINK("https://t.co/7sdgHNfl0r")</f>
        <v>https://t.co/7sdgHNfl0r</v>
      </c>
      <c r="AN275" s="80"/>
      <c r="AO275" s="82">
        <v>40877.72298611111</v>
      </c>
      <c r="AP275" s="86" t="str">
        <f>HYPERLINK("https://pbs.twimg.com/profile_banners/425177462/1641851387")</f>
        <v>https://pbs.twimg.com/profile_banners/425177462/1641851387</v>
      </c>
      <c r="AQ275" s="80" t="b">
        <v>0</v>
      </c>
      <c r="AR275" s="80" t="b">
        <v>0</v>
      </c>
      <c r="AS275" s="80" t="b">
        <v>1</v>
      </c>
      <c r="AT275" s="80"/>
      <c r="AU275" s="80">
        <v>4</v>
      </c>
      <c r="AV275" s="86" t="str">
        <f>HYPERLINK("https://abs.twimg.com/images/themes/theme1/bg.png")</f>
        <v>https://abs.twimg.com/images/themes/theme1/bg.png</v>
      </c>
      <c r="AW275" s="80" t="b">
        <v>0</v>
      </c>
      <c r="AX275" s="80" t="s">
        <v>2141</v>
      </c>
      <c r="AY275" s="86" t="str">
        <f>HYPERLINK("https://twitter.com/datironass")</f>
        <v>https://twitter.com/datironass</v>
      </c>
      <c r="AZ275" s="80" t="s">
        <v>66</v>
      </c>
      <c r="BA275" s="80" t="str">
        <f>REPLACE(INDEX(GroupVertices[Group],MATCH(Vertices[[#This Row],[Vertex]],GroupVertices[Vertex],0)),1,1,"")</f>
        <v>1</v>
      </c>
      <c r="BB275" s="49">
        <v>0</v>
      </c>
      <c r="BC275" s="50">
        <v>0</v>
      </c>
      <c r="BD275" s="49">
        <v>0</v>
      </c>
      <c r="BE275" s="50">
        <v>0</v>
      </c>
      <c r="BF275" s="49">
        <v>0</v>
      </c>
      <c r="BG275" s="50">
        <v>0</v>
      </c>
      <c r="BH275" s="49">
        <v>33</v>
      </c>
      <c r="BI275" s="50">
        <v>100</v>
      </c>
      <c r="BJ275" s="49">
        <v>33</v>
      </c>
      <c r="BK275" s="49" t="s">
        <v>3990</v>
      </c>
      <c r="BL275" s="49" t="s">
        <v>3990</v>
      </c>
      <c r="BM275" s="49" t="s">
        <v>582</v>
      </c>
      <c r="BN275" s="49" t="s">
        <v>582</v>
      </c>
      <c r="BO275" s="49"/>
      <c r="BP275" s="49"/>
      <c r="BQ275" s="116" t="s">
        <v>4267</v>
      </c>
      <c r="BR275" s="116" t="s">
        <v>4267</v>
      </c>
      <c r="BS275" s="116" t="s">
        <v>4346</v>
      </c>
      <c r="BT275" s="116" t="s">
        <v>4346</v>
      </c>
      <c r="BU275" s="2"/>
      <c r="BV275" s="3"/>
      <c r="BW275" s="3"/>
      <c r="BX275" s="3"/>
      <c r="BY275" s="3"/>
    </row>
    <row r="276" spans="1:77" ht="15">
      <c r="A276" s="65" t="s">
        <v>481</v>
      </c>
      <c r="B276" s="66"/>
      <c r="C276" s="66" t="s">
        <v>64</v>
      </c>
      <c r="D276" s="67"/>
      <c r="E276" s="69"/>
      <c r="F276" s="104" t="str">
        <f>HYPERLINK("https://pbs.twimg.com/profile_images/1244349645347848199/mYXRYWY3_normal.jpg")</f>
        <v>https://pbs.twimg.com/profile_images/1244349645347848199/mYXRYWY3_normal.jpg</v>
      </c>
      <c r="G276" s="66"/>
      <c r="H276" s="70" t="s">
        <v>481</v>
      </c>
      <c r="I276" s="71" t="s">
        <v>4410</v>
      </c>
      <c r="J276" s="71" t="s">
        <v>73</v>
      </c>
      <c r="K276" s="70" t="s">
        <v>2414</v>
      </c>
      <c r="L276" s="74">
        <v>1</v>
      </c>
      <c r="M276" s="75">
        <v>1124.9615478515625</v>
      </c>
      <c r="N276" s="75">
        <v>4193.89404296875</v>
      </c>
      <c r="O276" s="76"/>
      <c r="P276" s="77"/>
      <c r="Q276" s="77"/>
      <c r="R276" s="90"/>
      <c r="S276" s="49">
        <v>0</v>
      </c>
      <c r="T276" s="49">
        <v>1</v>
      </c>
      <c r="U276" s="50">
        <v>0</v>
      </c>
      <c r="V276" s="50">
        <v>0.15898</v>
      </c>
      <c r="W276" s="50">
        <v>0.002672</v>
      </c>
      <c r="X276" s="50">
        <v>0.003162</v>
      </c>
      <c r="Y276" s="50">
        <v>0</v>
      </c>
      <c r="Z276" s="50">
        <v>0</v>
      </c>
      <c r="AA276" s="72">
        <v>276</v>
      </c>
      <c r="AB276" s="72"/>
      <c r="AC276" s="73"/>
      <c r="AD276" s="80" t="s">
        <v>1506</v>
      </c>
      <c r="AE276" s="89" t="s">
        <v>1766</v>
      </c>
      <c r="AF276" s="80">
        <v>212</v>
      </c>
      <c r="AG276" s="80">
        <v>72</v>
      </c>
      <c r="AH276" s="80">
        <v>4362</v>
      </c>
      <c r="AI276" s="80">
        <v>13286</v>
      </c>
      <c r="AJ276" s="80"/>
      <c r="AK276" s="80" t="s">
        <v>2024</v>
      </c>
      <c r="AL276" s="80"/>
      <c r="AM276" s="80"/>
      <c r="AN276" s="80"/>
      <c r="AO276" s="82">
        <v>43553.51731481482</v>
      </c>
      <c r="AP276" s="80"/>
      <c r="AQ276" s="80" t="b">
        <v>1</v>
      </c>
      <c r="AR276" s="80" t="b">
        <v>0</v>
      </c>
      <c r="AS276" s="80" t="b">
        <v>0</v>
      </c>
      <c r="AT276" s="80"/>
      <c r="AU276" s="80">
        <v>0</v>
      </c>
      <c r="AV276" s="80"/>
      <c r="AW276" s="80" t="b">
        <v>0</v>
      </c>
      <c r="AX276" s="80" t="s">
        <v>2141</v>
      </c>
      <c r="AY276" s="86" t="str">
        <f>HYPERLINK("https://twitter.com/liljestrommarko")</f>
        <v>https://twitter.com/liljestrommarko</v>
      </c>
      <c r="AZ276" s="80" t="s">
        <v>66</v>
      </c>
      <c r="BA276" s="80" t="str">
        <f>REPLACE(INDEX(GroupVertices[Group],MATCH(Vertices[[#This Row],[Vertex]],GroupVertices[Vertex],0)),1,1,"")</f>
        <v>4</v>
      </c>
      <c r="BB276" s="49">
        <v>0</v>
      </c>
      <c r="BC276" s="50">
        <v>0</v>
      </c>
      <c r="BD276" s="49">
        <v>0</v>
      </c>
      <c r="BE276" s="50">
        <v>0</v>
      </c>
      <c r="BF276" s="49">
        <v>0</v>
      </c>
      <c r="BG276" s="50">
        <v>0</v>
      </c>
      <c r="BH276" s="49">
        <v>33</v>
      </c>
      <c r="BI276" s="50">
        <v>100</v>
      </c>
      <c r="BJ276" s="49">
        <v>33</v>
      </c>
      <c r="BK276" s="49"/>
      <c r="BL276" s="49"/>
      <c r="BM276" s="49"/>
      <c r="BN276" s="49"/>
      <c r="BO276" s="49" t="s">
        <v>594</v>
      </c>
      <c r="BP276" s="49" t="s">
        <v>594</v>
      </c>
      <c r="BQ276" s="116" t="s">
        <v>4303</v>
      </c>
      <c r="BR276" s="116" t="s">
        <v>4303</v>
      </c>
      <c r="BS276" s="116" t="s">
        <v>4381</v>
      </c>
      <c r="BT276" s="116" t="s">
        <v>4381</v>
      </c>
      <c r="BU276" s="2"/>
      <c r="BV276" s="3"/>
      <c r="BW276" s="3"/>
      <c r="BX276" s="3"/>
      <c r="BY276" s="3"/>
    </row>
    <row r="277" spans="1:77" ht="15">
      <c r="A277" s="65" t="s">
        <v>482</v>
      </c>
      <c r="B277" s="66"/>
      <c r="C277" s="66" t="s">
        <v>64</v>
      </c>
      <c r="D277" s="67"/>
      <c r="E277" s="69"/>
      <c r="F277" s="104" t="str">
        <f>HYPERLINK("https://pbs.twimg.com/profile_images/1443543209955766276/Wjq6pUeL_normal.jpg")</f>
        <v>https://pbs.twimg.com/profile_images/1443543209955766276/Wjq6pUeL_normal.jpg</v>
      </c>
      <c r="G277" s="66"/>
      <c r="H277" s="70" t="s">
        <v>482</v>
      </c>
      <c r="I277" s="71" t="s">
        <v>4410</v>
      </c>
      <c r="J277" s="71" t="s">
        <v>73</v>
      </c>
      <c r="K277" s="70" t="s">
        <v>2415</v>
      </c>
      <c r="L277" s="74">
        <v>1</v>
      </c>
      <c r="M277" s="75">
        <v>1076.1361083984375</v>
      </c>
      <c r="N277" s="75">
        <v>8680.7685546875</v>
      </c>
      <c r="O277" s="76"/>
      <c r="P277" s="77"/>
      <c r="Q277" s="77"/>
      <c r="R277" s="90"/>
      <c r="S277" s="49">
        <v>0</v>
      </c>
      <c r="T277" s="49">
        <v>1</v>
      </c>
      <c r="U277" s="50">
        <v>0</v>
      </c>
      <c r="V277" s="50">
        <v>0.15898</v>
      </c>
      <c r="W277" s="50">
        <v>0.002672</v>
      </c>
      <c r="X277" s="50">
        <v>0.003162</v>
      </c>
      <c r="Y277" s="50">
        <v>0</v>
      </c>
      <c r="Z277" s="50">
        <v>0</v>
      </c>
      <c r="AA277" s="72">
        <v>277</v>
      </c>
      <c r="AB277" s="72"/>
      <c r="AC277" s="73"/>
      <c r="AD277" s="80" t="s">
        <v>1507</v>
      </c>
      <c r="AE277" s="89" t="s">
        <v>1767</v>
      </c>
      <c r="AF277" s="80">
        <v>729</v>
      </c>
      <c r="AG277" s="80">
        <v>626</v>
      </c>
      <c r="AH277" s="80">
        <v>35558</v>
      </c>
      <c r="AI277" s="80">
        <v>90745</v>
      </c>
      <c r="AJ277" s="80"/>
      <c r="AK277" s="80" t="s">
        <v>2025</v>
      </c>
      <c r="AL277" s="80" t="s">
        <v>1201</v>
      </c>
      <c r="AM277" s="86" t="str">
        <f>HYPERLINK("https://t.co/71BcoGuu4Y")</f>
        <v>https://t.co/71BcoGuu4Y</v>
      </c>
      <c r="AN277" s="80"/>
      <c r="AO277" s="82">
        <v>41146.87755787037</v>
      </c>
      <c r="AP277" s="86" t="str">
        <f>HYPERLINK("https://pbs.twimg.com/profile_banners/781086576/1491815833")</f>
        <v>https://pbs.twimg.com/profile_banners/781086576/1491815833</v>
      </c>
      <c r="AQ277" s="80" t="b">
        <v>1</v>
      </c>
      <c r="AR277" s="80" t="b">
        <v>0</v>
      </c>
      <c r="AS277" s="80" t="b">
        <v>0</v>
      </c>
      <c r="AT277" s="80"/>
      <c r="AU277" s="80">
        <v>25</v>
      </c>
      <c r="AV277" s="86" t="str">
        <f>HYPERLINK("https://abs.twimg.com/images/themes/theme1/bg.png")</f>
        <v>https://abs.twimg.com/images/themes/theme1/bg.png</v>
      </c>
      <c r="AW277" s="80" t="b">
        <v>0</v>
      </c>
      <c r="AX277" s="80" t="s">
        <v>2141</v>
      </c>
      <c r="AY277" s="86" t="str">
        <f>HYPERLINK("https://twitter.com/joelrouvinen")</f>
        <v>https://twitter.com/joelrouvinen</v>
      </c>
      <c r="AZ277" s="80" t="s">
        <v>66</v>
      </c>
      <c r="BA277" s="80" t="str">
        <f>REPLACE(INDEX(GroupVertices[Group],MATCH(Vertices[[#This Row],[Vertex]],GroupVertices[Vertex],0)),1,1,"")</f>
        <v>4</v>
      </c>
      <c r="BB277" s="49">
        <v>0</v>
      </c>
      <c r="BC277" s="50">
        <v>0</v>
      </c>
      <c r="BD277" s="49">
        <v>0</v>
      </c>
      <c r="BE277" s="50">
        <v>0</v>
      </c>
      <c r="BF277" s="49">
        <v>0</v>
      </c>
      <c r="BG277" s="50">
        <v>0</v>
      </c>
      <c r="BH277" s="49">
        <v>33</v>
      </c>
      <c r="BI277" s="50">
        <v>100</v>
      </c>
      <c r="BJ277" s="49">
        <v>33</v>
      </c>
      <c r="BK277" s="49"/>
      <c r="BL277" s="49"/>
      <c r="BM277" s="49"/>
      <c r="BN277" s="49"/>
      <c r="BO277" s="49" t="s">
        <v>594</v>
      </c>
      <c r="BP277" s="49" t="s">
        <v>594</v>
      </c>
      <c r="BQ277" s="116" t="s">
        <v>4303</v>
      </c>
      <c r="BR277" s="116" t="s">
        <v>4303</v>
      </c>
      <c r="BS277" s="116" t="s">
        <v>4381</v>
      </c>
      <c r="BT277" s="116" t="s">
        <v>4381</v>
      </c>
      <c r="BU277" s="2"/>
      <c r="BV277" s="3"/>
      <c r="BW277" s="3"/>
      <c r="BX277" s="3"/>
      <c r="BY277" s="3"/>
    </row>
    <row r="278" spans="1:77" ht="15">
      <c r="A278" s="91" t="s">
        <v>484</v>
      </c>
      <c r="B278" s="92"/>
      <c r="C278" s="92" t="s">
        <v>64</v>
      </c>
      <c r="D278" s="93"/>
      <c r="E278" s="94"/>
      <c r="F278" s="105" t="str">
        <f>HYPERLINK("https://pbs.twimg.com/profile_images/378800000039893893/944c4257ef135a5bf3451cf59ea4a1b2_normal.jpeg")</f>
        <v>https://pbs.twimg.com/profile_images/378800000039893893/944c4257ef135a5bf3451cf59ea4a1b2_normal.jpeg</v>
      </c>
      <c r="G278" s="92"/>
      <c r="H278" s="95" t="s">
        <v>484</v>
      </c>
      <c r="I278" s="96" t="s">
        <v>4410</v>
      </c>
      <c r="J278" s="96" t="s">
        <v>73</v>
      </c>
      <c r="K278" s="95" t="s">
        <v>2416</v>
      </c>
      <c r="L278" s="97">
        <v>1</v>
      </c>
      <c r="M278" s="98">
        <v>448.7397766113281</v>
      </c>
      <c r="N278" s="98">
        <v>9168.7294921875</v>
      </c>
      <c r="O278" s="99"/>
      <c r="P278" s="100"/>
      <c r="Q278" s="100"/>
      <c r="R278" s="101"/>
      <c r="S278" s="49">
        <v>0</v>
      </c>
      <c r="T278" s="49">
        <v>1</v>
      </c>
      <c r="U278" s="50">
        <v>0</v>
      </c>
      <c r="V278" s="50">
        <v>0.15898</v>
      </c>
      <c r="W278" s="50">
        <v>0.002672</v>
      </c>
      <c r="X278" s="50">
        <v>0.003162</v>
      </c>
      <c r="Y278" s="50">
        <v>0</v>
      </c>
      <c r="Z278" s="50">
        <v>0</v>
      </c>
      <c r="AA278" s="102">
        <v>278</v>
      </c>
      <c r="AB278" s="102"/>
      <c r="AC278" s="103"/>
      <c r="AD278" s="80" t="s">
        <v>1508</v>
      </c>
      <c r="AE278" s="89" t="s">
        <v>1768</v>
      </c>
      <c r="AF278" s="80">
        <v>3750</v>
      </c>
      <c r="AG278" s="80">
        <v>2398</v>
      </c>
      <c r="AH278" s="80">
        <v>24747</v>
      </c>
      <c r="AI278" s="80">
        <v>250608</v>
      </c>
      <c r="AJ278" s="80"/>
      <c r="AK278" s="80" t="s">
        <v>2026</v>
      </c>
      <c r="AL278" s="80" t="s">
        <v>2140</v>
      </c>
      <c r="AM278" s="86" t="str">
        <f>HYPERLINK("https://t.co/MUX9HBgRYr")</f>
        <v>https://t.co/MUX9HBgRYr</v>
      </c>
      <c r="AN278" s="80"/>
      <c r="AO278" s="82">
        <v>41446.235625</v>
      </c>
      <c r="AP278" s="86" t="str">
        <f>HYPERLINK("https://pbs.twimg.com/profile_banners/1535812190/1629807711")</f>
        <v>https://pbs.twimg.com/profile_banners/1535812190/1629807711</v>
      </c>
      <c r="AQ278" s="80" t="b">
        <v>1</v>
      </c>
      <c r="AR278" s="80" t="b">
        <v>0</v>
      </c>
      <c r="AS278" s="80" t="b">
        <v>0</v>
      </c>
      <c r="AT278" s="80"/>
      <c r="AU278" s="80">
        <v>33</v>
      </c>
      <c r="AV278" s="86" t="str">
        <f>HYPERLINK("https://abs.twimg.com/images/themes/theme1/bg.png")</f>
        <v>https://abs.twimg.com/images/themes/theme1/bg.png</v>
      </c>
      <c r="AW278" s="80" t="b">
        <v>0</v>
      </c>
      <c r="AX278" s="80" t="s">
        <v>2141</v>
      </c>
      <c r="AY278" s="86" t="str">
        <f>HYPERLINK("https://twitter.com/sarjakuvakauppa")</f>
        <v>https://twitter.com/sarjakuvakauppa</v>
      </c>
      <c r="AZ278" s="80" t="s">
        <v>66</v>
      </c>
      <c r="BA278" s="80" t="str">
        <f>REPLACE(INDEX(GroupVertices[Group],MATCH(Vertices[[#This Row],[Vertex]],GroupVertices[Vertex],0)),1,1,"")</f>
        <v>4</v>
      </c>
      <c r="BB278" s="49">
        <v>0</v>
      </c>
      <c r="BC278" s="50">
        <v>0</v>
      </c>
      <c r="BD278" s="49">
        <v>0</v>
      </c>
      <c r="BE278" s="50">
        <v>0</v>
      </c>
      <c r="BF278" s="49">
        <v>0</v>
      </c>
      <c r="BG278" s="50">
        <v>0</v>
      </c>
      <c r="BH278" s="49">
        <v>33</v>
      </c>
      <c r="BI278" s="50">
        <v>100</v>
      </c>
      <c r="BJ278" s="49">
        <v>33</v>
      </c>
      <c r="BK278" s="49"/>
      <c r="BL278" s="49"/>
      <c r="BM278" s="49"/>
      <c r="BN278" s="49"/>
      <c r="BO278" s="49" t="s">
        <v>594</v>
      </c>
      <c r="BP278" s="49" t="s">
        <v>594</v>
      </c>
      <c r="BQ278" s="116" t="s">
        <v>4303</v>
      </c>
      <c r="BR278" s="116" t="s">
        <v>4303</v>
      </c>
      <c r="BS278" s="116" t="s">
        <v>4381</v>
      </c>
      <c r="BT278" s="116" t="s">
        <v>4381</v>
      </c>
      <c r="BU278" s="2"/>
      <c r="BV278" s="3"/>
      <c r="BW278" s="3"/>
      <c r="BX278" s="3"/>
      <c r="BY2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8"/>
    <dataValidation allowBlank="1" showInputMessage="1" promptTitle="Vertex Tooltip" prompt="Enter optional text that will pop up when the mouse is hovered over the vertex." errorTitle="Invalid Vertex Image Key" sqref="K3:K2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8"/>
    <dataValidation allowBlank="1" showInputMessage="1" promptTitle="Vertex Label Fill Color" prompt="To select an optional fill color for the Label shape, right-click and select Select Color on the right-click menu." sqref="I3:I278"/>
    <dataValidation allowBlank="1" showInputMessage="1" promptTitle="Vertex Image File" prompt="Enter the path to an image file.  Hover over the column header for examples." errorTitle="Invalid Vertex Image Key" sqref="F3:F278"/>
    <dataValidation allowBlank="1" showInputMessage="1" promptTitle="Vertex Color" prompt="To select an optional vertex color, right-click and select Select Color on the right-click menu." sqref="B3:B278"/>
    <dataValidation allowBlank="1" showInputMessage="1" promptTitle="Vertex Opacity" prompt="Enter an optional vertex opacity between 0 (transparent) and 100 (opaque)." errorTitle="Invalid Vertex Opacity" error="The optional vertex opacity must be a whole number between 0 and 10." sqref="E3:E278"/>
    <dataValidation type="list" allowBlank="1" showInputMessage="1" showErrorMessage="1" promptTitle="Vertex Shape" prompt="Select an optional vertex shape." errorTitle="Invalid Vertex Shape" error="You have entered an invalid vertex shape.  Try selecting from the drop-down list instead." sqref="C3:C2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8">
      <formula1>ValidVertexLabelPositions</formula1>
    </dataValidation>
    <dataValidation allowBlank="1" showInputMessage="1" showErrorMessage="1" promptTitle="Vertex Name" prompt="Enter the name of the vertex." sqref="A3:A2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2678</v>
      </c>
      <c r="Z2" s="54" t="s">
        <v>2679</v>
      </c>
      <c r="AA2" s="54" t="s">
        <v>2680</v>
      </c>
      <c r="AB2" s="54" t="s">
        <v>2681</v>
      </c>
      <c r="AC2" s="54" t="s">
        <v>2682</v>
      </c>
      <c r="AD2" s="54" t="s">
        <v>2683</v>
      </c>
      <c r="AE2" s="54" t="s">
        <v>2684</v>
      </c>
      <c r="AF2" s="54" t="s">
        <v>2685</v>
      </c>
      <c r="AG2" s="54" t="s">
        <v>2688</v>
      </c>
      <c r="AH2" s="13" t="s">
        <v>4027</v>
      </c>
      <c r="AI2" s="13" t="s">
        <v>4042</v>
      </c>
      <c r="AJ2" s="13" t="s">
        <v>4063</v>
      </c>
      <c r="AK2" s="13" t="s">
        <v>4076</v>
      </c>
      <c r="AL2" s="13" t="s">
        <v>4153</v>
      </c>
      <c r="AM2" s="13" t="s">
        <v>4188</v>
      </c>
      <c r="AN2" s="13" t="s">
        <v>4189</v>
      </c>
      <c r="AO2" s="13" t="s">
        <v>4201</v>
      </c>
    </row>
    <row r="3" spans="1:41" ht="15">
      <c r="A3" s="65" t="s">
        <v>2425</v>
      </c>
      <c r="B3" s="66" t="s">
        <v>2449</v>
      </c>
      <c r="C3" s="66" t="s">
        <v>56</v>
      </c>
      <c r="D3" s="107"/>
      <c r="E3" s="14" t="s">
        <v>65</v>
      </c>
      <c r="F3" s="15" t="s">
        <v>4413</v>
      </c>
      <c r="G3" s="64"/>
      <c r="H3" s="64"/>
      <c r="I3" s="108">
        <v>3</v>
      </c>
      <c r="J3" s="51"/>
      <c r="K3" s="49">
        <v>95</v>
      </c>
      <c r="L3" s="49">
        <v>98</v>
      </c>
      <c r="M3" s="49">
        <v>0</v>
      </c>
      <c r="N3" s="49">
        <v>98</v>
      </c>
      <c r="O3" s="49">
        <v>1</v>
      </c>
      <c r="P3" s="50">
        <v>0</v>
      </c>
      <c r="Q3" s="50">
        <v>0</v>
      </c>
      <c r="R3" s="49">
        <v>1</v>
      </c>
      <c r="S3" s="49">
        <v>0</v>
      </c>
      <c r="T3" s="49">
        <v>95</v>
      </c>
      <c r="U3" s="49">
        <v>98</v>
      </c>
      <c r="V3" s="49">
        <v>2</v>
      </c>
      <c r="W3" s="50">
        <v>1.957452</v>
      </c>
      <c r="X3" s="50">
        <v>0.010862262038073908</v>
      </c>
      <c r="Y3" s="49">
        <v>0</v>
      </c>
      <c r="Z3" s="50">
        <v>0</v>
      </c>
      <c r="AA3" s="49">
        <v>0</v>
      </c>
      <c r="AB3" s="50">
        <v>0</v>
      </c>
      <c r="AC3" s="49">
        <v>0</v>
      </c>
      <c r="AD3" s="50">
        <v>0</v>
      </c>
      <c r="AE3" s="49">
        <v>2981</v>
      </c>
      <c r="AF3" s="50">
        <v>100</v>
      </c>
      <c r="AG3" s="49">
        <v>2981</v>
      </c>
      <c r="AH3" s="80" t="s">
        <v>4028</v>
      </c>
      <c r="AI3" s="80" t="s">
        <v>4043</v>
      </c>
      <c r="AJ3" s="80" t="s">
        <v>591</v>
      </c>
      <c r="AK3" s="89" t="s">
        <v>4077</v>
      </c>
      <c r="AL3" s="89" t="s">
        <v>4154</v>
      </c>
      <c r="AM3" s="89" t="s">
        <v>479</v>
      </c>
      <c r="AN3" s="89" t="s">
        <v>479</v>
      </c>
      <c r="AO3" s="89" t="s">
        <v>4202</v>
      </c>
    </row>
    <row r="4" spans="1:41" ht="15">
      <c r="A4" s="65" t="s">
        <v>2426</v>
      </c>
      <c r="B4" s="66" t="s">
        <v>2450</v>
      </c>
      <c r="C4" s="66" t="s">
        <v>56</v>
      </c>
      <c r="D4" s="107"/>
      <c r="E4" s="14" t="s">
        <v>65</v>
      </c>
      <c r="F4" s="15" t="s">
        <v>2426</v>
      </c>
      <c r="G4" s="64"/>
      <c r="H4" s="64"/>
      <c r="I4" s="108">
        <v>4</v>
      </c>
      <c r="J4" s="78"/>
      <c r="K4" s="49">
        <v>70</v>
      </c>
      <c r="L4" s="49">
        <v>69</v>
      </c>
      <c r="M4" s="49">
        <v>2</v>
      </c>
      <c r="N4" s="49">
        <v>71</v>
      </c>
      <c r="O4" s="49">
        <v>2</v>
      </c>
      <c r="P4" s="50">
        <v>0</v>
      </c>
      <c r="Q4" s="50">
        <v>0</v>
      </c>
      <c r="R4" s="49">
        <v>1</v>
      </c>
      <c r="S4" s="49">
        <v>0</v>
      </c>
      <c r="T4" s="49">
        <v>70</v>
      </c>
      <c r="U4" s="49">
        <v>71</v>
      </c>
      <c r="V4" s="49">
        <v>2</v>
      </c>
      <c r="W4" s="50">
        <v>1.943265</v>
      </c>
      <c r="X4" s="50">
        <v>0.014285714285714285</v>
      </c>
      <c r="Y4" s="49">
        <v>1</v>
      </c>
      <c r="Z4" s="50">
        <v>0.18761726078799248</v>
      </c>
      <c r="AA4" s="49">
        <v>0</v>
      </c>
      <c r="AB4" s="50">
        <v>0</v>
      </c>
      <c r="AC4" s="49">
        <v>0</v>
      </c>
      <c r="AD4" s="50">
        <v>0</v>
      </c>
      <c r="AE4" s="49">
        <v>532</v>
      </c>
      <c r="AF4" s="50">
        <v>99.81238273921201</v>
      </c>
      <c r="AG4" s="49">
        <v>533</v>
      </c>
      <c r="AH4" s="80" t="s">
        <v>3990</v>
      </c>
      <c r="AI4" s="80" t="s">
        <v>582</v>
      </c>
      <c r="AJ4" s="80"/>
      <c r="AK4" s="89" t="s">
        <v>4078</v>
      </c>
      <c r="AL4" s="89" t="s">
        <v>4155</v>
      </c>
      <c r="AM4" s="89" t="s">
        <v>430</v>
      </c>
      <c r="AN4" s="89"/>
      <c r="AO4" s="89" t="s">
        <v>4203</v>
      </c>
    </row>
    <row r="5" spans="1:41" ht="15">
      <c r="A5" s="65" t="s">
        <v>2427</v>
      </c>
      <c r="B5" s="66" t="s">
        <v>2451</v>
      </c>
      <c r="C5" s="66" t="s">
        <v>56</v>
      </c>
      <c r="D5" s="107"/>
      <c r="E5" s="14" t="s">
        <v>66</v>
      </c>
      <c r="F5" s="15" t="s">
        <v>4414</v>
      </c>
      <c r="G5" s="64">
        <v>9001.759765625</v>
      </c>
      <c r="H5" s="64">
        <v>4193.8935546875</v>
      </c>
      <c r="I5" s="108">
        <v>5</v>
      </c>
      <c r="J5" s="78"/>
      <c r="K5" s="49">
        <v>37</v>
      </c>
      <c r="L5" s="49">
        <v>37</v>
      </c>
      <c r="M5" s="49">
        <v>0</v>
      </c>
      <c r="N5" s="49">
        <v>37</v>
      </c>
      <c r="O5" s="49">
        <v>37</v>
      </c>
      <c r="P5" s="50" t="s">
        <v>2464</v>
      </c>
      <c r="Q5" s="50" t="s">
        <v>2464</v>
      </c>
      <c r="R5" s="49">
        <v>37</v>
      </c>
      <c r="S5" s="49">
        <v>37</v>
      </c>
      <c r="T5" s="49">
        <v>1</v>
      </c>
      <c r="U5" s="49">
        <v>1</v>
      </c>
      <c r="V5" s="49">
        <v>0</v>
      </c>
      <c r="W5" s="50">
        <v>0</v>
      </c>
      <c r="X5" s="50">
        <v>0</v>
      </c>
      <c r="Y5" s="49">
        <v>0</v>
      </c>
      <c r="Z5" s="50">
        <v>0</v>
      </c>
      <c r="AA5" s="49">
        <v>0</v>
      </c>
      <c r="AB5" s="50">
        <v>0</v>
      </c>
      <c r="AC5" s="49">
        <v>0</v>
      </c>
      <c r="AD5" s="50">
        <v>0</v>
      </c>
      <c r="AE5" s="49">
        <v>557</v>
      </c>
      <c r="AF5" s="50">
        <v>100</v>
      </c>
      <c r="AG5" s="49">
        <v>557</v>
      </c>
      <c r="AH5" s="80" t="s">
        <v>4029</v>
      </c>
      <c r="AI5" s="80" t="s">
        <v>4044</v>
      </c>
      <c r="AJ5" s="80" t="s">
        <v>4064</v>
      </c>
      <c r="AK5" s="89" t="s">
        <v>4079</v>
      </c>
      <c r="AL5" s="89" t="s">
        <v>4156</v>
      </c>
      <c r="AM5" s="89"/>
      <c r="AN5" s="89"/>
      <c r="AO5" s="89" t="s">
        <v>4204</v>
      </c>
    </row>
    <row r="6" spans="1:41" ht="15">
      <c r="A6" s="65" t="s">
        <v>2428</v>
      </c>
      <c r="B6" s="66" t="s">
        <v>2452</v>
      </c>
      <c r="C6" s="66" t="s">
        <v>56</v>
      </c>
      <c r="D6" s="107"/>
      <c r="E6" s="14" t="s">
        <v>65</v>
      </c>
      <c r="F6" s="15" t="s">
        <v>4415</v>
      </c>
      <c r="G6" s="64"/>
      <c r="H6" s="64"/>
      <c r="I6" s="108">
        <v>6</v>
      </c>
      <c r="J6" s="78"/>
      <c r="K6" s="49">
        <v>27</v>
      </c>
      <c r="L6" s="49">
        <v>26</v>
      </c>
      <c r="M6" s="49">
        <v>3</v>
      </c>
      <c r="N6" s="49">
        <v>29</v>
      </c>
      <c r="O6" s="49">
        <v>3</v>
      </c>
      <c r="P6" s="50">
        <v>0</v>
      </c>
      <c r="Q6" s="50">
        <v>0</v>
      </c>
      <c r="R6" s="49">
        <v>1</v>
      </c>
      <c r="S6" s="49">
        <v>0</v>
      </c>
      <c r="T6" s="49">
        <v>27</v>
      </c>
      <c r="U6" s="49">
        <v>29</v>
      </c>
      <c r="V6" s="49">
        <v>2</v>
      </c>
      <c r="W6" s="50">
        <v>1.854595</v>
      </c>
      <c r="X6" s="50">
        <v>0.037037037037037035</v>
      </c>
      <c r="Y6" s="49">
        <v>0</v>
      </c>
      <c r="Z6" s="50">
        <v>0</v>
      </c>
      <c r="AA6" s="49">
        <v>0</v>
      </c>
      <c r="AB6" s="50">
        <v>0</v>
      </c>
      <c r="AC6" s="49">
        <v>0</v>
      </c>
      <c r="AD6" s="50">
        <v>0</v>
      </c>
      <c r="AE6" s="49">
        <v>881</v>
      </c>
      <c r="AF6" s="50">
        <v>100</v>
      </c>
      <c r="AG6" s="49">
        <v>881</v>
      </c>
      <c r="AH6" s="80" t="s">
        <v>4030</v>
      </c>
      <c r="AI6" s="80" t="s">
        <v>4045</v>
      </c>
      <c r="AJ6" s="80" t="s">
        <v>594</v>
      </c>
      <c r="AK6" s="89" t="s">
        <v>4080</v>
      </c>
      <c r="AL6" s="89" t="s">
        <v>4157</v>
      </c>
      <c r="AM6" s="89" t="s">
        <v>483</v>
      </c>
      <c r="AN6" s="89" t="s">
        <v>479</v>
      </c>
      <c r="AO6" s="89" t="s">
        <v>4205</v>
      </c>
    </row>
    <row r="7" spans="1:41" ht="15">
      <c r="A7" s="65" t="s">
        <v>2429</v>
      </c>
      <c r="B7" s="66" t="s">
        <v>2453</v>
      </c>
      <c r="C7" s="66" t="s">
        <v>56</v>
      </c>
      <c r="D7" s="107"/>
      <c r="E7" s="14" t="s">
        <v>65</v>
      </c>
      <c r="F7" s="15" t="s">
        <v>2429</v>
      </c>
      <c r="G7" s="64"/>
      <c r="H7" s="64"/>
      <c r="I7" s="108">
        <v>7</v>
      </c>
      <c r="J7" s="78"/>
      <c r="K7" s="49">
        <v>5</v>
      </c>
      <c r="L7" s="49">
        <v>5</v>
      </c>
      <c r="M7" s="49">
        <v>0</v>
      </c>
      <c r="N7" s="49">
        <v>5</v>
      </c>
      <c r="O7" s="49">
        <v>1</v>
      </c>
      <c r="P7" s="50">
        <v>0</v>
      </c>
      <c r="Q7" s="50">
        <v>0</v>
      </c>
      <c r="R7" s="49">
        <v>1</v>
      </c>
      <c r="S7" s="49">
        <v>0</v>
      </c>
      <c r="T7" s="49">
        <v>5</v>
      </c>
      <c r="U7" s="49">
        <v>5</v>
      </c>
      <c r="V7" s="49">
        <v>2</v>
      </c>
      <c r="W7" s="50">
        <v>1.28</v>
      </c>
      <c r="X7" s="50">
        <v>0.2</v>
      </c>
      <c r="Y7" s="49">
        <v>0</v>
      </c>
      <c r="Z7" s="50">
        <v>0</v>
      </c>
      <c r="AA7" s="49">
        <v>0</v>
      </c>
      <c r="AB7" s="50">
        <v>0</v>
      </c>
      <c r="AC7" s="49">
        <v>0</v>
      </c>
      <c r="AD7" s="50">
        <v>0</v>
      </c>
      <c r="AE7" s="49">
        <v>80</v>
      </c>
      <c r="AF7" s="50">
        <v>100</v>
      </c>
      <c r="AG7" s="49">
        <v>80</v>
      </c>
      <c r="AH7" s="80" t="s">
        <v>3990</v>
      </c>
      <c r="AI7" s="80" t="s">
        <v>582</v>
      </c>
      <c r="AJ7" s="80"/>
      <c r="AK7" s="89" t="s">
        <v>4081</v>
      </c>
      <c r="AL7" s="89" t="s">
        <v>4158</v>
      </c>
      <c r="AM7" s="89"/>
      <c r="AN7" s="89"/>
      <c r="AO7" s="89" t="s">
        <v>4206</v>
      </c>
    </row>
    <row r="8" spans="1:41" ht="15">
      <c r="A8" s="65" t="s">
        <v>2430</v>
      </c>
      <c r="B8" s="66" t="s">
        <v>2454</v>
      </c>
      <c r="C8" s="66" t="s">
        <v>56</v>
      </c>
      <c r="D8" s="107"/>
      <c r="E8" s="14" t="s">
        <v>65</v>
      </c>
      <c r="F8" s="15" t="s">
        <v>2430</v>
      </c>
      <c r="G8" s="64"/>
      <c r="H8" s="64"/>
      <c r="I8" s="108">
        <v>8</v>
      </c>
      <c r="J8" s="78"/>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60</v>
      </c>
      <c r="AF8" s="50">
        <v>100</v>
      </c>
      <c r="AG8" s="49">
        <v>60</v>
      </c>
      <c r="AH8" s="80"/>
      <c r="AI8" s="80"/>
      <c r="AJ8" s="80"/>
      <c r="AK8" s="89" t="s">
        <v>4082</v>
      </c>
      <c r="AL8" s="89" t="s">
        <v>4159</v>
      </c>
      <c r="AM8" s="89" t="s">
        <v>495</v>
      </c>
      <c r="AN8" s="89"/>
      <c r="AO8" s="89" t="s">
        <v>4207</v>
      </c>
    </row>
    <row r="9" spans="1:41" ht="15">
      <c r="A9" s="65" t="s">
        <v>2431</v>
      </c>
      <c r="B9" s="66" t="s">
        <v>2455</v>
      </c>
      <c r="C9" s="66" t="s">
        <v>56</v>
      </c>
      <c r="D9" s="107"/>
      <c r="E9" s="14" t="s">
        <v>65</v>
      </c>
      <c r="F9" s="15" t="s">
        <v>4416</v>
      </c>
      <c r="G9" s="64"/>
      <c r="H9" s="64"/>
      <c r="I9" s="108">
        <v>9</v>
      </c>
      <c r="J9" s="78"/>
      <c r="K9" s="49">
        <v>3</v>
      </c>
      <c r="L9" s="49">
        <v>3</v>
      </c>
      <c r="M9" s="49">
        <v>2</v>
      </c>
      <c r="N9" s="49">
        <v>5</v>
      </c>
      <c r="O9" s="49">
        <v>1</v>
      </c>
      <c r="P9" s="50">
        <v>0</v>
      </c>
      <c r="Q9" s="50">
        <v>0</v>
      </c>
      <c r="R9" s="49">
        <v>1</v>
      </c>
      <c r="S9" s="49">
        <v>0</v>
      </c>
      <c r="T9" s="49">
        <v>3</v>
      </c>
      <c r="U9" s="49">
        <v>5</v>
      </c>
      <c r="V9" s="49">
        <v>1</v>
      </c>
      <c r="W9" s="50">
        <v>0.666667</v>
      </c>
      <c r="X9" s="50">
        <v>0.5</v>
      </c>
      <c r="Y9" s="49">
        <v>0</v>
      </c>
      <c r="Z9" s="50">
        <v>0</v>
      </c>
      <c r="AA9" s="49">
        <v>0</v>
      </c>
      <c r="AB9" s="50">
        <v>0</v>
      </c>
      <c r="AC9" s="49">
        <v>0</v>
      </c>
      <c r="AD9" s="50">
        <v>0</v>
      </c>
      <c r="AE9" s="49">
        <v>45</v>
      </c>
      <c r="AF9" s="50">
        <v>100</v>
      </c>
      <c r="AG9" s="49">
        <v>45</v>
      </c>
      <c r="AH9" s="80" t="s">
        <v>3993</v>
      </c>
      <c r="AI9" s="80" t="s">
        <v>579</v>
      </c>
      <c r="AJ9" s="80" t="s">
        <v>587</v>
      </c>
      <c r="AK9" s="89" t="s">
        <v>4083</v>
      </c>
      <c r="AL9" s="89" t="s">
        <v>4160</v>
      </c>
      <c r="AM9" s="89"/>
      <c r="AN9" s="89" t="s">
        <v>490</v>
      </c>
      <c r="AO9" s="89" t="s">
        <v>4208</v>
      </c>
    </row>
    <row r="10" spans="1:41" ht="14.25" customHeight="1">
      <c r="A10" s="65" t="s">
        <v>2432</v>
      </c>
      <c r="B10" s="66" t="s">
        <v>2456</v>
      </c>
      <c r="C10" s="66" t="s">
        <v>56</v>
      </c>
      <c r="D10" s="107"/>
      <c r="E10" s="14" t="s">
        <v>65</v>
      </c>
      <c r="F10" s="15" t="s">
        <v>2432</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9</v>
      </c>
      <c r="AF10" s="50">
        <v>100</v>
      </c>
      <c r="AG10" s="49">
        <v>9</v>
      </c>
      <c r="AH10" s="80"/>
      <c r="AI10" s="80"/>
      <c r="AJ10" s="80"/>
      <c r="AK10" s="89" t="s">
        <v>2659</v>
      </c>
      <c r="AL10" s="89" t="s">
        <v>1162</v>
      </c>
      <c r="AM10" s="89" t="s">
        <v>487</v>
      </c>
      <c r="AN10" s="89" t="s">
        <v>486</v>
      </c>
      <c r="AO10" s="89" t="s">
        <v>4209</v>
      </c>
    </row>
    <row r="11" spans="1:41" ht="15">
      <c r="A11" s="65" t="s">
        <v>2433</v>
      </c>
      <c r="B11" s="66" t="s">
        <v>2457</v>
      </c>
      <c r="C11" s="66" t="s">
        <v>56</v>
      </c>
      <c r="D11" s="107"/>
      <c r="E11" s="14" t="s">
        <v>65</v>
      </c>
      <c r="F11" s="15" t="s">
        <v>4417</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18</v>
      </c>
      <c r="AF11" s="50">
        <v>100</v>
      </c>
      <c r="AG11" s="49">
        <v>18</v>
      </c>
      <c r="AH11" s="80" t="s">
        <v>4023</v>
      </c>
      <c r="AI11" s="80" t="s">
        <v>586</v>
      </c>
      <c r="AJ11" s="80" t="s">
        <v>602</v>
      </c>
      <c r="AK11" s="89" t="s">
        <v>1162</v>
      </c>
      <c r="AL11" s="89" t="s">
        <v>1162</v>
      </c>
      <c r="AM11" s="89"/>
      <c r="AN11" s="89" t="s">
        <v>499</v>
      </c>
      <c r="AO11" s="89" t="s">
        <v>4210</v>
      </c>
    </row>
    <row r="12" spans="1:41" ht="15">
      <c r="A12" s="65" t="s">
        <v>2434</v>
      </c>
      <c r="B12" s="66" t="s">
        <v>2458</v>
      </c>
      <c r="C12" s="66" t="s">
        <v>56</v>
      </c>
      <c r="D12" s="107"/>
      <c r="E12" s="14" t="s">
        <v>65</v>
      </c>
      <c r="F12" s="15" t="s">
        <v>2434</v>
      </c>
      <c r="G12" s="64"/>
      <c r="H12" s="64"/>
      <c r="I12" s="108">
        <v>12</v>
      </c>
      <c r="J12" s="78"/>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53</v>
      </c>
      <c r="AF12" s="50">
        <v>100</v>
      </c>
      <c r="AG12" s="49">
        <v>53</v>
      </c>
      <c r="AH12" s="80" t="s">
        <v>3990</v>
      </c>
      <c r="AI12" s="80" t="s">
        <v>582</v>
      </c>
      <c r="AJ12" s="80"/>
      <c r="AK12" s="89" t="s">
        <v>4084</v>
      </c>
      <c r="AL12" s="89" t="s">
        <v>4091</v>
      </c>
      <c r="AM12" s="89" t="s">
        <v>498</v>
      </c>
      <c r="AN12" s="89"/>
      <c r="AO12" s="89" t="s">
        <v>4211</v>
      </c>
    </row>
    <row r="13" spans="1:41" ht="15">
      <c r="A13" s="65" t="s">
        <v>2435</v>
      </c>
      <c r="B13" s="66" t="s">
        <v>2459</v>
      </c>
      <c r="C13" s="66" t="s">
        <v>56</v>
      </c>
      <c r="D13" s="107"/>
      <c r="E13" s="14" t="s">
        <v>65</v>
      </c>
      <c r="F13" s="15" t="s">
        <v>2435</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23</v>
      </c>
      <c r="AF13" s="50">
        <v>100</v>
      </c>
      <c r="AG13" s="49">
        <v>23</v>
      </c>
      <c r="AH13" s="80"/>
      <c r="AI13" s="80"/>
      <c r="AJ13" s="80"/>
      <c r="AK13" s="89" t="s">
        <v>2582</v>
      </c>
      <c r="AL13" s="89" t="s">
        <v>1162</v>
      </c>
      <c r="AM13" s="89" t="s">
        <v>497</v>
      </c>
      <c r="AN13" s="89"/>
      <c r="AO13" s="89" t="s">
        <v>4212</v>
      </c>
    </row>
    <row r="14" spans="1:41" ht="15">
      <c r="A14" s="65" t="s">
        <v>2436</v>
      </c>
      <c r="B14" s="66" t="s">
        <v>2460</v>
      </c>
      <c r="C14" s="66" t="s">
        <v>56</v>
      </c>
      <c r="D14" s="107"/>
      <c r="E14" s="14" t="s">
        <v>65</v>
      </c>
      <c r="F14" s="15" t="s">
        <v>4418</v>
      </c>
      <c r="G14" s="64"/>
      <c r="H14" s="64"/>
      <c r="I14" s="108">
        <v>14</v>
      </c>
      <c r="J14" s="78"/>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58</v>
      </c>
      <c r="AF14" s="50">
        <v>100</v>
      </c>
      <c r="AG14" s="49">
        <v>58</v>
      </c>
      <c r="AH14" s="80"/>
      <c r="AI14" s="80"/>
      <c r="AJ14" s="80" t="s">
        <v>594</v>
      </c>
      <c r="AK14" s="89" t="s">
        <v>4085</v>
      </c>
      <c r="AL14" s="89" t="s">
        <v>4161</v>
      </c>
      <c r="AM14" s="89"/>
      <c r="AN14" s="89"/>
      <c r="AO14" s="89" t="s">
        <v>4213</v>
      </c>
    </row>
    <row r="15" spans="1:41" ht="15">
      <c r="A15" s="65" t="s">
        <v>2437</v>
      </c>
      <c r="B15" s="66" t="s">
        <v>2449</v>
      </c>
      <c r="C15" s="66" t="s">
        <v>59</v>
      </c>
      <c r="D15" s="107"/>
      <c r="E15" s="14" t="s">
        <v>65</v>
      </c>
      <c r="F15" s="15" t="s">
        <v>2437</v>
      </c>
      <c r="G15" s="64"/>
      <c r="H15" s="64"/>
      <c r="I15" s="108">
        <v>15</v>
      </c>
      <c r="J15" s="78"/>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20</v>
      </c>
      <c r="AF15" s="50">
        <v>100</v>
      </c>
      <c r="AG15" s="49">
        <v>20</v>
      </c>
      <c r="AH15" s="80" t="s">
        <v>3996</v>
      </c>
      <c r="AI15" s="80" t="s">
        <v>584</v>
      </c>
      <c r="AJ15" s="80"/>
      <c r="AK15" s="89" t="s">
        <v>4086</v>
      </c>
      <c r="AL15" s="89" t="s">
        <v>4162</v>
      </c>
      <c r="AM15" s="89"/>
      <c r="AN15" s="89"/>
      <c r="AO15" s="89" t="s">
        <v>4214</v>
      </c>
    </row>
    <row r="16" spans="1:41" ht="15">
      <c r="A16" s="65" t="s">
        <v>2438</v>
      </c>
      <c r="B16" s="66" t="s">
        <v>2450</v>
      </c>
      <c r="C16" s="66" t="s">
        <v>59</v>
      </c>
      <c r="D16" s="107"/>
      <c r="E16" s="14" t="s">
        <v>65</v>
      </c>
      <c r="F16" s="15" t="s">
        <v>2438</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6</v>
      </c>
      <c r="AF16" s="50">
        <v>100</v>
      </c>
      <c r="AG16" s="49">
        <v>6</v>
      </c>
      <c r="AH16" s="80"/>
      <c r="AI16" s="80"/>
      <c r="AJ16" s="80"/>
      <c r="AK16" s="89" t="s">
        <v>1162</v>
      </c>
      <c r="AL16" s="89" t="s">
        <v>1162</v>
      </c>
      <c r="AM16" s="89" t="s">
        <v>496</v>
      </c>
      <c r="AN16" s="89"/>
      <c r="AO16" s="89" t="s">
        <v>4215</v>
      </c>
    </row>
    <row r="17" spans="1:41" ht="15">
      <c r="A17" s="65" t="s">
        <v>2439</v>
      </c>
      <c r="B17" s="66" t="s">
        <v>2451</v>
      </c>
      <c r="C17" s="66" t="s">
        <v>59</v>
      </c>
      <c r="D17" s="107"/>
      <c r="E17" s="14" t="s">
        <v>65</v>
      </c>
      <c r="F17" s="15" t="s">
        <v>2439</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0</v>
      </c>
      <c r="AB17" s="50">
        <v>0</v>
      </c>
      <c r="AC17" s="49">
        <v>0</v>
      </c>
      <c r="AD17" s="50">
        <v>0</v>
      </c>
      <c r="AE17" s="49">
        <v>22</v>
      </c>
      <c r="AF17" s="50">
        <v>100</v>
      </c>
      <c r="AG17" s="49">
        <v>22</v>
      </c>
      <c r="AH17" s="80"/>
      <c r="AI17" s="80"/>
      <c r="AJ17" s="80"/>
      <c r="AK17" s="89" t="s">
        <v>4087</v>
      </c>
      <c r="AL17" s="89" t="s">
        <v>4163</v>
      </c>
      <c r="AM17" s="89"/>
      <c r="AN17" s="89"/>
      <c r="AO17" s="89" t="s">
        <v>4216</v>
      </c>
    </row>
    <row r="18" spans="1:41" ht="15">
      <c r="A18" s="65" t="s">
        <v>2440</v>
      </c>
      <c r="B18" s="66" t="s">
        <v>2452</v>
      </c>
      <c r="C18" s="66" t="s">
        <v>59</v>
      </c>
      <c r="D18" s="107"/>
      <c r="E18" s="14" t="s">
        <v>65</v>
      </c>
      <c r="F18" s="15" t="s">
        <v>2440</v>
      </c>
      <c r="G18" s="64"/>
      <c r="H18" s="64"/>
      <c r="I18" s="108">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8</v>
      </c>
      <c r="AF18" s="50">
        <v>100</v>
      </c>
      <c r="AG18" s="49">
        <v>8</v>
      </c>
      <c r="AH18" s="80" t="s">
        <v>3990</v>
      </c>
      <c r="AI18" s="80" t="s">
        <v>582</v>
      </c>
      <c r="AJ18" s="80"/>
      <c r="AK18" s="89" t="s">
        <v>4088</v>
      </c>
      <c r="AL18" s="89" t="s">
        <v>4164</v>
      </c>
      <c r="AM18" s="89"/>
      <c r="AN18" s="89"/>
      <c r="AO18" s="89" t="s">
        <v>4217</v>
      </c>
    </row>
    <row r="19" spans="1:41" ht="15">
      <c r="A19" s="65" t="s">
        <v>2441</v>
      </c>
      <c r="B19" s="66" t="s">
        <v>2453</v>
      </c>
      <c r="C19" s="66" t="s">
        <v>59</v>
      </c>
      <c r="D19" s="107"/>
      <c r="E19" s="14" t="s">
        <v>65</v>
      </c>
      <c r="F19" s="15" t="s">
        <v>2441</v>
      </c>
      <c r="G19" s="64"/>
      <c r="H19" s="64"/>
      <c r="I19" s="108">
        <v>19</v>
      </c>
      <c r="J19" s="78"/>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33</v>
      </c>
      <c r="AF19" s="50">
        <v>100</v>
      </c>
      <c r="AG19" s="49">
        <v>33</v>
      </c>
      <c r="AH19" s="80"/>
      <c r="AI19" s="80"/>
      <c r="AJ19" s="80"/>
      <c r="AK19" s="89" t="s">
        <v>1162</v>
      </c>
      <c r="AL19" s="89" t="s">
        <v>1162</v>
      </c>
      <c r="AM19" s="89" t="s">
        <v>494</v>
      </c>
      <c r="AN19" s="89"/>
      <c r="AO19" s="89" t="s">
        <v>4218</v>
      </c>
    </row>
    <row r="20" spans="1:41" ht="15">
      <c r="A20" s="65" t="s">
        <v>2442</v>
      </c>
      <c r="B20" s="66" t="s">
        <v>2454</v>
      </c>
      <c r="C20" s="66" t="s">
        <v>59</v>
      </c>
      <c r="D20" s="107"/>
      <c r="E20" s="14" t="s">
        <v>65</v>
      </c>
      <c r="F20" s="15" t="s">
        <v>4419</v>
      </c>
      <c r="G20" s="64"/>
      <c r="H20" s="64"/>
      <c r="I20" s="108">
        <v>20</v>
      </c>
      <c r="J20" s="78"/>
      <c r="K20" s="49">
        <v>2</v>
      </c>
      <c r="L20" s="49">
        <v>2</v>
      </c>
      <c r="M20" s="49">
        <v>0</v>
      </c>
      <c r="N20" s="49">
        <v>2</v>
      </c>
      <c r="O20" s="49">
        <v>1</v>
      </c>
      <c r="P20" s="50">
        <v>0</v>
      </c>
      <c r="Q20" s="50">
        <v>0</v>
      </c>
      <c r="R20" s="49">
        <v>1</v>
      </c>
      <c r="S20" s="49">
        <v>0</v>
      </c>
      <c r="T20" s="49">
        <v>2</v>
      </c>
      <c r="U20" s="49">
        <v>2</v>
      </c>
      <c r="V20" s="49">
        <v>1</v>
      </c>
      <c r="W20" s="50">
        <v>0.5</v>
      </c>
      <c r="X20" s="50">
        <v>0.5</v>
      </c>
      <c r="Y20" s="49">
        <v>0</v>
      </c>
      <c r="Z20" s="50">
        <v>0</v>
      </c>
      <c r="AA20" s="49">
        <v>0</v>
      </c>
      <c r="AB20" s="50">
        <v>0</v>
      </c>
      <c r="AC20" s="49">
        <v>0</v>
      </c>
      <c r="AD20" s="50">
        <v>0</v>
      </c>
      <c r="AE20" s="49">
        <v>26</v>
      </c>
      <c r="AF20" s="50">
        <v>100</v>
      </c>
      <c r="AG20" s="49">
        <v>26</v>
      </c>
      <c r="AH20" s="80" t="s">
        <v>3999</v>
      </c>
      <c r="AI20" s="80" t="s">
        <v>583</v>
      </c>
      <c r="AJ20" s="80" t="s">
        <v>592</v>
      </c>
      <c r="AK20" s="89" t="s">
        <v>4089</v>
      </c>
      <c r="AL20" s="89" t="s">
        <v>4165</v>
      </c>
      <c r="AM20" s="89"/>
      <c r="AN20" s="89"/>
      <c r="AO20" s="89" t="s">
        <v>4219</v>
      </c>
    </row>
    <row r="21" spans="1:41" ht="15">
      <c r="A21" s="65" t="s">
        <v>2443</v>
      </c>
      <c r="B21" s="66" t="s">
        <v>2455</v>
      </c>
      <c r="C21" s="66" t="s">
        <v>59</v>
      </c>
      <c r="D21" s="107"/>
      <c r="E21" s="14" t="s">
        <v>65</v>
      </c>
      <c r="F21" s="15" t="s">
        <v>2443</v>
      </c>
      <c r="G21" s="64"/>
      <c r="H21" s="64"/>
      <c r="I21" s="108">
        <v>21</v>
      </c>
      <c r="J21" s="78"/>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12</v>
      </c>
      <c r="AF21" s="50">
        <v>100</v>
      </c>
      <c r="AG21" s="49">
        <v>12</v>
      </c>
      <c r="AH21" s="80"/>
      <c r="AI21" s="80"/>
      <c r="AJ21" s="80"/>
      <c r="AK21" s="89" t="s">
        <v>1162</v>
      </c>
      <c r="AL21" s="89" t="s">
        <v>1162</v>
      </c>
      <c r="AM21" s="89" t="s">
        <v>493</v>
      </c>
      <c r="AN21" s="89"/>
      <c r="AO21" s="89" t="s">
        <v>4220</v>
      </c>
    </row>
    <row r="22" spans="1:41" ht="15">
      <c r="A22" s="65" t="s">
        <v>2444</v>
      </c>
      <c r="B22" s="66" t="s">
        <v>2456</v>
      </c>
      <c r="C22" s="66" t="s">
        <v>59</v>
      </c>
      <c r="D22" s="107"/>
      <c r="E22" s="14" t="s">
        <v>65</v>
      </c>
      <c r="F22" s="15" t="s">
        <v>2444</v>
      </c>
      <c r="G22" s="64"/>
      <c r="H22" s="64"/>
      <c r="I22" s="108">
        <v>22</v>
      </c>
      <c r="J22" s="78"/>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16</v>
      </c>
      <c r="AF22" s="50">
        <v>100</v>
      </c>
      <c r="AG22" s="49">
        <v>16</v>
      </c>
      <c r="AH22" s="80"/>
      <c r="AI22" s="80"/>
      <c r="AJ22" s="80"/>
      <c r="AK22" s="89" t="s">
        <v>1162</v>
      </c>
      <c r="AL22" s="89" t="s">
        <v>1162</v>
      </c>
      <c r="AM22" s="89" t="s">
        <v>492</v>
      </c>
      <c r="AN22" s="89"/>
      <c r="AO22" s="89" t="s">
        <v>4221</v>
      </c>
    </row>
    <row r="23" spans="1:41" ht="15">
      <c r="A23" s="65" t="s">
        <v>2445</v>
      </c>
      <c r="B23" s="66" t="s">
        <v>2457</v>
      </c>
      <c r="C23" s="66" t="s">
        <v>59</v>
      </c>
      <c r="D23" s="107"/>
      <c r="E23" s="14" t="s">
        <v>65</v>
      </c>
      <c r="F23" s="15" t="s">
        <v>2445</v>
      </c>
      <c r="G23" s="64"/>
      <c r="H23" s="64"/>
      <c r="I23" s="108">
        <v>23</v>
      </c>
      <c r="J23" s="7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3</v>
      </c>
      <c r="AF23" s="50">
        <v>100</v>
      </c>
      <c r="AG23" s="49">
        <v>3</v>
      </c>
      <c r="AH23" s="80"/>
      <c r="AI23" s="80"/>
      <c r="AJ23" s="80"/>
      <c r="AK23" s="89" t="s">
        <v>1162</v>
      </c>
      <c r="AL23" s="89" t="s">
        <v>1162</v>
      </c>
      <c r="AM23" s="89" t="s">
        <v>491</v>
      </c>
      <c r="AN23" s="89"/>
      <c r="AO23" s="89" t="s">
        <v>4222</v>
      </c>
    </row>
    <row r="24" spans="1:41" ht="15">
      <c r="A24" s="65" t="s">
        <v>2446</v>
      </c>
      <c r="B24" s="66" t="s">
        <v>2458</v>
      </c>
      <c r="C24" s="66" t="s">
        <v>59</v>
      </c>
      <c r="D24" s="107"/>
      <c r="E24" s="14" t="s">
        <v>65</v>
      </c>
      <c r="F24" s="15" t="s">
        <v>2446</v>
      </c>
      <c r="G24" s="64"/>
      <c r="H24" s="64"/>
      <c r="I24" s="108">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7</v>
      </c>
      <c r="AF24" s="50">
        <v>100</v>
      </c>
      <c r="AG24" s="49">
        <v>7</v>
      </c>
      <c r="AH24" s="80"/>
      <c r="AI24" s="80"/>
      <c r="AJ24" s="80"/>
      <c r="AK24" s="89" t="s">
        <v>1162</v>
      </c>
      <c r="AL24" s="89" t="s">
        <v>1162</v>
      </c>
      <c r="AM24" s="89" t="s">
        <v>489</v>
      </c>
      <c r="AN24" s="89"/>
      <c r="AO24" s="89" t="s">
        <v>4223</v>
      </c>
    </row>
    <row r="25" spans="1:41" ht="15">
      <c r="A25" s="65" t="s">
        <v>2447</v>
      </c>
      <c r="B25" s="66" t="s">
        <v>2459</v>
      </c>
      <c r="C25" s="66" t="s">
        <v>59</v>
      </c>
      <c r="D25" s="107"/>
      <c r="E25" s="14" t="s">
        <v>65</v>
      </c>
      <c r="F25" s="15" t="s">
        <v>2447</v>
      </c>
      <c r="G25" s="64"/>
      <c r="H25" s="64"/>
      <c r="I25" s="108">
        <v>25</v>
      </c>
      <c r="J25" s="78"/>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13</v>
      </c>
      <c r="AF25" s="50">
        <v>100</v>
      </c>
      <c r="AG25" s="49">
        <v>13</v>
      </c>
      <c r="AH25" s="80"/>
      <c r="AI25" s="80"/>
      <c r="AJ25" s="80"/>
      <c r="AK25" s="89" t="s">
        <v>2658</v>
      </c>
      <c r="AL25" s="89" t="s">
        <v>1162</v>
      </c>
      <c r="AM25" s="89" t="s">
        <v>488</v>
      </c>
      <c r="AN25" s="89"/>
      <c r="AO25" s="89" t="s">
        <v>4224</v>
      </c>
    </row>
    <row r="26" spans="1:41" ht="15">
      <c r="A26" s="65" t="s">
        <v>2448</v>
      </c>
      <c r="B26" s="66" t="s">
        <v>2460</v>
      </c>
      <c r="C26" s="66" t="s">
        <v>59</v>
      </c>
      <c r="D26" s="107"/>
      <c r="E26" s="14" t="s">
        <v>65</v>
      </c>
      <c r="F26" s="15" t="s">
        <v>2448</v>
      </c>
      <c r="G26" s="64"/>
      <c r="H26" s="64"/>
      <c r="I26" s="108">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5</v>
      </c>
      <c r="AF26" s="50">
        <v>100</v>
      </c>
      <c r="AG26" s="49">
        <v>5</v>
      </c>
      <c r="AH26" s="80"/>
      <c r="AI26" s="80"/>
      <c r="AJ26" s="80"/>
      <c r="AK26" s="89" t="s">
        <v>1162</v>
      </c>
      <c r="AL26" s="89" t="s">
        <v>1162</v>
      </c>
      <c r="AM26" s="89" t="s">
        <v>500</v>
      </c>
      <c r="AN26" s="89"/>
      <c r="AO26" s="89" t="s">
        <v>4225</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2425</v>
      </c>
      <c r="B2" s="89" t="s">
        <v>480</v>
      </c>
      <c r="C2" s="80">
        <f>VLOOKUP(GroupVertices[[#This Row],[Vertex]],Vertices[],MATCH("ID",Vertices[[#Headers],[Vertex]:[Top Word Pairs in Tweet by Salience]],0),FALSE)</f>
        <v>275</v>
      </c>
    </row>
    <row r="3" spans="1:3" ht="15">
      <c r="A3" s="81" t="s">
        <v>2425</v>
      </c>
      <c r="B3" s="89" t="s">
        <v>479</v>
      </c>
      <c r="C3" s="80">
        <f>VLOOKUP(GroupVertices[[#This Row],[Vertex]],Vertices[],MATCH("ID",Vertices[[#Headers],[Vertex]:[Top Word Pairs in Tweet by Salience]],0),FALSE)</f>
        <v>111</v>
      </c>
    </row>
    <row r="4" spans="1:3" ht="15">
      <c r="A4" s="81" t="s">
        <v>2425</v>
      </c>
      <c r="B4" s="89" t="s">
        <v>455</v>
      </c>
      <c r="C4" s="80">
        <f>VLOOKUP(GroupVertices[[#This Row],[Vertex]],Vertices[],MATCH("ID",Vertices[[#Headers],[Vertex]:[Top Word Pairs in Tweet by Salience]],0),FALSE)</f>
        <v>250</v>
      </c>
    </row>
    <row r="5" spans="1:3" ht="15">
      <c r="A5" s="81" t="s">
        <v>2425</v>
      </c>
      <c r="B5" s="89" t="s">
        <v>452</v>
      </c>
      <c r="C5" s="80">
        <f>VLOOKUP(GroupVertices[[#This Row],[Vertex]],Vertices[],MATCH("ID",Vertices[[#Headers],[Vertex]:[Top Word Pairs in Tweet by Salience]],0),FALSE)</f>
        <v>247</v>
      </c>
    </row>
    <row r="6" spans="1:3" ht="15">
      <c r="A6" s="81" t="s">
        <v>2425</v>
      </c>
      <c r="B6" s="89" t="s">
        <v>451</v>
      </c>
      <c r="C6" s="80">
        <f>VLOOKUP(GroupVertices[[#This Row],[Vertex]],Vertices[],MATCH("ID",Vertices[[#Headers],[Vertex]:[Top Word Pairs in Tweet by Salience]],0),FALSE)</f>
        <v>246</v>
      </c>
    </row>
    <row r="7" spans="1:3" ht="15">
      <c r="A7" s="81" t="s">
        <v>2425</v>
      </c>
      <c r="B7" s="89" t="s">
        <v>449</v>
      </c>
      <c r="C7" s="80">
        <f>VLOOKUP(GroupVertices[[#This Row],[Vertex]],Vertices[],MATCH("ID",Vertices[[#Headers],[Vertex]:[Top Word Pairs in Tweet by Salience]],0),FALSE)</f>
        <v>244</v>
      </c>
    </row>
    <row r="8" spans="1:3" ht="15">
      <c r="A8" s="81" t="s">
        <v>2425</v>
      </c>
      <c r="B8" s="89" t="s">
        <v>445</v>
      </c>
      <c r="C8" s="80">
        <f>VLOOKUP(GroupVertices[[#This Row],[Vertex]],Vertices[],MATCH("ID",Vertices[[#Headers],[Vertex]:[Top Word Pairs in Tweet by Salience]],0),FALSE)</f>
        <v>240</v>
      </c>
    </row>
    <row r="9" spans="1:3" ht="15">
      <c r="A9" s="81" t="s">
        <v>2425</v>
      </c>
      <c r="B9" s="89" t="s">
        <v>444</v>
      </c>
      <c r="C9" s="80">
        <f>VLOOKUP(GroupVertices[[#This Row],[Vertex]],Vertices[],MATCH("ID",Vertices[[#Headers],[Vertex]:[Top Word Pairs in Tweet by Salience]],0),FALSE)</f>
        <v>239</v>
      </c>
    </row>
    <row r="10" spans="1:3" ht="15">
      <c r="A10" s="81" t="s">
        <v>2425</v>
      </c>
      <c r="B10" s="89" t="s">
        <v>441</v>
      </c>
      <c r="C10" s="80">
        <f>VLOOKUP(GroupVertices[[#This Row],[Vertex]],Vertices[],MATCH("ID",Vertices[[#Headers],[Vertex]:[Top Word Pairs in Tweet by Salience]],0),FALSE)</f>
        <v>235</v>
      </c>
    </row>
    <row r="11" spans="1:3" ht="15">
      <c r="A11" s="81" t="s">
        <v>2425</v>
      </c>
      <c r="B11" s="89" t="s">
        <v>439</v>
      </c>
      <c r="C11" s="80">
        <f>VLOOKUP(GroupVertices[[#This Row],[Vertex]],Vertices[],MATCH("ID",Vertices[[#Headers],[Vertex]:[Top Word Pairs in Tweet by Salience]],0),FALSE)</f>
        <v>233</v>
      </c>
    </row>
    <row r="12" spans="1:3" ht="15">
      <c r="A12" s="81" t="s">
        <v>2425</v>
      </c>
      <c r="B12" s="89" t="s">
        <v>437</v>
      </c>
      <c r="C12" s="80">
        <f>VLOOKUP(GroupVertices[[#This Row],[Vertex]],Vertices[],MATCH("ID",Vertices[[#Headers],[Vertex]:[Top Word Pairs in Tweet by Salience]],0),FALSE)</f>
        <v>231</v>
      </c>
    </row>
    <row r="13" spans="1:3" ht="15">
      <c r="A13" s="81" t="s">
        <v>2425</v>
      </c>
      <c r="B13" s="89" t="s">
        <v>429</v>
      </c>
      <c r="C13" s="80">
        <f>VLOOKUP(GroupVertices[[#This Row],[Vertex]],Vertices[],MATCH("ID",Vertices[[#Headers],[Vertex]:[Top Word Pairs in Tweet by Salience]],0),FALSE)</f>
        <v>222</v>
      </c>
    </row>
    <row r="14" spans="1:3" ht="15">
      <c r="A14" s="81" t="s">
        <v>2425</v>
      </c>
      <c r="B14" s="89" t="s">
        <v>428</v>
      </c>
      <c r="C14" s="80">
        <f>VLOOKUP(GroupVertices[[#This Row],[Vertex]],Vertices[],MATCH("ID",Vertices[[#Headers],[Vertex]:[Top Word Pairs in Tweet by Salience]],0),FALSE)</f>
        <v>202</v>
      </c>
    </row>
    <row r="15" spans="1:3" ht="15">
      <c r="A15" s="81" t="s">
        <v>2425</v>
      </c>
      <c r="B15" s="89" t="s">
        <v>427</v>
      </c>
      <c r="C15" s="80">
        <f>VLOOKUP(GroupVertices[[#This Row],[Vertex]],Vertices[],MATCH("ID",Vertices[[#Headers],[Vertex]:[Top Word Pairs in Tweet by Salience]],0),FALSE)</f>
        <v>221</v>
      </c>
    </row>
    <row r="16" spans="1:3" ht="15">
      <c r="A16" s="81" t="s">
        <v>2425</v>
      </c>
      <c r="B16" s="89" t="s">
        <v>426</v>
      </c>
      <c r="C16" s="80">
        <f>VLOOKUP(GroupVertices[[#This Row],[Vertex]],Vertices[],MATCH("ID",Vertices[[#Headers],[Vertex]:[Top Word Pairs in Tweet by Salience]],0),FALSE)</f>
        <v>220</v>
      </c>
    </row>
    <row r="17" spans="1:3" ht="15">
      <c r="A17" s="81" t="s">
        <v>2425</v>
      </c>
      <c r="B17" s="89" t="s">
        <v>425</v>
      </c>
      <c r="C17" s="80">
        <f>VLOOKUP(GroupVertices[[#This Row],[Vertex]],Vertices[],MATCH("ID",Vertices[[#Headers],[Vertex]:[Top Word Pairs in Tweet by Salience]],0),FALSE)</f>
        <v>219</v>
      </c>
    </row>
    <row r="18" spans="1:3" ht="15">
      <c r="A18" s="81" t="s">
        <v>2425</v>
      </c>
      <c r="B18" s="89" t="s">
        <v>424</v>
      </c>
      <c r="C18" s="80">
        <f>VLOOKUP(GroupVertices[[#This Row],[Vertex]],Vertices[],MATCH("ID",Vertices[[#Headers],[Vertex]:[Top Word Pairs in Tweet by Salience]],0),FALSE)</f>
        <v>218</v>
      </c>
    </row>
    <row r="19" spans="1:3" ht="15">
      <c r="A19" s="81" t="s">
        <v>2425</v>
      </c>
      <c r="B19" s="89" t="s">
        <v>423</v>
      </c>
      <c r="C19" s="80">
        <f>VLOOKUP(GroupVertices[[#This Row],[Vertex]],Vertices[],MATCH("ID",Vertices[[#Headers],[Vertex]:[Top Word Pairs in Tweet by Salience]],0),FALSE)</f>
        <v>217</v>
      </c>
    </row>
    <row r="20" spans="1:3" ht="15">
      <c r="A20" s="81" t="s">
        <v>2425</v>
      </c>
      <c r="B20" s="89" t="s">
        <v>422</v>
      </c>
      <c r="C20" s="80">
        <f>VLOOKUP(GroupVertices[[#This Row],[Vertex]],Vertices[],MATCH("ID",Vertices[[#Headers],[Vertex]:[Top Word Pairs in Tweet by Salience]],0),FALSE)</f>
        <v>216</v>
      </c>
    </row>
    <row r="21" spans="1:3" ht="15">
      <c r="A21" s="81" t="s">
        <v>2425</v>
      </c>
      <c r="B21" s="89" t="s">
        <v>421</v>
      </c>
      <c r="C21" s="80">
        <f>VLOOKUP(GroupVertices[[#This Row],[Vertex]],Vertices[],MATCH("ID",Vertices[[#Headers],[Vertex]:[Top Word Pairs in Tweet by Salience]],0),FALSE)</f>
        <v>215</v>
      </c>
    </row>
    <row r="22" spans="1:3" ht="15">
      <c r="A22" s="81" t="s">
        <v>2425</v>
      </c>
      <c r="B22" s="89" t="s">
        <v>420</v>
      </c>
      <c r="C22" s="80">
        <f>VLOOKUP(GroupVertices[[#This Row],[Vertex]],Vertices[],MATCH("ID",Vertices[[#Headers],[Vertex]:[Top Word Pairs in Tweet by Salience]],0),FALSE)</f>
        <v>214</v>
      </c>
    </row>
    <row r="23" spans="1:3" ht="15">
      <c r="A23" s="81" t="s">
        <v>2425</v>
      </c>
      <c r="B23" s="89" t="s">
        <v>419</v>
      </c>
      <c r="C23" s="80">
        <f>VLOOKUP(GroupVertices[[#This Row],[Vertex]],Vertices[],MATCH("ID",Vertices[[#Headers],[Vertex]:[Top Word Pairs in Tweet by Salience]],0),FALSE)</f>
        <v>213</v>
      </c>
    </row>
    <row r="24" spans="1:3" ht="15">
      <c r="A24" s="81" t="s">
        <v>2425</v>
      </c>
      <c r="B24" s="89" t="s">
        <v>418</v>
      </c>
      <c r="C24" s="80">
        <f>VLOOKUP(GroupVertices[[#This Row],[Vertex]],Vertices[],MATCH("ID",Vertices[[#Headers],[Vertex]:[Top Word Pairs in Tweet by Salience]],0),FALSE)</f>
        <v>212</v>
      </c>
    </row>
    <row r="25" spans="1:3" ht="15">
      <c r="A25" s="81" t="s">
        <v>2425</v>
      </c>
      <c r="B25" s="89" t="s">
        <v>417</v>
      </c>
      <c r="C25" s="80">
        <f>VLOOKUP(GroupVertices[[#This Row],[Vertex]],Vertices[],MATCH("ID",Vertices[[#Headers],[Vertex]:[Top Word Pairs in Tweet by Salience]],0),FALSE)</f>
        <v>211</v>
      </c>
    </row>
    <row r="26" spans="1:3" ht="15">
      <c r="A26" s="81" t="s">
        <v>2425</v>
      </c>
      <c r="B26" s="89" t="s">
        <v>416</v>
      </c>
      <c r="C26" s="80">
        <f>VLOOKUP(GroupVertices[[#This Row],[Vertex]],Vertices[],MATCH("ID",Vertices[[#Headers],[Vertex]:[Top Word Pairs in Tweet by Salience]],0),FALSE)</f>
        <v>210</v>
      </c>
    </row>
    <row r="27" spans="1:3" ht="15">
      <c r="A27" s="81" t="s">
        <v>2425</v>
      </c>
      <c r="B27" s="89" t="s">
        <v>415</v>
      </c>
      <c r="C27" s="80">
        <f>VLOOKUP(GroupVertices[[#This Row],[Vertex]],Vertices[],MATCH("ID",Vertices[[#Headers],[Vertex]:[Top Word Pairs in Tweet by Salience]],0),FALSE)</f>
        <v>209</v>
      </c>
    </row>
    <row r="28" spans="1:3" ht="15">
      <c r="A28" s="81" t="s">
        <v>2425</v>
      </c>
      <c r="B28" s="89" t="s">
        <v>414</v>
      </c>
      <c r="C28" s="80">
        <f>VLOOKUP(GroupVertices[[#This Row],[Vertex]],Vertices[],MATCH("ID",Vertices[[#Headers],[Vertex]:[Top Word Pairs in Tweet by Salience]],0),FALSE)</f>
        <v>208</v>
      </c>
    </row>
    <row r="29" spans="1:3" ht="15">
      <c r="A29" s="81" t="s">
        <v>2425</v>
      </c>
      <c r="B29" s="89" t="s">
        <v>413</v>
      </c>
      <c r="C29" s="80">
        <f>VLOOKUP(GroupVertices[[#This Row],[Vertex]],Vertices[],MATCH("ID",Vertices[[#Headers],[Vertex]:[Top Word Pairs in Tweet by Salience]],0),FALSE)</f>
        <v>207</v>
      </c>
    </row>
    <row r="30" spans="1:3" ht="15">
      <c r="A30" s="81" t="s">
        <v>2425</v>
      </c>
      <c r="B30" s="89" t="s">
        <v>412</v>
      </c>
      <c r="C30" s="80">
        <f>VLOOKUP(GroupVertices[[#This Row],[Vertex]],Vertices[],MATCH("ID",Vertices[[#Headers],[Vertex]:[Top Word Pairs in Tweet by Salience]],0),FALSE)</f>
        <v>206</v>
      </c>
    </row>
    <row r="31" spans="1:3" ht="15">
      <c r="A31" s="81" t="s">
        <v>2425</v>
      </c>
      <c r="B31" s="89" t="s">
        <v>411</v>
      </c>
      <c r="C31" s="80">
        <f>VLOOKUP(GroupVertices[[#This Row],[Vertex]],Vertices[],MATCH("ID",Vertices[[#Headers],[Vertex]:[Top Word Pairs in Tweet by Salience]],0),FALSE)</f>
        <v>205</v>
      </c>
    </row>
    <row r="32" spans="1:3" ht="15">
      <c r="A32" s="81" t="s">
        <v>2425</v>
      </c>
      <c r="B32" s="89" t="s">
        <v>410</v>
      </c>
      <c r="C32" s="80">
        <f>VLOOKUP(GroupVertices[[#This Row],[Vertex]],Vertices[],MATCH("ID",Vertices[[#Headers],[Vertex]:[Top Word Pairs in Tweet by Salience]],0),FALSE)</f>
        <v>204</v>
      </c>
    </row>
    <row r="33" spans="1:3" ht="15">
      <c r="A33" s="81" t="s">
        <v>2425</v>
      </c>
      <c r="B33" s="89" t="s">
        <v>409</v>
      </c>
      <c r="C33" s="80">
        <f>VLOOKUP(GroupVertices[[#This Row],[Vertex]],Vertices[],MATCH("ID",Vertices[[#Headers],[Vertex]:[Top Word Pairs in Tweet by Salience]],0),FALSE)</f>
        <v>203</v>
      </c>
    </row>
    <row r="34" spans="1:3" ht="15">
      <c r="A34" s="81" t="s">
        <v>2425</v>
      </c>
      <c r="B34" s="89" t="s">
        <v>408</v>
      </c>
      <c r="C34" s="80">
        <f>VLOOKUP(GroupVertices[[#This Row],[Vertex]],Vertices[],MATCH("ID",Vertices[[#Headers],[Vertex]:[Top Word Pairs in Tweet by Salience]],0),FALSE)</f>
        <v>201</v>
      </c>
    </row>
    <row r="35" spans="1:3" ht="15">
      <c r="A35" s="81" t="s">
        <v>2425</v>
      </c>
      <c r="B35" s="89" t="s">
        <v>404</v>
      </c>
      <c r="C35" s="80">
        <f>VLOOKUP(GroupVertices[[#This Row],[Vertex]],Vertices[],MATCH("ID",Vertices[[#Headers],[Vertex]:[Top Word Pairs in Tweet by Salience]],0),FALSE)</f>
        <v>197</v>
      </c>
    </row>
    <row r="36" spans="1:3" ht="15">
      <c r="A36" s="81" t="s">
        <v>2425</v>
      </c>
      <c r="B36" s="89" t="s">
        <v>403</v>
      </c>
      <c r="C36" s="80">
        <f>VLOOKUP(GroupVertices[[#This Row],[Vertex]],Vertices[],MATCH("ID",Vertices[[#Headers],[Vertex]:[Top Word Pairs in Tweet by Salience]],0),FALSE)</f>
        <v>196</v>
      </c>
    </row>
    <row r="37" spans="1:3" ht="15">
      <c r="A37" s="81" t="s">
        <v>2425</v>
      </c>
      <c r="B37" s="89" t="s">
        <v>401</v>
      </c>
      <c r="C37" s="80">
        <f>VLOOKUP(GroupVertices[[#This Row],[Vertex]],Vertices[],MATCH("ID",Vertices[[#Headers],[Vertex]:[Top Word Pairs in Tweet by Salience]],0),FALSE)</f>
        <v>194</v>
      </c>
    </row>
    <row r="38" spans="1:3" ht="15">
      <c r="A38" s="81" t="s">
        <v>2425</v>
      </c>
      <c r="B38" s="89" t="s">
        <v>400</v>
      </c>
      <c r="C38" s="80">
        <f>VLOOKUP(GroupVertices[[#This Row],[Vertex]],Vertices[],MATCH("ID",Vertices[[#Headers],[Vertex]:[Top Word Pairs in Tweet by Salience]],0),FALSE)</f>
        <v>193</v>
      </c>
    </row>
    <row r="39" spans="1:3" ht="15">
      <c r="A39" s="81" t="s">
        <v>2425</v>
      </c>
      <c r="B39" s="89" t="s">
        <v>399</v>
      </c>
      <c r="C39" s="80">
        <f>VLOOKUP(GroupVertices[[#This Row],[Vertex]],Vertices[],MATCH("ID",Vertices[[#Headers],[Vertex]:[Top Word Pairs in Tweet by Salience]],0),FALSE)</f>
        <v>192</v>
      </c>
    </row>
    <row r="40" spans="1:3" ht="15">
      <c r="A40" s="81" t="s">
        <v>2425</v>
      </c>
      <c r="B40" s="89" t="s">
        <v>398</v>
      </c>
      <c r="C40" s="80">
        <f>VLOOKUP(GroupVertices[[#This Row],[Vertex]],Vertices[],MATCH("ID",Vertices[[#Headers],[Vertex]:[Top Word Pairs in Tweet by Salience]],0),FALSE)</f>
        <v>191</v>
      </c>
    </row>
    <row r="41" spans="1:3" ht="15">
      <c r="A41" s="81" t="s">
        <v>2425</v>
      </c>
      <c r="B41" s="89" t="s">
        <v>397</v>
      </c>
      <c r="C41" s="80">
        <f>VLOOKUP(GroupVertices[[#This Row],[Vertex]],Vertices[],MATCH("ID",Vertices[[#Headers],[Vertex]:[Top Word Pairs in Tweet by Salience]],0),FALSE)</f>
        <v>190</v>
      </c>
    </row>
    <row r="42" spans="1:3" ht="15">
      <c r="A42" s="81" t="s">
        <v>2425</v>
      </c>
      <c r="B42" s="89" t="s">
        <v>396</v>
      </c>
      <c r="C42" s="80">
        <f>VLOOKUP(GroupVertices[[#This Row],[Vertex]],Vertices[],MATCH("ID",Vertices[[#Headers],[Vertex]:[Top Word Pairs in Tweet by Salience]],0),FALSE)</f>
        <v>189</v>
      </c>
    </row>
    <row r="43" spans="1:3" ht="15">
      <c r="A43" s="81" t="s">
        <v>2425</v>
      </c>
      <c r="B43" s="89" t="s">
        <v>395</v>
      </c>
      <c r="C43" s="80">
        <f>VLOOKUP(GroupVertices[[#This Row],[Vertex]],Vertices[],MATCH("ID",Vertices[[#Headers],[Vertex]:[Top Word Pairs in Tweet by Salience]],0),FALSE)</f>
        <v>188</v>
      </c>
    </row>
    <row r="44" spans="1:3" ht="15">
      <c r="A44" s="81" t="s">
        <v>2425</v>
      </c>
      <c r="B44" s="89" t="s">
        <v>394</v>
      </c>
      <c r="C44" s="80">
        <f>VLOOKUP(GroupVertices[[#This Row],[Vertex]],Vertices[],MATCH("ID",Vertices[[#Headers],[Vertex]:[Top Word Pairs in Tweet by Salience]],0),FALSE)</f>
        <v>187</v>
      </c>
    </row>
    <row r="45" spans="1:3" ht="15">
      <c r="A45" s="81" t="s">
        <v>2425</v>
      </c>
      <c r="B45" s="89" t="s">
        <v>393</v>
      </c>
      <c r="C45" s="80">
        <f>VLOOKUP(GroupVertices[[#This Row],[Vertex]],Vertices[],MATCH("ID",Vertices[[#Headers],[Vertex]:[Top Word Pairs in Tweet by Salience]],0),FALSE)</f>
        <v>186</v>
      </c>
    </row>
    <row r="46" spans="1:3" ht="15">
      <c r="A46" s="81" t="s">
        <v>2425</v>
      </c>
      <c r="B46" s="89" t="s">
        <v>392</v>
      </c>
      <c r="C46" s="80">
        <f>VLOOKUP(GroupVertices[[#This Row],[Vertex]],Vertices[],MATCH("ID",Vertices[[#Headers],[Vertex]:[Top Word Pairs in Tweet by Salience]],0),FALSE)</f>
        <v>185</v>
      </c>
    </row>
    <row r="47" spans="1:3" ht="15">
      <c r="A47" s="81" t="s">
        <v>2425</v>
      </c>
      <c r="B47" s="89" t="s">
        <v>391</v>
      </c>
      <c r="C47" s="80">
        <f>VLOOKUP(GroupVertices[[#This Row],[Vertex]],Vertices[],MATCH("ID",Vertices[[#Headers],[Vertex]:[Top Word Pairs in Tweet by Salience]],0),FALSE)</f>
        <v>184</v>
      </c>
    </row>
    <row r="48" spans="1:3" ht="15">
      <c r="A48" s="81" t="s">
        <v>2425</v>
      </c>
      <c r="B48" s="89" t="s">
        <v>390</v>
      </c>
      <c r="C48" s="80">
        <f>VLOOKUP(GroupVertices[[#This Row],[Vertex]],Vertices[],MATCH("ID",Vertices[[#Headers],[Vertex]:[Top Word Pairs in Tweet by Salience]],0),FALSE)</f>
        <v>183</v>
      </c>
    </row>
    <row r="49" spans="1:3" ht="15">
      <c r="A49" s="81" t="s">
        <v>2425</v>
      </c>
      <c r="B49" s="89" t="s">
        <v>389</v>
      </c>
      <c r="C49" s="80">
        <f>VLOOKUP(GroupVertices[[#This Row],[Vertex]],Vertices[],MATCH("ID",Vertices[[#Headers],[Vertex]:[Top Word Pairs in Tweet by Salience]],0),FALSE)</f>
        <v>182</v>
      </c>
    </row>
    <row r="50" spans="1:3" ht="15">
      <c r="A50" s="81" t="s">
        <v>2425</v>
      </c>
      <c r="B50" s="89" t="s">
        <v>388</v>
      </c>
      <c r="C50" s="80">
        <f>VLOOKUP(GroupVertices[[#This Row],[Vertex]],Vertices[],MATCH("ID",Vertices[[#Headers],[Vertex]:[Top Word Pairs in Tweet by Salience]],0),FALSE)</f>
        <v>181</v>
      </c>
    </row>
    <row r="51" spans="1:3" ht="15">
      <c r="A51" s="81" t="s">
        <v>2425</v>
      </c>
      <c r="B51" s="89" t="s">
        <v>387</v>
      </c>
      <c r="C51" s="80">
        <f>VLOOKUP(GroupVertices[[#This Row],[Vertex]],Vertices[],MATCH("ID",Vertices[[#Headers],[Vertex]:[Top Word Pairs in Tweet by Salience]],0),FALSE)</f>
        <v>180</v>
      </c>
    </row>
    <row r="52" spans="1:3" ht="15">
      <c r="A52" s="81" t="s">
        <v>2425</v>
      </c>
      <c r="B52" s="89" t="s">
        <v>386</v>
      </c>
      <c r="C52" s="80">
        <f>VLOOKUP(GroupVertices[[#This Row],[Vertex]],Vertices[],MATCH("ID",Vertices[[#Headers],[Vertex]:[Top Word Pairs in Tweet by Salience]],0),FALSE)</f>
        <v>179</v>
      </c>
    </row>
    <row r="53" spans="1:3" ht="15">
      <c r="A53" s="81" t="s">
        <v>2425</v>
      </c>
      <c r="B53" s="89" t="s">
        <v>385</v>
      </c>
      <c r="C53" s="80">
        <f>VLOOKUP(GroupVertices[[#This Row],[Vertex]],Vertices[],MATCH("ID",Vertices[[#Headers],[Vertex]:[Top Word Pairs in Tweet by Salience]],0),FALSE)</f>
        <v>178</v>
      </c>
    </row>
    <row r="54" spans="1:3" ht="15">
      <c r="A54" s="81" t="s">
        <v>2425</v>
      </c>
      <c r="B54" s="89" t="s">
        <v>383</v>
      </c>
      <c r="C54" s="80">
        <f>VLOOKUP(GroupVertices[[#This Row],[Vertex]],Vertices[],MATCH("ID",Vertices[[#Headers],[Vertex]:[Top Word Pairs in Tweet by Salience]],0),FALSE)</f>
        <v>176</v>
      </c>
    </row>
    <row r="55" spans="1:3" ht="15">
      <c r="A55" s="81" t="s">
        <v>2425</v>
      </c>
      <c r="B55" s="89" t="s">
        <v>382</v>
      </c>
      <c r="C55" s="80">
        <f>VLOOKUP(GroupVertices[[#This Row],[Vertex]],Vertices[],MATCH("ID",Vertices[[#Headers],[Vertex]:[Top Word Pairs in Tweet by Salience]],0),FALSE)</f>
        <v>175</v>
      </c>
    </row>
    <row r="56" spans="1:3" ht="15">
      <c r="A56" s="81" t="s">
        <v>2425</v>
      </c>
      <c r="B56" s="89" t="s">
        <v>381</v>
      </c>
      <c r="C56" s="80">
        <f>VLOOKUP(GroupVertices[[#This Row],[Vertex]],Vertices[],MATCH("ID",Vertices[[#Headers],[Vertex]:[Top Word Pairs in Tweet by Salience]],0),FALSE)</f>
        <v>174</v>
      </c>
    </row>
    <row r="57" spans="1:3" ht="15">
      <c r="A57" s="81" t="s">
        <v>2425</v>
      </c>
      <c r="B57" s="89" t="s">
        <v>380</v>
      </c>
      <c r="C57" s="80">
        <f>VLOOKUP(GroupVertices[[#This Row],[Vertex]],Vertices[],MATCH("ID",Vertices[[#Headers],[Vertex]:[Top Word Pairs in Tweet by Salience]],0),FALSE)</f>
        <v>173</v>
      </c>
    </row>
    <row r="58" spans="1:3" ht="15">
      <c r="A58" s="81" t="s">
        <v>2425</v>
      </c>
      <c r="B58" s="89" t="s">
        <v>378</v>
      </c>
      <c r="C58" s="80">
        <f>VLOOKUP(GroupVertices[[#This Row],[Vertex]],Vertices[],MATCH("ID",Vertices[[#Headers],[Vertex]:[Top Word Pairs in Tweet by Salience]],0),FALSE)</f>
        <v>171</v>
      </c>
    </row>
    <row r="59" spans="1:3" ht="15">
      <c r="A59" s="81" t="s">
        <v>2425</v>
      </c>
      <c r="B59" s="89" t="s">
        <v>377</v>
      </c>
      <c r="C59" s="80">
        <f>VLOOKUP(GroupVertices[[#This Row],[Vertex]],Vertices[],MATCH("ID",Vertices[[#Headers],[Vertex]:[Top Word Pairs in Tweet by Salience]],0),FALSE)</f>
        <v>170</v>
      </c>
    </row>
    <row r="60" spans="1:3" ht="15">
      <c r="A60" s="81" t="s">
        <v>2425</v>
      </c>
      <c r="B60" s="89" t="s">
        <v>375</v>
      </c>
      <c r="C60" s="80">
        <f>VLOOKUP(GroupVertices[[#This Row],[Vertex]],Vertices[],MATCH("ID",Vertices[[#Headers],[Vertex]:[Top Word Pairs in Tweet by Salience]],0),FALSE)</f>
        <v>168</v>
      </c>
    </row>
    <row r="61" spans="1:3" ht="15">
      <c r="A61" s="81" t="s">
        <v>2425</v>
      </c>
      <c r="B61" s="89" t="s">
        <v>374</v>
      </c>
      <c r="C61" s="80">
        <f>VLOOKUP(GroupVertices[[#This Row],[Vertex]],Vertices[],MATCH("ID",Vertices[[#Headers],[Vertex]:[Top Word Pairs in Tweet by Salience]],0),FALSE)</f>
        <v>167</v>
      </c>
    </row>
    <row r="62" spans="1:3" ht="15">
      <c r="A62" s="81" t="s">
        <v>2425</v>
      </c>
      <c r="B62" s="89" t="s">
        <v>372</v>
      </c>
      <c r="C62" s="80">
        <f>VLOOKUP(GroupVertices[[#This Row],[Vertex]],Vertices[],MATCH("ID",Vertices[[#Headers],[Vertex]:[Top Word Pairs in Tweet by Salience]],0),FALSE)</f>
        <v>165</v>
      </c>
    </row>
    <row r="63" spans="1:3" ht="15">
      <c r="A63" s="81" t="s">
        <v>2425</v>
      </c>
      <c r="B63" s="89" t="s">
        <v>370</v>
      </c>
      <c r="C63" s="80">
        <f>VLOOKUP(GroupVertices[[#This Row],[Vertex]],Vertices[],MATCH("ID",Vertices[[#Headers],[Vertex]:[Top Word Pairs in Tweet by Salience]],0),FALSE)</f>
        <v>163</v>
      </c>
    </row>
    <row r="64" spans="1:3" ht="15">
      <c r="A64" s="81" t="s">
        <v>2425</v>
      </c>
      <c r="B64" s="89" t="s">
        <v>369</v>
      </c>
      <c r="C64" s="80">
        <f>VLOOKUP(GroupVertices[[#This Row],[Vertex]],Vertices[],MATCH("ID",Vertices[[#Headers],[Vertex]:[Top Word Pairs in Tweet by Salience]],0),FALSE)</f>
        <v>162</v>
      </c>
    </row>
    <row r="65" spans="1:3" ht="15">
      <c r="A65" s="81" t="s">
        <v>2425</v>
      </c>
      <c r="B65" s="89" t="s">
        <v>367</v>
      </c>
      <c r="C65" s="80">
        <f>VLOOKUP(GroupVertices[[#This Row],[Vertex]],Vertices[],MATCH("ID",Vertices[[#Headers],[Vertex]:[Top Word Pairs in Tweet by Salience]],0),FALSE)</f>
        <v>160</v>
      </c>
    </row>
    <row r="66" spans="1:3" ht="15">
      <c r="A66" s="81" t="s">
        <v>2425</v>
      </c>
      <c r="B66" s="89" t="s">
        <v>366</v>
      </c>
      <c r="C66" s="80">
        <f>VLOOKUP(GroupVertices[[#This Row],[Vertex]],Vertices[],MATCH("ID",Vertices[[#Headers],[Vertex]:[Top Word Pairs in Tweet by Salience]],0),FALSE)</f>
        <v>159</v>
      </c>
    </row>
    <row r="67" spans="1:3" ht="15">
      <c r="A67" s="81" t="s">
        <v>2425</v>
      </c>
      <c r="B67" s="89" t="s">
        <v>365</v>
      </c>
      <c r="C67" s="80">
        <f>VLOOKUP(GroupVertices[[#This Row],[Vertex]],Vertices[],MATCH("ID",Vertices[[#Headers],[Vertex]:[Top Word Pairs in Tweet by Salience]],0),FALSE)</f>
        <v>158</v>
      </c>
    </row>
    <row r="68" spans="1:3" ht="15">
      <c r="A68" s="81" t="s">
        <v>2425</v>
      </c>
      <c r="B68" s="89" t="s">
        <v>363</v>
      </c>
      <c r="C68" s="80">
        <f>VLOOKUP(GroupVertices[[#This Row],[Vertex]],Vertices[],MATCH("ID",Vertices[[#Headers],[Vertex]:[Top Word Pairs in Tweet by Salience]],0),FALSE)</f>
        <v>156</v>
      </c>
    </row>
    <row r="69" spans="1:3" ht="15">
      <c r="A69" s="81" t="s">
        <v>2425</v>
      </c>
      <c r="B69" s="89" t="s">
        <v>362</v>
      </c>
      <c r="C69" s="80">
        <f>VLOOKUP(GroupVertices[[#This Row],[Vertex]],Vertices[],MATCH("ID",Vertices[[#Headers],[Vertex]:[Top Word Pairs in Tweet by Salience]],0),FALSE)</f>
        <v>155</v>
      </c>
    </row>
    <row r="70" spans="1:3" ht="15">
      <c r="A70" s="81" t="s">
        <v>2425</v>
      </c>
      <c r="B70" s="89" t="s">
        <v>361</v>
      </c>
      <c r="C70" s="80">
        <f>VLOOKUP(GroupVertices[[#This Row],[Vertex]],Vertices[],MATCH("ID",Vertices[[#Headers],[Vertex]:[Top Word Pairs in Tweet by Salience]],0),FALSE)</f>
        <v>154</v>
      </c>
    </row>
    <row r="71" spans="1:3" ht="15">
      <c r="A71" s="81" t="s">
        <v>2425</v>
      </c>
      <c r="B71" s="89" t="s">
        <v>360</v>
      </c>
      <c r="C71" s="80">
        <f>VLOOKUP(GroupVertices[[#This Row],[Vertex]],Vertices[],MATCH("ID",Vertices[[#Headers],[Vertex]:[Top Word Pairs in Tweet by Salience]],0),FALSE)</f>
        <v>153</v>
      </c>
    </row>
    <row r="72" spans="1:3" ht="15">
      <c r="A72" s="81" t="s">
        <v>2425</v>
      </c>
      <c r="B72" s="89" t="s">
        <v>359</v>
      </c>
      <c r="C72" s="80">
        <f>VLOOKUP(GroupVertices[[#This Row],[Vertex]],Vertices[],MATCH("ID",Vertices[[#Headers],[Vertex]:[Top Word Pairs in Tweet by Salience]],0),FALSE)</f>
        <v>152</v>
      </c>
    </row>
    <row r="73" spans="1:3" ht="15">
      <c r="A73" s="81" t="s">
        <v>2425</v>
      </c>
      <c r="B73" s="89" t="s">
        <v>358</v>
      </c>
      <c r="C73" s="80">
        <f>VLOOKUP(GroupVertices[[#This Row],[Vertex]],Vertices[],MATCH("ID",Vertices[[#Headers],[Vertex]:[Top Word Pairs in Tweet by Salience]],0),FALSE)</f>
        <v>151</v>
      </c>
    </row>
    <row r="74" spans="1:3" ht="15">
      <c r="A74" s="81" t="s">
        <v>2425</v>
      </c>
      <c r="B74" s="89" t="s">
        <v>357</v>
      </c>
      <c r="C74" s="80">
        <f>VLOOKUP(GroupVertices[[#This Row],[Vertex]],Vertices[],MATCH("ID",Vertices[[#Headers],[Vertex]:[Top Word Pairs in Tweet by Salience]],0),FALSE)</f>
        <v>150</v>
      </c>
    </row>
    <row r="75" spans="1:3" ht="15">
      <c r="A75" s="81" t="s">
        <v>2425</v>
      </c>
      <c r="B75" s="89" t="s">
        <v>356</v>
      </c>
      <c r="C75" s="80">
        <f>VLOOKUP(GroupVertices[[#This Row],[Vertex]],Vertices[],MATCH("ID",Vertices[[#Headers],[Vertex]:[Top Word Pairs in Tweet by Salience]],0),FALSE)</f>
        <v>149</v>
      </c>
    </row>
    <row r="76" spans="1:3" ht="15">
      <c r="A76" s="81" t="s">
        <v>2425</v>
      </c>
      <c r="B76" s="89" t="s">
        <v>355</v>
      </c>
      <c r="C76" s="80">
        <f>VLOOKUP(GroupVertices[[#This Row],[Vertex]],Vertices[],MATCH("ID",Vertices[[#Headers],[Vertex]:[Top Word Pairs in Tweet by Salience]],0),FALSE)</f>
        <v>148</v>
      </c>
    </row>
    <row r="77" spans="1:3" ht="15">
      <c r="A77" s="81" t="s">
        <v>2425</v>
      </c>
      <c r="B77" s="89" t="s">
        <v>354</v>
      </c>
      <c r="C77" s="80">
        <f>VLOOKUP(GroupVertices[[#This Row],[Vertex]],Vertices[],MATCH("ID",Vertices[[#Headers],[Vertex]:[Top Word Pairs in Tweet by Salience]],0),FALSE)</f>
        <v>147</v>
      </c>
    </row>
    <row r="78" spans="1:3" ht="15">
      <c r="A78" s="81" t="s">
        <v>2425</v>
      </c>
      <c r="B78" s="89" t="s">
        <v>350</v>
      </c>
      <c r="C78" s="80">
        <f>VLOOKUP(GroupVertices[[#This Row],[Vertex]],Vertices[],MATCH("ID",Vertices[[#Headers],[Vertex]:[Top Word Pairs in Tweet by Salience]],0),FALSE)</f>
        <v>144</v>
      </c>
    </row>
    <row r="79" spans="1:3" ht="15">
      <c r="A79" s="81" t="s">
        <v>2425</v>
      </c>
      <c r="B79" s="89" t="s">
        <v>348</v>
      </c>
      <c r="C79" s="80">
        <f>VLOOKUP(GroupVertices[[#This Row],[Vertex]],Vertices[],MATCH("ID",Vertices[[#Headers],[Vertex]:[Top Word Pairs in Tweet by Salience]],0),FALSE)</f>
        <v>141</v>
      </c>
    </row>
    <row r="80" spans="1:3" ht="15">
      <c r="A80" s="81" t="s">
        <v>2425</v>
      </c>
      <c r="B80" s="89" t="s">
        <v>347</v>
      </c>
      <c r="C80" s="80">
        <f>VLOOKUP(GroupVertices[[#This Row],[Vertex]],Vertices[],MATCH("ID",Vertices[[#Headers],[Vertex]:[Top Word Pairs in Tweet by Salience]],0),FALSE)</f>
        <v>140</v>
      </c>
    </row>
    <row r="81" spans="1:3" ht="15">
      <c r="A81" s="81" t="s">
        <v>2425</v>
      </c>
      <c r="B81" s="89" t="s">
        <v>345</v>
      </c>
      <c r="C81" s="80">
        <f>VLOOKUP(GroupVertices[[#This Row],[Vertex]],Vertices[],MATCH("ID",Vertices[[#Headers],[Vertex]:[Top Word Pairs in Tweet by Salience]],0),FALSE)</f>
        <v>137</v>
      </c>
    </row>
    <row r="82" spans="1:3" ht="15">
      <c r="A82" s="81" t="s">
        <v>2425</v>
      </c>
      <c r="B82" s="89" t="s">
        <v>344</v>
      </c>
      <c r="C82" s="80">
        <f>VLOOKUP(GroupVertices[[#This Row],[Vertex]],Vertices[],MATCH("ID",Vertices[[#Headers],[Vertex]:[Top Word Pairs in Tweet by Salience]],0),FALSE)</f>
        <v>136</v>
      </c>
    </row>
    <row r="83" spans="1:3" ht="15">
      <c r="A83" s="81" t="s">
        <v>2425</v>
      </c>
      <c r="B83" s="89" t="s">
        <v>343</v>
      </c>
      <c r="C83" s="80">
        <f>VLOOKUP(GroupVertices[[#This Row],[Vertex]],Vertices[],MATCH("ID",Vertices[[#Headers],[Vertex]:[Top Word Pairs in Tweet by Salience]],0),FALSE)</f>
        <v>135</v>
      </c>
    </row>
    <row r="84" spans="1:3" ht="15">
      <c r="A84" s="81" t="s">
        <v>2425</v>
      </c>
      <c r="B84" s="89" t="s">
        <v>340</v>
      </c>
      <c r="C84" s="80">
        <f>VLOOKUP(GroupVertices[[#This Row],[Vertex]],Vertices[],MATCH("ID",Vertices[[#Headers],[Vertex]:[Top Word Pairs in Tweet by Salience]],0),FALSE)</f>
        <v>132</v>
      </c>
    </row>
    <row r="85" spans="1:3" ht="15">
      <c r="A85" s="81" t="s">
        <v>2425</v>
      </c>
      <c r="B85" s="89" t="s">
        <v>339</v>
      </c>
      <c r="C85" s="80">
        <f>VLOOKUP(GroupVertices[[#This Row],[Vertex]],Vertices[],MATCH("ID",Vertices[[#Headers],[Vertex]:[Top Word Pairs in Tweet by Salience]],0),FALSE)</f>
        <v>131</v>
      </c>
    </row>
    <row r="86" spans="1:3" ht="15">
      <c r="A86" s="81" t="s">
        <v>2425</v>
      </c>
      <c r="B86" s="89" t="s">
        <v>338</v>
      </c>
      <c r="C86" s="80">
        <f>VLOOKUP(GroupVertices[[#This Row],[Vertex]],Vertices[],MATCH("ID",Vertices[[#Headers],[Vertex]:[Top Word Pairs in Tweet by Salience]],0),FALSE)</f>
        <v>130</v>
      </c>
    </row>
    <row r="87" spans="1:3" ht="15">
      <c r="A87" s="81" t="s">
        <v>2425</v>
      </c>
      <c r="B87" s="89" t="s">
        <v>337</v>
      </c>
      <c r="C87" s="80">
        <f>VLOOKUP(GroupVertices[[#This Row],[Vertex]],Vertices[],MATCH("ID",Vertices[[#Headers],[Vertex]:[Top Word Pairs in Tweet by Salience]],0),FALSE)</f>
        <v>129</v>
      </c>
    </row>
    <row r="88" spans="1:3" ht="15">
      <c r="A88" s="81" t="s">
        <v>2425</v>
      </c>
      <c r="B88" s="89" t="s">
        <v>333</v>
      </c>
      <c r="C88" s="80">
        <f>VLOOKUP(GroupVertices[[#This Row],[Vertex]],Vertices[],MATCH("ID",Vertices[[#Headers],[Vertex]:[Top Word Pairs in Tweet by Salience]],0),FALSE)</f>
        <v>125</v>
      </c>
    </row>
    <row r="89" spans="1:3" ht="15">
      <c r="A89" s="81" t="s">
        <v>2425</v>
      </c>
      <c r="B89" s="89" t="s">
        <v>330</v>
      </c>
      <c r="C89" s="80">
        <f>VLOOKUP(GroupVertices[[#This Row],[Vertex]],Vertices[],MATCH("ID",Vertices[[#Headers],[Vertex]:[Top Word Pairs in Tweet by Salience]],0),FALSE)</f>
        <v>122</v>
      </c>
    </row>
    <row r="90" spans="1:3" ht="15">
      <c r="A90" s="81" t="s">
        <v>2425</v>
      </c>
      <c r="B90" s="89" t="s">
        <v>329</v>
      </c>
      <c r="C90" s="80">
        <f>VLOOKUP(GroupVertices[[#This Row],[Vertex]],Vertices[],MATCH("ID",Vertices[[#Headers],[Vertex]:[Top Word Pairs in Tweet by Salience]],0),FALSE)</f>
        <v>121</v>
      </c>
    </row>
    <row r="91" spans="1:3" ht="15">
      <c r="A91" s="81" t="s">
        <v>2425</v>
      </c>
      <c r="B91" s="89" t="s">
        <v>328</v>
      </c>
      <c r="C91" s="80">
        <f>VLOOKUP(GroupVertices[[#This Row],[Vertex]],Vertices[],MATCH("ID",Vertices[[#Headers],[Vertex]:[Top Word Pairs in Tweet by Salience]],0),FALSE)</f>
        <v>120</v>
      </c>
    </row>
    <row r="92" spans="1:3" ht="15">
      <c r="A92" s="81" t="s">
        <v>2425</v>
      </c>
      <c r="B92" s="89" t="s">
        <v>327</v>
      </c>
      <c r="C92" s="80">
        <f>VLOOKUP(GroupVertices[[#This Row],[Vertex]],Vertices[],MATCH("ID",Vertices[[#Headers],[Vertex]:[Top Word Pairs in Tweet by Salience]],0),FALSE)</f>
        <v>119</v>
      </c>
    </row>
    <row r="93" spans="1:3" ht="15">
      <c r="A93" s="81" t="s">
        <v>2425</v>
      </c>
      <c r="B93" s="89" t="s">
        <v>326</v>
      </c>
      <c r="C93" s="80">
        <f>VLOOKUP(GroupVertices[[#This Row],[Vertex]],Vertices[],MATCH("ID",Vertices[[#Headers],[Vertex]:[Top Word Pairs in Tweet by Salience]],0),FALSE)</f>
        <v>118</v>
      </c>
    </row>
    <row r="94" spans="1:3" ht="15">
      <c r="A94" s="81" t="s">
        <v>2425</v>
      </c>
      <c r="B94" s="89" t="s">
        <v>324</v>
      </c>
      <c r="C94" s="80">
        <f>VLOOKUP(GroupVertices[[#This Row],[Vertex]],Vertices[],MATCH("ID",Vertices[[#Headers],[Vertex]:[Top Word Pairs in Tweet by Salience]],0),FALSE)</f>
        <v>116</v>
      </c>
    </row>
    <row r="95" spans="1:3" ht="15">
      <c r="A95" s="81" t="s">
        <v>2425</v>
      </c>
      <c r="B95" s="89" t="s">
        <v>320</v>
      </c>
      <c r="C95" s="80">
        <f>VLOOKUP(GroupVertices[[#This Row],[Vertex]],Vertices[],MATCH("ID",Vertices[[#Headers],[Vertex]:[Top Word Pairs in Tweet by Salience]],0),FALSE)</f>
        <v>112</v>
      </c>
    </row>
    <row r="96" spans="1:3" ht="15">
      <c r="A96" s="81" t="s">
        <v>2425</v>
      </c>
      <c r="B96" s="89" t="s">
        <v>319</v>
      </c>
      <c r="C96" s="80">
        <f>VLOOKUP(GroupVertices[[#This Row],[Vertex]],Vertices[],MATCH("ID",Vertices[[#Headers],[Vertex]:[Top Word Pairs in Tweet by Salience]],0),FALSE)</f>
        <v>110</v>
      </c>
    </row>
    <row r="97" spans="1:3" ht="15">
      <c r="A97" s="81" t="s">
        <v>2426</v>
      </c>
      <c r="B97" s="89" t="s">
        <v>431</v>
      </c>
      <c r="C97" s="80">
        <f>VLOOKUP(GroupVertices[[#This Row],[Vertex]],Vertices[],MATCH("ID",Vertices[[#Headers],[Vertex]:[Top Word Pairs in Tweet by Salience]],0),FALSE)</f>
        <v>223</v>
      </c>
    </row>
    <row r="98" spans="1:3" ht="15">
      <c r="A98" s="81" t="s">
        <v>2426</v>
      </c>
      <c r="B98" s="89" t="s">
        <v>430</v>
      </c>
      <c r="C98" s="80">
        <f>VLOOKUP(GroupVertices[[#This Row],[Vertex]],Vertices[],MATCH("ID",Vertices[[#Headers],[Vertex]:[Top Word Pairs in Tweet by Salience]],0),FALSE)</f>
        <v>20</v>
      </c>
    </row>
    <row r="99" spans="1:3" ht="15">
      <c r="A99" s="81" t="s">
        <v>2426</v>
      </c>
      <c r="B99" s="89" t="s">
        <v>405</v>
      </c>
      <c r="C99" s="80">
        <f>VLOOKUP(GroupVertices[[#This Row],[Vertex]],Vertices[],MATCH("ID",Vertices[[#Headers],[Vertex]:[Top Word Pairs in Tweet by Salience]],0),FALSE)</f>
        <v>198</v>
      </c>
    </row>
    <row r="100" spans="1:3" ht="15">
      <c r="A100" s="81" t="s">
        <v>2426</v>
      </c>
      <c r="B100" s="89" t="s">
        <v>373</v>
      </c>
      <c r="C100" s="80">
        <f>VLOOKUP(GroupVertices[[#This Row],[Vertex]],Vertices[],MATCH("ID",Vertices[[#Headers],[Vertex]:[Top Word Pairs in Tweet by Salience]],0),FALSE)</f>
        <v>166</v>
      </c>
    </row>
    <row r="101" spans="1:3" ht="15">
      <c r="A101" s="81" t="s">
        <v>2426</v>
      </c>
      <c r="B101" s="89" t="s">
        <v>334</v>
      </c>
      <c r="C101" s="80">
        <f>VLOOKUP(GroupVertices[[#This Row],[Vertex]],Vertices[],MATCH("ID",Vertices[[#Headers],[Vertex]:[Top Word Pairs in Tweet by Salience]],0),FALSE)</f>
        <v>126</v>
      </c>
    </row>
    <row r="102" spans="1:3" ht="15">
      <c r="A102" s="81" t="s">
        <v>2426</v>
      </c>
      <c r="B102" s="89" t="s">
        <v>332</v>
      </c>
      <c r="C102" s="80">
        <f>VLOOKUP(GroupVertices[[#This Row],[Vertex]],Vertices[],MATCH("ID",Vertices[[#Headers],[Vertex]:[Top Word Pairs in Tweet by Salience]],0),FALSE)</f>
        <v>124</v>
      </c>
    </row>
    <row r="103" spans="1:3" ht="15">
      <c r="A103" s="81" t="s">
        <v>2426</v>
      </c>
      <c r="B103" s="89" t="s">
        <v>323</v>
      </c>
      <c r="C103" s="80">
        <f>VLOOKUP(GroupVertices[[#This Row],[Vertex]],Vertices[],MATCH("ID",Vertices[[#Headers],[Vertex]:[Top Word Pairs in Tweet by Salience]],0),FALSE)</f>
        <v>115</v>
      </c>
    </row>
    <row r="104" spans="1:3" ht="15">
      <c r="A104" s="81" t="s">
        <v>2426</v>
      </c>
      <c r="B104" s="89" t="s">
        <v>306</v>
      </c>
      <c r="C104" s="80">
        <f>VLOOKUP(GroupVertices[[#This Row],[Vertex]],Vertices[],MATCH("ID",Vertices[[#Headers],[Vertex]:[Top Word Pairs in Tweet by Salience]],0),FALSE)</f>
        <v>95</v>
      </c>
    </row>
    <row r="105" spans="1:3" ht="15">
      <c r="A105" s="81" t="s">
        <v>2426</v>
      </c>
      <c r="B105" s="89" t="s">
        <v>305</v>
      </c>
      <c r="C105" s="80">
        <f>VLOOKUP(GroupVertices[[#This Row],[Vertex]],Vertices[],MATCH("ID",Vertices[[#Headers],[Vertex]:[Top Word Pairs in Tweet by Salience]],0),FALSE)</f>
        <v>94</v>
      </c>
    </row>
    <row r="106" spans="1:3" ht="15">
      <c r="A106" s="81" t="s">
        <v>2426</v>
      </c>
      <c r="B106" s="89" t="s">
        <v>304</v>
      </c>
      <c r="C106" s="80">
        <f>VLOOKUP(GroupVertices[[#This Row],[Vertex]],Vertices[],MATCH("ID",Vertices[[#Headers],[Vertex]:[Top Word Pairs in Tweet by Salience]],0),FALSE)</f>
        <v>93</v>
      </c>
    </row>
    <row r="107" spans="1:3" ht="15">
      <c r="A107" s="81" t="s">
        <v>2426</v>
      </c>
      <c r="B107" s="89" t="s">
        <v>303</v>
      </c>
      <c r="C107" s="80">
        <f>VLOOKUP(GroupVertices[[#This Row],[Vertex]],Vertices[],MATCH("ID",Vertices[[#Headers],[Vertex]:[Top Word Pairs in Tweet by Salience]],0),FALSE)</f>
        <v>92</v>
      </c>
    </row>
    <row r="108" spans="1:3" ht="15">
      <c r="A108" s="81" t="s">
        <v>2426</v>
      </c>
      <c r="B108" s="89" t="s">
        <v>301</v>
      </c>
      <c r="C108" s="80">
        <f>VLOOKUP(GroupVertices[[#This Row],[Vertex]],Vertices[],MATCH("ID",Vertices[[#Headers],[Vertex]:[Top Word Pairs in Tweet by Salience]],0),FALSE)</f>
        <v>90</v>
      </c>
    </row>
    <row r="109" spans="1:3" ht="15">
      <c r="A109" s="81" t="s">
        <v>2426</v>
      </c>
      <c r="B109" s="89" t="s">
        <v>300</v>
      </c>
      <c r="C109" s="80">
        <f>VLOOKUP(GroupVertices[[#This Row],[Vertex]],Vertices[],MATCH("ID",Vertices[[#Headers],[Vertex]:[Top Word Pairs in Tweet by Salience]],0),FALSE)</f>
        <v>89</v>
      </c>
    </row>
    <row r="110" spans="1:3" ht="15">
      <c r="A110" s="81" t="s">
        <v>2426</v>
      </c>
      <c r="B110" s="89" t="s">
        <v>297</v>
      </c>
      <c r="C110" s="80">
        <f>VLOOKUP(GroupVertices[[#This Row],[Vertex]],Vertices[],MATCH("ID",Vertices[[#Headers],[Vertex]:[Top Word Pairs in Tweet by Salience]],0),FALSE)</f>
        <v>85</v>
      </c>
    </row>
    <row r="111" spans="1:3" ht="15">
      <c r="A111" s="81" t="s">
        <v>2426</v>
      </c>
      <c r="B111" s="89" t="s">
        <v>296</v>
      </c>
      <c r="C111" s="80">
        <f>VLOOKUP(GroupVertices[[#This Row],[Vertex]],Vertices[],MATCH("ID",Vertices[[#Headers],[Vertex]:[Top Word Pairs in Tweet by Salience]],0),FALSE)</f>
        <v>84</v>
      </c>
    </row>
    <row r="112" spans="1:3" ht="15">
      <c r="A112" s="81" t="s">
        <v>2426</v>
      </c>
      <c r="B112" s="89" t="s">
        <v>294</v>
      </c>
      <c r="C112" s="80">
        <f>VLOOKUP(GroupVertices[[#This Row],[Vertex]],Vertices[],MATCH("ID",Vertices[[#Headers],[Vertex]:[Top Word Pairs in Tweet by Salience]],0),FALSE)</f>
        <v>82</v>
      </c>
    </row>
    <row r="113" spans="1:3" ht="15">
      <c r="A113" s="81" t="s">
        <v>2426</v>
      </c>
      <c r="B113" s="89" t="s">
        <v>293</v>
      </c>
      <c r="C113" s="80">
        <f>VLOOKUP(GroupVertices[[#This Row],[Vertex]],Vertices[],MATCH("ID",Vertices[[#Headers],[Vertex]:[Top Word Pairs in Tweet by Salience]],0),FALSE)</f>
        <v>81</v>
      </c>
    </row>
    <row r="114" spans="1:3" ht="15">
      <c r="A114" s="81" t="s">
        <v>2426</v>
      </c>
      <c r="B114" s="89" t="s">
        <v>292</v>
      </c>
      <c r="C114" s="80">
        <f>VLOOKUP(GroupVertices[[#This Row],[Vertex]],Vertices[],MATCH("ID",Vertices[[#Headers],[Vertex]:[Top Word Pairs in Tweet by Salience]],0),FALSE)</f>
        <v>80</v>
      </c>
    </row>
    <row r="115" spans="1:3" ht="15">
      <c r="A115" s="81" t="s">
        <v>2426</v>
      </c>
      <c r="B115" s="89" t="s">
        <v>291</v>
      </c>
      <c r="C115" s="80">
        <f>VLOOKUP(GroupVertices[[#This Row],[Vertex]],Vertices[],MATCH("ID",Vertices[[#Headers],[Vertex]:[Top Word Pairs in Tweet by Salience]],0),FALSE)</f>
        <v>79</v>
      </c>
    </row>
    <row r="116" spans="1:3" ht="15">
      <c r="A116" s="81" t="s">
        <v>2426</v>
      </c>
      <c r="B116" s="89" t="s">
        <v>290</v>
      </c>
      <c r="C116" s="80">
        <f>VLOOKUP(GroupVertices[[#This Row],[Vertex]],Vertices[],MATCH("ID",Vertices[[#Headers],[Vertex]:[Top Word Pairs in Tweet by Salience]],0),FALSE)</f>
        <v>78</v>
      </c>
    </row>
    <row r="117" spans="1:3" ht="15">
      <c r="A117" s="81" t="s">
        <v>2426</v>
      </c>
      <c r="B117" s="89" t="s">
        <v>289</v>
      </c>
      <c r="C117" s="80">
        <f>VLOOKUP(GroupVertices[[#This Row],[Vertex]],Vertices[],MATCH("ID",Vertices[[#Headers],[Vertex]:[Top Word Pairs in Tweet by Salience]],0),FALSE)</f>
        <v>77</v>
      </c>
    </row>
    <row r="118" spans="1:3" ht="15">
      <c r="A118" s="81" t="s">
        <v>2426</v>
      </c>
      <c r="B118" s="89" t="s">
        <v>287</v>
      </c>
      <c r="C118" s="80">
        <f>VLOOKUP(GroupVertices[[#This Row],[Vertex]],Vertices[],MATCH("ID",Vertices[[#Headers],[Vertex]:[Top Word Pairs in Tweet by Salience]],0),FALSE)</f>
        <v>75</v>
      </c>
    </row>
    <row r="119" spans="1:3" ht="15">
      <c r="A119" s="81" t="s">
        <v>2426</v>
      </c>
      <c r="B119" s="89" t="s">
        <v>286</v>
      </c>
      <c r="C119" s="80">
        <f>VLOOKUP(GroupVertices[[#This Row],[Vertex]],Vertices[],MATCH("ID",Vertices[[#Headers],[Vertex]:[Top Word Pairs in Tweet by Salience]],0),FALSE)</f>
        <v>74</v>
      </c>
    </row>
    <row r="120" spans="1:3" ht="15">
      <c r="A120" s="81" t="s">
        <v>2426</v>
      </c>
      <c r="B120" s="89" t="s">
        <v>285</v>
      </c>
      <c r="C120" s="80">
        <f>VLOOKUP(GroupVertices[[#This Row],[Vertex]],Vertices[],MATCH("ID",Vertices[[#Headers],[Vertex]:[Top Word Pairs in Tweet by Salience]],0),FALSE)</f>
        <v>73</v>
      </c>
    </row>
    <row r="121" spans="1:3" ht="15">
      <c r="A121" s="81" t="s">
        <v>2426</v>
      </c>
      <c r="B121" s="89" t="s">
        <v>284</v>
      </c>
      <c r="C121" s="80">
        <f>VLOOKUP(GroupVertices[[#This Row],[Vertex]],Vertices[],MATCH("ID",Vertices[[#Headers],[Vertex]:[Top Word Pairs in Tweet by Salience]],0),FALSE)</f>
        <v>72</v>
      </c>
    </row>
    <row r="122" spans="1:3" ht="15">
      <c r="A122" s="81" t="s">
        <v>2426</v>
      </c>
      <c r="B122" s="89" t="s">
        <v>283</v>
      </c>
      <c r="C122" s="80">
        <f>VLOOKUP(GroupVertices[[#This Row],[Vertex]],Vertices[],MATCH("ID",Vertices[[#Headers],[Vertex]:[Top Word Pairs in Tweet by Salience]],0),FALSE)</f>
        <v>71</v>
      </c>
    </row>
    <row r="123" spans="1:3" ht="15">
      <c r="A123" s="81" t="s">
        <v>2426</v>
      </c>
      <c r="B123" s="89" t="s">
        <v>282</v>
      </c>
      <c r="C123" s="80">
        <f>VLOOKUP(GroupVertices[[#This Row],[Vertex]],Vertices[],MATCH("ID",Vertices[[#Headers],[Vertex]:[Top Word Pairs in Tweet by Salience]],0),FALSE)</f>
        <v>70</v>
      </c>
    </row>
    <row r="124" spans="1:3" ht="15">
      <c r="A124" s="81" t="s">
        <v>2426</v>
      </c>
      <c r="B124" s="89" t="s">
        <v>281</v>
      </c>
      <c r="C124" s="80">
        <f>VLOOKUP(GroupVertices[[#This Row],[Vertex]],Vertices[],MATCH("ID",Vertices[[#Headers],[Vertex]:[Top Word Pairs in Tweet by Salience]],0),FALSE)</f>
        <v>69</v>
      </c>
    </row>
    <row r="125" spans="1:3" ht="15">
      <c r="A125" s="81" t="s">
        <v>2426</v>
      </c>
      <c r="B125" s="89" t="s">
        <v>280</v>
      </c>
      <c r="C125" s="80">
        <f>VLOOKUP(GroupVertices[[#This Row],[Vertex]],Vertices[],MATCH("ID",Vertices[[#Headers],[Vertex]:[Top Word Pairs in Tweet by Salience]],0),FALSE)</f>
        <v>68</v>
      </c>
    </row>
    <row r="126" spans="1:3" ht="15">
      <c r="A126" s="81" t="s">
        <v>2426</v>
      </c>
      <c r="B126" s="89" t="s">
        <v>279</v>
      </c>
      <c r="C126" s="80">
        <f>VLOOKUP(GroupVertices[[#This Row],[Vertex]],Vertices[],MATCH("ID",Vertices[[#Headers],[Vertex]:[Top Word Pairs in Tweet by Salience]],0),FALSE)</f>
        <v>67</v>
      </c>
    </row>
    <row r="127" spans="1:3" ht="15">
      <c r="A127" s="81" t="s">
        <v>2426</v>
      </c>
      <c r="B127" s="89" t="s">
        <v>278</v>
      </c>
      <c r="C127" s="80">
        <f>VLOOKUP(GroupVertices[[#This Row],[Vertex]],Vertices[],MATCH("ID",Vertices[[#Headers],[Vertex]:[Top Word Pairs in Tweet by Salience]],0),FALSE)</f>
        <v>66</v>
      </c>
    </row>
    <row r="128" spans="1:3" ht="15">
      <c r="A128" s="81" t="s">
        <v>2426</v>
      </c>
      <c r="B128" s="89" t="s">
        <v>277</v>
      </c>
      <c r="C128" s="80">
        <f>VLOOKUP(GroupVertices[[#This Row],[Vertex]],Vertices[],MATCH("ID",Vertices[[#Headers],[Vertex]:[Top Word Pairs in Tweet by Salience]],0),FALSE)</f>
        <v>65</v>
      </c>
    </row>
    <row r="129" spans="1:3" ht="15">
      <c r="A129" s="81" t="s">
        <v>2426</v>
      </c>
      <c r="B129" s="89" t="s">
        <v>275</v>
      </c>
      <c r="C129" s="80">
        <f>VLOOKUP(GroupVertices[[#This Row],[Vertex]],Vertices[],MATCH("ID",Vertices[[#Headers],[Vertex]:[Top Word Pairs in Tweet by Salience]],0),FALSE)</f>
        <v>63</v>
      </c>
    </row>
    <row r="130" spans="1:3" ht="15">
      <c r="A130" s="81" t="s">
        <v>2426</v>
      </c>
      <c r="B130" s="89" t="s">
        <v>274</v>
      </c>
      <c r="C130" s="80">
        <f>VLOOKUP(GroupVertices[[#This Row],[Vertex]],Vertices[],MATCH("ID",Vertices[[#Headers],[Vertex]:[Top Word Pairs in Tweet by Salience]],0),FALSE)</f>
        <v>62</v>
      </c>
    </row>
    <row r="131" spans="1:3" ht="15">
      <c r="A131" s="81" t="s">
        <v>2426</v>
      </c>
      <c r="B131" s="89" t="s">
        <v>273</v>
      </c>
      <c r="C131" s="80">
        <f>VLOOKUP(GroupVertices[[#This Row],[Vertex]],Vertices[],MATCH("ID",Vertices[[#Headers],[Vertex]:[Top Word Pairs in Tweet by Salience]],0),FALSE)</f>
        <v>61</v>
      </c>
    </row>
    <row r="132" spans="1:3" ht="15">
      <c r="A132" s="81" t="s">
        <v>2426</v>
      </c>
      <c r="B132" s="89" t="s">
        <v>272</v>
      </c>
      <c r="C132" s="80">
        <f>VLOOKUP(GroupVertices[[#This Row],[Vertex]],Vertices[],MATCH("ID",Vertices[[#Headers],[Vertex]:[Top Word Pairs in Tweet by Salience]],0),FALSE)</f>
        <v>60</v>
      </c>
    </row>
    <row r="133" spans="1:3" ht="15">
      <c r="A133" s="81" t="s">
        <v>2426</v>
      </c>
      <c r="B133" s="89" t="s">
        <v>270</v>
      </c>
      <c r="C133" s="80">
        <f>VLOOKUP(GroupVertices[[#This Row],[Vertex]],Vertices[],MATCH("ID",Vertices[[#Headers],[Vertex]:[Top Word Pairs in Tweet by Salience]],0),FALSE)</f>
        <v>58</v>
      </c>
    </row>
    <row r="134" spans="1:3" ht="15">
      <c r="A134" s="81" t="s">
        <v>2426</v>
      </c>
      <c r="B134" s="89" t="s">
        <v>268</v>
      </c>
      <c r="C134" s="80">
        <f>VLOOKUP(GroupVertices[[#This Row],[Vertex]],Vertices[],MATCH("ID",Vertices[[#Headers],[Vertex]:[Top Word Pairs in Tweet by Salience]],0),FALSE)</f>
        <v>56</v>
      </c>
    </row>
    <row r="135" spans="1:3" ht="15">
      <c r="A135" s="81" t="s">
        <v>2426</v>
      </c>
      <c r="B135" s="89" t="s">
        <v>267</v>
      </c>
      <c r="C135" s="80">
        <f>VLOOKUP(GroupVertices[[#This Row],[Vertex]],Vertices[],MATCH("ID",Vertices[[#Headers],[Vertex]:[Top Word Pairs in Tweet by Salience]],0),FALSE)</f>
        <v>55</v>
      </c>
    </row>
    <row r="136" spans="1:3" ht="15">
      <c r="A136" s="81" t="s">
        <v>2426</v>
      </c>
      <c r="B136" s="89" t="s">
        <v>266</v>
      </c>
      <c r="C136" s="80">
        <f>VLOOKUP(GroupVertices[[#This Row],[Vertex]],Vertices[],MATCH("ID",Vertices[[#Headers],[Vertex]:[Top Word Pairs in Tweet by Salience]],0),FALSE)</f>
        <v>54</v>
      </c>
    </row>
    <row r="137" spans="1:3" ht="15">
      <c r="A137" s="81" t="s">
        <v>2426</v>
      </c>
      <c r="B137" s="89" t="s">
        <v>265</v>
      </c>
      <c r="C137" s="80">
        <f>VLOOKUP(GroupVertices[[#This Row],[Vertex]],Vertices[],MATCH("ID",Vertices[[#Headers],[Vertex]:[Top Word Pairs in Tweet by Salience]],0),FALSE)</f>
        <v>53</v>
      </c>
    </row>
    <row r="138" spans="1:3" ht="15">
      <c r="A138" s="81" t="s">
        <v>2426</v>
      </c>
      <c r="B138" s="89" t="s">
        <v>264</v>
      </c>
      <c r="C138" s="80">
        <f>VLOOKUP(GroupVertices[[#This Row],[Vertex]],Vertices[],MATCH("ID",Vertices[[#Headers],[Vertex]:[Top Word Pairs in Tweet by Salience]],0),FALSE)</f>
        <v>52</v>
      </c>
    </row>
    <row r="139" spans="1:3" ht="15">
      <c r="A139" s="81" t="s">
        <v>2426</v>
      </c>
      <c r="B139" s="89" t="s">
        <v>263</v>
      </c>
      <c r="C139" s="80">
        <f>VLOOKUP(GroupVertices[[#This Row],[Vertex]],Vertices[],MATCH("ID",Vertices[[#Headers],[Vertex]:[Top Word Pairs in Tweet by Salience]],0),FALSE)</f>
        <v>51</v>
      </c>
    </row>
    <row r="140" spans="1:3" ht="15">
      <c r="A140" s="81" t="s">
        <v>2426</v>
      </c>
      <c r="B140" s="89" t="s">
        <v>261</v>
      </c>
      <c r="C140" s="80">
        <f>VLOOKUP(GroupVertices[[#This Row],[Vertex]],Vertices[],MATCH("ID",Vertices[[#Headers],[Vertex]:[Top Word Pairs in Tweet by Salience]],0),FALSE)</f>
        <v>49</v>
      </c>
    </row>
    <row r="141" spans="1:3" ht="15">
      <c r="A141" s="81" t="s">
        <v>2426</v>
      </c>
      <c r="B141" s="89" t="s">
        <v>260</v>
      </c>
      <c r="C141" s="80">
        <f>VLOOKUP(GroupVertices[[#This Row],[Vertex]],Vertices[],MATCH("ID",Vertices[[#Headers],[Vertex]:[Top Word Pairs in Tweet by Salience]],0),FALSE)</f>
        <v>48</v>
      </c>
    </row>
    <row r="142" spans="1:3" ht="15">
      <c r="A142" s="81" t="s">
        <v>2426</v>
      </c>
      <c r="B142" s="89" t="s">
        <v>259</v>
      </c>
      <c r="C142" s="80">
        <f>VLOOKUP(GroupVertices[[#This Row],[Vertex]],Vertices[],MATCH("ID",Vertices[[#Headers],[Vertex]:[Top Word Pairs in Tweet by Salience]],0),FALSE)</f>
        <v>47</v>
      </c>
    </row>
    <row r="143" spans="1:3" ht="15">
      <c r="A143" s="81" t="s">
        <v>2426</v>
      </c>
      <c r="B143" s="89" t="s">
        <v>257</v>
      </c>
      <c r="C143" s="80">
        <f>VLOOKUP(GroupVertices[[#This Row],[Vertex]],Vertices[],MATCH("ID",Vertices[[#Headers],[Vertex]:[Top Word Pairs in Tweet by Salience]],0),FALSE)</f>
        <v>45</v>
      </c>
    </row>
    <row r="144" spans="1:3" ht="15">
      <c r="A144" s="81" t="s">
        <v>2426</v>
      </c>
      <c r="B144" s="89" t="s">
        <v>256</v>
      </c>
      <c r="C144" s="80">
        <f>VLOOKUP(GroupVertices[[#This Row],[Vertex]],Vertices[],MATCH("ID",Vertices[[#Headers],[Vertex]:[Top Word Pairs in Tweet by Salience]],0),FALSE)</f>
        <v>44</v>
      </c>
    </row>
    <row r="145" spans="1:3" ht="15">
      <c r="A145" s="81" t="s">
        <v>2426</v>
      </c>
      <c r="B145" s="89" t="s">
        <v>255</v>
      </c>
      <c r="C145" s="80">
        <f>VLOOKUP(GroupVertices[[#This Row],[Vertex]],Vertices[],MATCH("ID",Vertices[[#Headers],[Vertex]:[Top Word Pairs in Tweet by Salience]],0),FALSE)</f>
        <v>43</v>
      </c>
    </row>
    <row r="146" spans="1:3" ht="15">
      <c r="A146" s="81" t="s">
        <v>2426</v>
      </c>
      <c r="B146" s="89" t="s">
        <v>254</v>
      </c>
      <c r="C146" s="80">
        <f>VLOOKUP(GroupVertices[[#This Row],[Vertex]],Vertices[],MATCH("ID",Vertices[[#Headers],[Vertex]:[Top Word Pairs in Tweet by Salience]],0),FALSE)</f>
        <v>42</v>
      </c>
    </row>
    <row r="147" spans="1:3" ht="15">
      <c r="A147" s="81" t="s">
        <v>2426</v>
      </c>
      <c r="B147" s="89" t="s">
        <v>252</v>
      </c>
      <c r="C147" s="80">
        <f>VLOOKUP(GroupVertices[[#This Row],[Vertex]],Vertices[],MATCH("ID",Vertices[[#Headers],[Vertex]:[Top Word Pairs in Tweet by Salience]],0),FALSE)</f>
        <v>39</v>
      </c>
    </row>
    <row r="148" spans="1:3" ht="15">
      <c r="A148" s="81" t="s">
        <v>2426</v>
      </c>
      <c r="B148" s="89" t="s">
        <v>251</v>
      </c>
      <c r="C148" s="80">
        <f>VLOOKUP(GroupVertices[[#This Row],[Vertex]],Vertices[],MATCH("ID",Vertices[[#Headers],[Vertex]:[Top Word Pairs in Tweet by Salience]],0),FALSE)</f>
        <v>38</v>
      </c>
    </row>
    <row r="149" spans="1:3" ht="15">
      <c r="A149" s="81" t="s">
        <v>2426</v>
      </c>
      <c r="B149" s="89" t="s">
        <v>250</v>
      </c>
      <c r="C149" s="80">
        <f>VLOOKUP(GroupVertices[[#This Row],[Vertex]],Vertices[],MATCH("ID",Vertices[[#Headers],[Vertex]:[Top Word Pairs in Tweet by Salience]],0),FALSE)</f>
        <v>37</v>
      </c>
    </row>
    <row r="150" spans="1:3" ht="15">
      <c r="A150" s="81" t="s">
        <v>2426</v>
      </c>
      <c r="B150" s="89" t="s">
        <v>249</v>
      </c>
      <c r="C150" s="80">
        <f>VLOOKUP(GroupVertices[[#This Row],[Vertex]],Vertices[],MATCH("ID",Vertices[[#Headers],[Vertex]:[Top Word Pairs in Tweet by Salience]],0),FALSE)</f>
        <v>36</v>
      </c>
    </row>
    <row r="151" spans="1:3" ht="15">
      <c r="A151" s="81" t="s">
        <v>2426</v>
      </c>
      <c r="B151" s="89" t="s">
        <v>248</v>
      </c>
      <c r="C151" s="80">
        <f>VLOOKUP(GroupVertices[[#This Row],[Vertex]],Vertices[],MATCH("ID",Vertices[[#Headers],[Vertex]:[Top Word Pairs in Tweet by Salience]],0),FALSE)</f>
        <v>35</v>
      </c>
    </row>
    <row r="152" spans="1:3" ht="15">
      <c r="A152" s="81" t="s">
        <v>2426</v>
      </c>
      <c r="B152" s="89" t="s">
        <v>247</v>
      </c>
      <c r="C152" s="80">
        <f>VLOOKUP(GroupVertices[[#This Row],[Vertex]],Vertices[],MATCH("ID",Vertices[[#Headers],[Vertex]:[Top Word Pairs in Tweet by Salience]],0),FALSE)</f>
        <v>34</v>
      </c>
    </row>
    <row r="153" spans="1:3" ht="15">
      <c r="A153" s="81" t="s">
        <v>2426</v>
      </c>
      <c r="B153" s="89" t="s">
        <v>246</v>
      </c>
      <c r="C153" s="80">
        <f>VLOOKUP(GroupVertices[[#This Row],[Vertex]],Vertices[],MATCH("ID",Vertices[[#Headers],[Vertex]:[Top Word Pairs in Tweet by Salience]],0),FALSE)</f>
        <v>33</v>
      </c>
    </row>
    <row r="154" spans="1:3" ht="15">
      <c r="A154" s="81" t="s">
        <v>2426</v>
      </c>
      <c r="B154" s="89" t="s">
        <v>245</v>
      </c>
      <c r="C154" s="80">
        <f>VLOOKUP(GroupVertices[[#This Row],[Vertex]],Vertices[],MATCH("ID",Vertices[[#Headers],[Vertex]:[Top Word Pairs in Tweet by Salience]],0),FALSE)</f>
        <v>32</v>
      </c>
    </row>
    <row r="155" spans="1:3" ht="15">
      <c r="A155" s="81" t="s">
        <v>2426</v>
      </c>
      <c r="B155" s="89" t="s">
        <v>244</v>
      </c>
      <c r="C155" s="80">
        <f>VLOOKUP(GroupVertices[[#This Row],[Vertex]],Vertices[],MATCH("ID",Vertices[[#Headers],[Vertex]:[Top Word Pairs in Tweet by Salience]],0),FALSE)</f>
        <v>31</v>
      </c>
    </row>
    <row r="156" spans="1:3" ht="15">
      <c r="A156" s="81" t="s">
        <v>2426</v>
      </c>
      <c r="B156" s="89" t="s">
        <v>243</v>
      </c>
      <c r="C156" s="80">
        <f>VLOOKUP(GroupVertices[[#This Row],[Vertex]],Vertices[],MATCH("ID",Vertices[[#Headers],[Vertex]:[Top Word Pairs in Tweet by Salience]],0),FALSE)</f>
        <v>30</v>
      </c>
    </row>
    <row r="157" spans="1:3" ht="15">
      <c r="A157" s="81" t="s">
        <v>2426</v>
      </c>
      <c r="B157" s="89" t="s">
        <v>242</v>
      </c>
      <c r="C157" s="80">
        <f>VLOOKUP(GroupVertices[[#This Row],[Vertex]],Vertices[],MATCH("ID",Vertices[[#Headers],[Vertex]:[Top Word Pairs in Tweet by Salience]],0),FALSE)</f>
        <v>29</v>
      </c>
    </row>
    <row r="158" spans="1:3" ht="15">
      <c r="A158" s="81" t="s">
        <v>2426</v>
      </c>
      <c r="B158" s="89" t="s">
        <v>241</v>
      </c>
      <c r="C158" s="80">
        <f>VLOOKUP(GroupVertices[[#This Row],[Vertex]],Vertices[],MATCH("ID",Vertices[[#Headers],[Vertex]:[Top Word Pairs in Tweet by Salience]],0),FALSE)</f>
        <v>28</v>
      </c>
    </row>
    <row r="159" spans="1:3" ht="15">
      <c r="A159" s="81" t="s">
        <v>2426</v>
      </c>
      <c r="B159" s="89" t="s">
        <v>240</v>
      </c>
      <c r="C159" s="80">
        <f>VLOOKUP(GroupVertices[[#This Row],[Vertex]],Vertices[],MATCH("ID",Vertices[[#Headers],[Vertex]:[Top Word Pairs in Tweet by Salience]],0),FALSE)</f>
        <v>27</v>
      </c>
    </row>
    <row r="160" spans="1:3" ht="15">
      <c r="A160" s="81" t="s">
        <v>2426</v>
      </c>
      <c r="B160" s="89" t="s">
        <v>239</v>
      </c>
      <c r="C160" s="80">
        <f>VLOOKUP(GroupVertices[[#This Row],[Vertex]],Vertices[],MATCH("ID",Vertices[[#Headers],[Vertex]:[Top Word Pairs in Tweet by Salience]],0),FALSE)</f>
        <v>26</v>
      </c>
    </row>
    <row r="161" spans="1:3" ht="15">
      <c r="A161" s="81" t="s">
        <v>2426</v>
      </c>
      <c r="B161" s="89" t="s">
        <v>238</v>
      </c>
      <c r="C161" s="80">
        <f>VLOOKUP(GroupVertices[[#This Row],[Vertex]],Vertices[],MATCH("ID",Vertices[[#Headers],[Vertex]:[Top Word Pairs in Tweet by Salience]],0),FALSE)</f>
        <v>25</v>
      </c>
    </row>
    <row r="162" spans="1:3" ht="15">
      <c r="A162" s="81" t="s">
        <v>2426</v>
      </c>
      <c r="B162" s="89" t="s">
        <v>237</v>
      </c>
      <c r="C162" s="80">
        <f>VLOOKUP(GroupVertices[[#This Row],[Vertex]],Vertices[],MATCH("ID",Vertices[[#Headers],[Vertex]:[Top Word Pairs in Tweet by Salience]],0),FALSE)</f>
        <v>24</v>
      </c>
    </row>
    <row r="163" spans="1:3" ht="15">
      <c r="A163" s="81" t="s">
        <v>2426</v>
      </c>
      <c r="B163" s="89" t="s">
        <v>236</v>
      </c>
      <c r="C163" s="80">
        <f>VLOOKUP(GroupVertices[[#This Row],[Vertex]],Vertices[],MATCH("ID",Vertices[[#Headers],[Vertex]:[Top Word Pairs in Tweet by Salience]],0),FALSE)</f>
        <v>23</v>
      </c>
    </row>
    <row r="164" spans="1:3" ht="15">
      <c r="A164" s="81" t="s">
        <v>2426</v>
      </c>
      <c r="B164" s="89" t="s">
        <v>235</v>
      </c>
      <c r="C164" s="80">
        <f>VLOOKUP(GroupVertices[[#This Row],[Vertex]],Vertices[],MATCH("ID",Vertices[[#Headers],[Vertex]:[Top Word Pairs in Tweet by Salience]],0),FALSE)</f>
        <v>22</v>
      </c>
    </row>
    <row r="165" spans="1:3" ht="15">
      <c r="A165" s="81" t="s">
        <v>2426</v>
      </c>
      <c r="B165" s="89" t="s">
        <v>234</v>
      </c>
      <c r="C165" s="80">
        <f>VLOOKUP(GroupVertices[[#This Row],[Vertex]],Vertices[],MATCH("ID",Vertices[[#Headers],[Vertex]:[Top Word Pairs in Tweet by Salience]],0),FALSE)</f>
        <v>21</v>
      </c>
    </row>
    <row r="166" spans="1:3" ht="15">
      <c r="A166" s="81" t="s">
        <v>2426</v>
      </c>
      <c r="B166" s="89" t="s">
        <v>233</v>
      </c>
      <c r="C166" s="80">
        <f>VLOOKUP(GroupVertices[[#This Row],[Vertex]],Vertices[],MATCH("ID",Vertices[[#Headers],[Vertex]:[Top Word Pairs in Tweet by Salience]],0),FALSE)</f>
        <v>19</v>
      </c>
    </row>
    <row r="167" spans="1:3" ht="15">
      <c r="A167" s="81" t="s">
        <v>2427</v>
      </c>
      <c r="B167" s="89" t="s">
        <v>230</v>
      </c>
      <c r="C167" s="80">
        <f>VLOOKUP(GroupVertices[[#This Row],[Vertex]],Vertices[],MATCH("ID",Vertices[[#Headers],[Vertex]:[Top Word Pairs in Tweet by Salience]],0),FALSE)</f>
        <v>15</v>
      </c>
    </row>
    <row r="168" spans="1:3" ht="15">
      <c r="A168" s="81" t="s">
        <v>2427</v>
      </c>
      <c r="B168" s="89" t="s">
        <v>231</v>
      </c>
      <c r="C168" s="80">
        <f>VLOOKUP(GroupVertices[[#This Row],[Vertex]],Vertices[],MATCH("ID",Vertices[[#Headers],[Vertex]:[Top Word Pairs in Tweet by Salience]],0),FALSE)</f>
        <v>16</v>
      </c>
    </row>
    <row r="169" spans="1:3" ht="15">
      <c r="A169" s="81" t="s">
        <v>2427</v>
      </c>
      <c r="B169" s="89" t="s">
        <v>258</v>
      </c>
      <c r="C169" s="80">
        <f>VLOOKUP(GroupVertices[[#This Row],[Vertex]],Vertices[],MATCH("ID",Vertices[[#Headers],[Vertex]:[Top Word Pairs in Tweet by Salience]],0),FALSE)</f>
        <v>46</v>
      </c>
    </row>
    <row r="170" spans="1:3" ht="15">
      <c r="A170" s="81" t="s">
        <v>2427</v>
      </c>
      <c r="B170" s="89" t="s">
        <v>262</v>
      </c>
      <c r="C170" s="80">
        <f>VLOOKUP(GroupVertices[[#This Row],[Vertex]],Vertices[],MATCH("ID",Vertices[[#Headers],[Vertex]:[Top Word Pairs in Tweet by Salience]],0),FALSE)</f>
        <v>50</v>
      </c>
    </row>
    <row r="171" spans="1:3" ht="15">
      <c r="A171" s="81" t="s">
        <v>2427</v>
      </c>
      <c r="B171" s="89" t="s">
        <v>269</v>
      </c>
      <c r="C171" s="80">
        <f>VLOOKUP(GroupVertices[[#This Row],[Vertex]],Vertices[],MATCH("ID",Vertices[[#Headers],[Vertex]:[Top Word Pairs in Tweet by Salience]],0),FALSE)</f>
        <v>57</v>
      </c>
    </row>
    <row r="172" spans="1:3" ht="15">
      <c r="A172" s="81" t="s">
        <v>2427</v>
      </c>
      <c r="B172" s="89" t="s">
        <v>271</v>
      </c>
      <c r="C172" s="80">
        <f>VLOOKUP(GroupVertices[[#This Row],[Vertex]],Vertices[],MATCH("ID",Vertices[[#Headers],[Vertex]:[Top Word Pairs in Tweet by Salience]],0),FALSE)</f>
        <v>59</v>
      </c>
    </row>
    <row r="173" spans="1:3" ht="15">
      <c r="A173" s="81" t="s">
        <v>2427</v>
      </c>
      <c r="B173" s="89" t="s">
        <v>276</v>
      </c>
      <c r="C173" s="80">
        <f>VLOOKUP(GroupVertices[[#This Row],[Vertex]],Vertices[],MATCH("ID",Vertices[[#Headers],[Vertex]:[Top Word Pairs in Tweet by Salience]],0),FALSE)</f>
        <v>64</v>
      </c>
    </row>
    <row r="174" spans="1:3" ht="15">
      <c r="A174" s="81" t="s">
        <v>2427</v>
      </c>
      <c r="B174" s="89" t="s">
        <v>288</v>
      </c>
      <c r="C174" s="80">
        <f>VLOOKUP(GroupVertices[[#This Row],[Vertex]],Vertices[],MATCH("ID",Vertices[[#Headers],[Vertex]:[Top Word Pairs in Tweet by Salience]],0),FALSE)</f>
        <v>76</v>
      </c>
    </row>
    <row r="175" spans="1:3" ht="15">
      <c r="A175" s="81" t="s">
        <v>2427</v>
      </c>
      <c r="B175" s="89" t="s">
        <v>295</v>
      </c>
      <c r="C175" s="80">
        <f>VLOOKUP(GroupVertices[[#This Row],[Vertex]],Vertices[],MATCH("ID",Vertices[[#Headers],[Vertex]:[Top Word Pairs in Tweet by Salience]],0),FALSE)</f>
        <v>83</v>
      </c>
    </row>
    <row r="176" spans="1:3" ht="15">
      <c r="A176" s="81" t="s">
        <v>2427</v>
      </c>
      <c r="B176" s="89" t="s">
        <v>299</v>
      </c>
      <c r="C176" s="80">
        <f>VLOOKUP(GroupVertices[[#This Row],[Vertex]],Vertices[],MATCH("ID",Vertices[[#Headers],[Vertex]:[Top Word Pairs in Tweet by Salience]],0),FALSE)</f>
        <v>88</v>
      </c>
    </row>
    <row r="177" spans="1:3" ht="15">
      <c r="A177" s="81" t="s">
        <v>2427</v>
      </c>
      <c r="B177" s="89" t="s">
        <v>302</v>
      </c>
      <c r="C177" s="80">
        <f>VLOOKUP(GroupVertices[[#This Row],[Vertex]],Vertices[],MATCH("ID",Vertices[[#Headers],[Vertex]:[Top Word Pairs in Tweet by Salience]],0),FALSE)</f>
        <v>91</v>
      </c>
    </row>
    <row r="178" spans="1:3" ht="15">
      <c r="A178" s="81" t="s">
        <v>2427</v>
      </c>
      <c r="B178" s="89" t="s">
        <v>307</v>
      </c>
      <c r="C178" s="80">
        <f>VLOOKUP(GroupVertices[[#This Row],[Vertex]],Vertices[],MATCH("ID",Vertices[[#Headers],[Vertex]:[Top Word Pairs in Tweet by Salience]],0),FALSE)</f>
        <v>96</v>
      </c>
    </row>
    <row r="179" spans="1:3" ht="15">
      <c r="A179" s="81" t="s">
        <v>2427</v>
      </c>
      <c r="B179" s="89" t="s">
        <v>309</v>
      </c>
      <c r="C179" s="80">
        <f>VLOOKUP(GroupVertices[[#This Row],[Vertex]],Vertices[],MATCH("ID",Vertices[[#Headers],[Vertex]:[Top Word Pairs in Tweet by Salience]],0),FALSE)</f>
        <v>99</v>
      </c>
    </row>
    <row r="180" spans="1:3" ht="15">
      <c r="A180" s="81" t="s">
        <v>2427</v>
      </c>
      <c r="B180" s="89" t="s">
        <v>312</v>
      </c>
      <c r="C180" s="80">
        <f>VLOOKUP(GroupVertices[[#This Row],[Vertex]],Vertices[],MATCH("ID",Vertices[[#Headers],[Vertex]:[Top Word Pairs in Tweet by Salience]],0),FALSE)</f>
        <v>102</v>
      </c>
    </row>
    <row r="181" spans="1:3" ht="15">
      <c r="A181" s="81" t="s">
        <v>2427</v>
      </c>
      <c r="B181" s="89" t="s">
        <v>314</v>
      </c>
      <c r="C181" s="80">
        <f>VLOOKUP(GroupVertices[[#This Row],[Vertex]],Vertices[],MATCH("ID",Vertices[[#Headers],[Vertex]:[Top Word Pairs in Tweet by Salience]],0),FALSE)</f>
        <v>105</v>
      </c>
    </row>
    <row r="182" spans="1:3" ht="15">
      <c r="A182" s="81" t="s">
        <v>2427</v>
      </c>
      <c r="B182" s="89" t="s">
        <v>315</v>
      </c>
      <c r="C182" s="80">
        <f>VLOOKUP(GroupVertices[[#This Row],[Vertex]],Vertices[],MATCH("ID",Vertices[[#Headers],[Vertex]:[Top Word Pairs in Tweet by Salience]],0),FALSE)</f>
        <v>106</v>
      </c>
    </row>
    <row r="183" spans="1:3" ht="15">
      <c r="A183" s="81" t="s">
        <v>2427</v>
      </c>
      <c r="B183" s="89" t="s">
        <v>318</v>
      </c>
      <c r="C183" s="80">
        <f>VLOOKUP(GroupVertices[[#This Row],[Vertex]],Vertices[],MATCH("ID",Vertices[[#Headers],[Vertex]:[Top Word Pairs in Tweet by Salience]],0),FALSE)</f>
        <v>109</v>
      </c>
    </row>
    <row r="184" spans="1:3" ht="15">
      <c r="A184" s="81" t="s">
        <v>2427</v>
      </c>
      <c r="B184" s="89" t="s">
        <v>322</v>
      </c>
      <c r="C184" s="80">
        <f>VLOOKUP(GroupVertices[[#This Row],[Vertex]],Vertices[],MATCH("ID",Vertices[[#Headers],[Vertex]:[Top Word Pairs in Tweet by Salience]],0),FALSE)</f>
        <v>114</v>
      </c>
    </row>
    <row r="185" spans="1:3" ht="15">
      <c r="A185" s="81" t="s">
        <v>2427</v>
      </c>
      <c r="B185" s="89" t="s">
        <v>331</v>
      </c>
      <c r="C185" s="80">
        <f>VLOOKUP(GroupVertices[[#This Row],[Vertex]],Vertices[],MATCH("ID",Vertices[[#Headers],[Vertex]:[Top Word Pairs in Tweet by Salience]],0),FALSE)</f>
        <v>123</v>
      </c>
    </row>
    <row r="186" spans="1:3" ht="15">
      <c r="A186" s="81" t="s">
        <v>2427</v>
      </c>
      <c r="B186" s="89" t="s">
        <v>341</v>
      </c>
      <c r="C186" s="80">
        <f>VLOOKUP(GroupVertices[[#This Row],[Vertex]],Vertices[],MATCH("ID",Vertices[[#Headers],[Vertex]:[Top Word Pairs in Tweet by Salience]],0),FALSE)</f>
        <v>133</v>
      </c>
    </row>
    <row r="187" spans="1:3" ht="15">
      <c r="A187" s="81" t="s">
        <v>2427</v>
      </c>
      <c r="B187" s="89" t="s">
        <v>342</v>
      </c>
      <c r="C187" s="80">
        <f>VLOOKUP(GroupVertices[[#This Row],[Vertex]],Vertices[],MATCH("ID",Vertices[[#Headers],[Vertex]:[Top Word Pairs in Tweet by Salience]],0),FALSE)</f>
        <v>134</v>
      </c>
    </row>
    <row r="188" spans="1:3" ht="15">
      <c r="A188" s="81" t="s">
        <v>2427</v>
      </c>
      <c r="B188" s="89" t="s">
        <v>364</v>
      </c>
      <c r="C188" s="80">
        <f>VLOOKUP(GroupVertices[[#This Row],[Vertex]],Vertices[],MATCH("ID",Vertices[[#Headers],[Vertex]:[Top Word Pairs in Tweet by Salience]],0),FALSE)</f>
        <v>157</v>
      </c>
    </row>
    <row r="189" spans="1:3" ht="15">
      <c r="A189" s="81" t="s">
        <v>2427</v>
      </c>
      <c r="B189" s="89" t="s">
        <v>368</v>
      </c>
      <c r="C189" s="80">
        <f>VLOOKUP(GroupVertices[[#This Row],[Vertex]],Vertices[],MATCH("ID",Vertices[[#Headers],[Vertex]:[Top Word Pairs in Tweet by Salience]],0),FALSE)</f>
        <v>161</v>
      </c>
    </row>
    <row r="190" spans="1:3" ht="15">
      <c r="A190" s="81" t="s">
        <v>2427</v>
      </c>
      <c r="B190" s="89" t="s">
        <v>371</v>
      </c>
      <c r="C190" s="80">
        <f>VLOOKUP(GroupVertices[[#This Row],[Vertex]],Vertices[],MATCH("ID",Vertices[[#Headers],[Vertex]:[Top Word Pairs in Tweet by Salience]],0),FALSE)</f>
        <v>164</v>
      </c>
    </row>
    <row r="191" spans="1:3" ht="15">
      <c r="A191" s="81" t="s">
        <v>2427</v>
      </c>
      <c r="B191" s="89" t="s">
        <v>376</v>
      </c>
      <c r="C191" s="80">
        <f>VLOOKUP(GroupVertices[[#This Row],[Vertex]],Vertices[],MATCH("ID",Vertices[[#Headers],[Vertex]:[Top Word Pairs in Tweet by Salience]],0),FALSE)</f>
        <v>169</v>
      </c>
    </row>
    <row r="192" spans="1:3" ht="15">
      <c r="A192" s="81" t="s">
        <v>2427</v>
      </c>
      <c r="B192" s="89" t="s">
        <v>379</v>
      </c>
      <c r="C192" s="80">
        <f>VLOOKUP(GroupVertices[[#This Row],[Vertex]],Vertices[],MATCH("ID",Vertices[[#Headers],[Vertex]:[Top Word Pairs in Tweet by Salience]],0),FALSE)</f>
        <v>172</v>
      </c>
    </row>
    <row r="193" spans="1:3" ht="15">
      <c r="A193" s="81" t="s">
        <v>2427</v>
      </c>
      <c r="B193" s="89" t="s">
        <v>384</v>
      </c>
      <c r="C193" s="80">
        <f>VLOOKUP(GroupVertices[[#This Row],[Vertex]],Vertices[],MATCH("ID",Vertices[[#Headers],[Vertex]:[Top Word Pairs in Tweet by Salience]],0),FALSE)</f>
        <v>177</v>
      </c>
    </row>
    <row r="194" spans="1:3" ht="15">
      <c r="A194" s="81" t="s">
        <v>2427</v>
      </c>
      <c r="B194" s="89" t="s">
        <v>402</v>
      </c>
      <c r="C194" s="80">
        <f>VLOOKUP(GroupVertices[[#This Row],[Vertex]],Vertices[],MATCH("ID",Vertices[[#Headers],[Vertex]:[Top Word Pairs in Tweet by Salience]],0),FALSE)</f>
        <v>195</v>
      </c>
    </row>
    <row r="195" spans="1:3" ht="15">
      <c r="A195" s="81" t="s">
        <v>2427</v>
      </c>
      <c r="B195" s="89" t="s">
        <v>438</v>
      </c>
      <c r="C195" s="80">
        <f>VLOOKUP(GroupVertices[[#This Row],[Vertex]],Vertices[],MATCH("ID",Vertices[[#Headers],[Vertex]:[Top Word Pairs in Tweet by Salience]],0),FALSE)</f>
        <v>232</v>
      </c>
    </row>
    <row r="196" spans="1:3" ht="15">
      <c r="A196" s="81" t="s">
        <v>2427</v>
      </c>
      <c r="B196" s="89" t="s">
        <v>440</v>
      </c>
      <c r="C196" s="80">
        <f>VLOOKUP(GroupVertices[[#This Row],[Vertex]],Vertices[],MATCH("ID",Vertices[[#Headers],[Vertex]:[Top Word Pairs in Tweet by Salience]],0),FALSE)</f>
        <v>234</v>
      </c>
    </row>
    <row r="197" spans="1:3" ht="15">
      <c r="A197" s="81" t="s">
        <v>2427</v>
      </c>
      <c r="B197" s="89" t="s">
        <v>442</v>
      </c>
      <c r="C197" s="80">
        <f>VLOOKUP(GroupVertices[[#This Row],[Vertex]],Vertices[],MATCH("ID",Vertices[[#Headers],[Vertex]:[Top Word Pairs in Tweet by Salience]],0),FALSE)</f>
        <v>236</v>
      </c>
    </row>
    <row r="198" spans="1:3" ht="15">
      <c r="A198" s="81" t="s">
        <v>2427</v>
      </c>
      <c r="B198" s="89" t="s">
        <v>446</v>
      </c>
      <c r="C198" s="80">
        <f>VLOOKUP(GroupVertices[[#This Row],[Vertex]],Vertices[],MATCH("ID",Vertices[[#Headers],[Vertex]:[Top Word Pairs in Tweet by Salience]],0),FALSE)</f>
        <v>241</v>
      </c>
    </row>
    <row r="199" spans="1:3" ht="15">
      <c r="A199" s="81" t="s">
        <v>2427</v>
      </c>
      <c r="B199" s="89" t="s">
        <v>447</v>
      </c>
      <c r="C199" s="80">
        <f>VLOOKUP(GroupVertices[[#This Row],[Vertex]],Vertices[],MATCH("ID",Vertices[[#Headers],[Vertex]:[Top Word Pairs in Tweet by Salience]],0),FALSE)</f>
        <v>242</v>
      </c>
    </row>
    <row r="200" spans="1:3" ht="15">
      <c r="A200" s="81" t="s">
        <v>2427</v>
      </c>
      <c r="B200" s="89" t="s">
        <v>448</v>
      </c>
      <c r="C200" s="80">
        <f>VLOOKUP(GroupVertices[[#This Row],[Vertex]],Vertices[],MATCH("ID",Vertices[[#Headers],[Vertex]:[Top Word Pairs in Tweet by Salience]],0),FALSE)</f>
        <v>243</v>
      </c>
    </row>
    <row r="201" spans="1:3" ht="15">
      <c r="A201" s="81" t="s">
        <v>2427</v>
      </c>
      <c r="B201" s="89" t="s">
        <v>450</v>
      </c>
      <c r="C201" s="80">
        <f>VLOOKUP(GroupVertices[[#This Row],[Vertex]],Vertices[],MATCH("ID",Vertices[[#Headers],[Vertex]:[Top Word Pairs in Tweet by Salience]],0),FALSE)</f>
        <v>245</v>
      </c>
    </row>
    <row r="202" spans="1:3" ht="15">
      <c r="A202" s="81" t="s">
        <v>2427</v>
      </c>
      <c r="B202" s="89" t="s">
        <v>454</v>
      </c>
      <c r="C202" s="80">
        <f>VLOOKUP(GroupVertices[[#This Row],[Vertex]],Vertices[],MATCH("ID",Vertices[[#Headers],[Vertex]:[Top Word Pairs in Tweet by Salience]],0),FALSE)</f>
        <v>249</v>
      </c>
    </row>
    <row r="203" spans="1:3" ht="15">
      <c r="A203" s="81" t="s">
        <v>2427</v>
      </c>
      <c r="B203" s="89" t="s">
        <v>475</v>
      </c>
      <c r="C203" s="80">
        <f>VLOOKUP(GroupVertices[[#This Row],[Vertex]],Vertices[],MATCH("ID",Vertices[[#Headers],[Vertex]:[Top Word Pairs in Tweet by Salience]],0),FALSE)</f>
        <v>271</v>
      </c>
    </row>
    <row r="204" spans="1:3" ht="15">
      <c r="A204" s="81" t="s">
        <v>2428</v>
      </c>
      <c r="B204" s="89" t="s">
        <v>484</v>
      </c>
      <c r="C204" s="80">
        <f>VLOOKUP(GroupVertices[[#This Row],[Vertex]],Vertices[],MATCH("ID",Vertices[[#Headers],[Vertex]:[Top Word Pairs in Tweet by Salience]],0),FALSE)</f>
        <v>278</v>
      </c>
    </row>
    <row r="205" spans="1:3" ht="15">
      <c r="A205" s="81" t="s">
        <v>2428</v>
      </c>
      <c r="B205" s="89" t="s">
        <v>483</v>
      </c>
      <c r="C205" s="80">
        <f>VLOOKUP(GroupVertices[[#This Row],[Vertex]],Vertices[],MATCH("ID",Vertices[[#Headers],[Vertex]:[Top Word Pairs in Tweet by Salience]],0),FALSE)</f>
        <v>230</v>
      </c>
    </row>
    <row r="206" spans="1:3" ht="15">
      <c r="A206" s="81" t="s">
        <v>2428</v>
      </c>
      <c r="B206" s="89" t="s">
        <v>482</v>
      </c>
      <c r="C206" s="80">
        <f>VLOOKUP(GroupVertices[[#This Row],[Vertex]],Vertices[],MATCH("ID",Vertices[[#Headers],[Vertex]:[Top Word Pairs in Tweet by Salience]],0),FALSE)</f>
        <v>277</v>
      </c>
    </row>
    <row r="207" spans="1:3" ht="15">
      <c r="A207" s="81" t="s">
        <v>2428</v>
      </c>
      <c r="B207" s="89" t="s">
        <v>481</v>
      </c>
      <c r="C207" s="80">
        <f>VLOOKUP(GroupVertices[[#This Row],[Vertex]],Vertices[],MATCH("ID",Vertices[[#Headers],[Vertex]:[Top Word Pairs in Tweet by Salience]],0),FALSE)</f>
        <v>276</v>
      </c>
    </row>
    <row r="208" spans="1:3" ht="15">
      <c r="A208" s="81" t="s">
        <v>2428</v>
      </c>
      <c r="B208" s="89" t="s">
        <v>478</v>
      </c>
      <c r="C208" s="80">
        <f>VLOOKUP(GroupVertices[[#This Row],[Vertex]],Vertices[],MATCH("ID",Vertices[[#Headers],[Vertex]:[Top Word Pairs in Tweet by Salience]],0),FALSE)</f>
        <v>274</v>
      </c>
    </row>
    <row r="209" spans="1:3" ht="15">
      <c r="A209" s="81" t="s">
        <v>2428</v>
      </c>
      <c r="B209" s="89" t="s">
        <v>477</v>
      </c>
      <c r="C209" s="80">
        <f>VLOOKUP(GroupVertices[[#This Row],[Vertex]],Vertices[],MATCH("ID",Vertices[[#Headers],[Vertex]:[Top Word Pairs in Tweet by Salience]],0),FALSE)</f>
        <v>273</v>
      </c>
    </row>
    <row r="210" spans="1:3" ht="15">
      <c r="A210" s="81" t="s">
        <v>2428</v>
      </c>
      <c r="B210" s="89" t="s">
        <v>476</v>
      </c>
      <c r="C210" s="80">
        <f>VLOOKUP(GroupVertices[[#This Row],[Vertex]],Vertices[],MATCH("ID",Vertices[[#Headers],[Vertex]:[Top Word Pairs in Tweet by Salience]],0),FALSE)</f>
        <v>272</v>
      </c>
    </row>
    <row r="211" spans="1:3" ht="15">
      <c r="A211" s="81" t="s">
        <v>2428</v>
      </c>
      <c r="B211" s="89" t="s">
        <v>474</v>
      </c>
      <c r="C211" s="80">
        <f>VLOOKUP(GroupVertices[[#This Row],[Vertex]],Vertices[],MATCH("ID",Vertices[[#Headers],[Vertex]:[Top Word Pairs in Tweet by Salience]],0),FALSE)</f>
        <v>270</v>
      </c>
    </row>
    <row r="212" spans="1:3" ht="15">
      <c r="A212" s="81" t="s">
        <v>2428</v>
      </c>
      <c r="B212" s="89" t="s">
        <v>473</v>
      </c>
      <c r="C212" s="80">
        <f>VLOOKUP(GroupVertices[[#This Row],[Vertex]],Vertices[],MATCH("ID",Vertices[[#Headers],[Vertex]:[Top Word Pairs in Tweet by Salience]],0),FALSE)</f>
        <v>269</v>
      </c>
    </row>
    <row r="213" spans="1:3" ht="15">
      <c r="A213" s="81" t="s">
        <v>2428</v>
      </c>
      <c r="B213" s="89" t="s">
        <v>472</v>
      </c>
      <c r="C213" s="80">
        <f>VLOOKUP(GroupVertices[[#This Row],[Vertex]],Vertices[],MATCH("ID",Vertices[[#Headers],[Vertex]:[Top Word Pairs in Tweet by Salience]],0),FALSE)</f>
        <v>268</v>
      </c>
    </row>
    <row r="214" spans="1:3" ht="15">
      <c r="A214" s="81" t="s">
        <v>2428</v>
      </c>
      <c r="B214" s="89" t="s">
        <v>471</v>
      </c>
      <c r="C214" s="80">
        <f>VLOOKUP(GroupVertices[[#This Row],[Vertex]],Vertices[],MATCH("ID",Vertices[[#Headers],[Vertex]:[Top Word Pairs in Tweet by Salience]],0),FALSE)</f>
        <v>267</v>
      </c>
    </row>
    <row r="215" spans="1:3" ht="15">
      <c r="A215" s="81" t="s">
        <v>2428</v>
      </c>
      <c r="B215" s="89" t="s">
        <v>470</v>
      </c>
      <c r="C215" s="80">
        <f>VLOOKUP(GroupVertices[[#This Row],[Vertex]],Vertices[],MATCH("ID",Vertices[[#Headers],[Vertex]:[Top Word Pairs in Tweet by Salience]],0),FALSE)</f>
        <v>266</v>
      </c>
    </row>
    <row r="216" spans="1:3" ht="15">
      <c r="A216" s="81" t="s">
        <v>2428</v>
      </c>
      <c r="B216" s="89" t="s">
        <v>469</v>
      </c>
      <c r="C216" s="80">
        <f>VLOOKUP(GroupVertices[[#This Row],[Vertex]],Vertices[],MATCH("ID",Vertices[[#Headers],[Vertex]:[Top Word Pairs in Tweet by Salience]],0),FALSE)</f>
        <v>265</v>
      </c>
    </row>
    <row r="217" spans="1:3" ht="15">
      <c r="A217" s="81" t="s">
        <v>2428</v>
      </c>
      <c r="B217" s="89" t="s">
        <v>468</v>
      </c>
      <c r="C217" s="80">
        <f>VLOOKUP(GroupVertices[[#This Row],[Vertex]],Vertices[],MATCH("ID",Vertices[[#Headers],[Vertex]:[Top Word Pairs in Tweet by Salience]],0),FALSE)</f>
        <v>264</v>
      </c>
    </row>
    <row r="218" spans="1:3" ht="15">
      <c r="A218" s="81" t="s">
        <v>2428</v>
      </c>
      <c r="B218" s="89" t="s">
        <v>467</v>
      </c>
      <c r="C218" s="80">
        <f>VLOOKUP(GroupVertices[[#This Row],[Vertex]],Vertices[],MATCH("ID",Vertices[[#Headers],[Vertex]:[Top Word Pairs in Tweet by Salience]],0),FALSE)</f>
        <v>263</v>
      </c>
    </row>
    <row r="219" spans="1:3" ht="15">
      <c r="A219" s="81" t="s">
        <v>2428</v>
      </c>
      <c r="B219" s="89" t="s">
        <v>466</v>
      </c>
      <c r="C219" s="80">
        <f>VLOOKUP(GroupVertices[[#This Row],[Vertex]],Vertices[],MATCH("ID",Vertices[[#Headers],[Vertex]:[Top Word Pairs in Tweet by Salience]],0),FALSE)</f>
        <v>262</v>
      </c>
    </row>
    <row r="220" spans="1:3" ht="15">
      <c r="A220" s="81" t="s">
        <v>2428</v>
      </c>
      <c r="B220" s="89" t="s">
        <v>465</v>
      </c>
      <c r="C220" s="80">
        <f>VLOOKUP(GroupVertices[[#This Row],[Vertex]],Vertices[],MATCH("ID",Vertices[[#Headers],[Vertex]:[Top Word Pairs in Tweet by Salience]],0),FALSE)</f>
        <v>261</v>
      </c>
    </row>
    <row r="221" spans="1:3" ht="15">
      <c r="A221" s="81" t="s">
        <v>2428</v>
      </c>
      <c r="B221" s="89" t="s">
        <v>464</v>
      </c>
      <c r="C221" s="80">
        <f>VLOOKUP(GroupVertices[[#This Row],[Vertex]],Vertices[],MATCH("ID",Vertices[[#Headers],[Vertex]:[Top Word Pairs in Tweet by Salience]],0),FALSE)</f>
        <v>260</v>
      </c>
    </row>
    <row r="222" spans="1:3" ht="15">
      <c r="A222" s="81" t="s">
        <v>2428</v>
      </c>
      <c r="B222" s="89" t="s">
        <v>463</v>
      </c>
      <c r="C222" s="80">
        <f>VLOOKUP(GroupVertices[[#This Row],[Vertex]],Vertices[],MATCH("ID",Vertices[[#Headers],[Vertex]:[Top Word Pairs in Tweet by Salience]],0),FALSE)</f>
        <v>259</v>
      </c>
    </row>
    <row r="223" spans="1:3" ht="15">
      <c r="A223" s="81" t="s">
        <v>2428</v>
      </c>
      <c r="B223" s="89" t="s">
        <v>462</v>
      </c>
      <c r="C223" s="80">
        <f>VLOOKUP(GroupVertices[[#This Row],[Vertex]],Vertices[],MATCH("ID",Vertices[[#Headers],[Vertex]:[Top Word Pairs in Tweet by Salience]],0),FALSE)</f>
        <v>258</v>
      </c>
    </row>
    <row r="224" spans="1:3" ht="15">
      <c r="A224" s="81" t="s">
        <v>2428</v>
      </c>
      <c r="B224" s="89" t="s">
        <v>461</v>
      </c>
      <c r="C224" s="80">
        <f>VLOOKUP(GroupVertices[[#This Row],[Vertex]],Vertices[],MATCH("ID",Vertices[[#Headers],[Vertex]:[Top Word Pairs in Tweet by Salience]],0),FALSE)</f>
        <v>257</v>
      </c>
    </row>
    <row r="225" spans="1:3" ht="15">
      <c r="A225" s="81" t="s">
        <v>2428</v>
      </c>
      <c r="B225" s="89" t="s">
        <v>459</v>
      </c>
      <c r="C225" s="80">
        <f>VLOOKUP(GroupVertices[[#This Row],[Vertex]],Vertices[],MATCH("ID",Vertices[[#Headers],[Vertex]:[Top Word Pairs in Tweet by Salience]],0),FALSE)</f>
        <v>254</v>
      </c>
    </row>
    <row r="226" spans="1:3" ht="15">
      <c r="A226" s="81" t="s">
        <v>2428</v>
      </c>
      <c r="B226" s="89" t="s">
        <v>458</v>
      </c>
      <c r="C226" s="80">
        <f>VLOOKUP(GroupVertices[[#This Row],[Vertex]],Vertices[],MATCH("ID",Vertices[[#Headers],[Vertex]:[Top Word Pairs in Tweet by Salience]],0),FALSE)</f>
        <v>253</v>
      </c>
    </row>
    <row r="227" spans="1:3" ht="15">
      <c r="A227" s="81" t="s">
        <v>2428</v>
      </c>
      <c r="B227" s="89" t="s">
        <v>457</v>
      </c>
      <c r="C227" s="80">
        <f>VLOOKUP(GroupVertices[[#This Row],[Vertex]],Vertices[],MATCH("ID",Vertices[[#Headers],[Vertex]:[Top Word Pairs in Tweet by Salience]],0),FALSE)</f>
        <v>252</v>
      </c>
    </row>
    <row r="228" spans="1:3" ht="15">
      <c r="A228" s="81" t="s">
        <v>2428</v>
      </c>
      <c r="B228" s="89" t="s">
        <v>456</v>
      </c>
      <c r="C228" s="80">
        <f>VLOOKUP(GroupVertices[[#This Row],[Vertex]],Vertices[],MATCH("ID",Vertices[[#Headers],[Vertex]:[Top Word Pairs in Tweet by Salience]],0),FALSE)</f>
        <v>251</v>
      </c>
    </row>
    <row r="229" spans="1:3" ht="15">
      <c r="A229" s="81" t="s">
        <v>2428</v>
      </c>
      <c r="B229" s="89" t="s">
        <v>453</v>
      </c>
      <c r="C229" s="80">
        <f>VLOOKUP(GroupVertices[[#This Row],[Vertex]],Vertices[],MATCH("ID",Vertices[[#Headers],[Vertex]:[Top Word Pairs in Tweet by Salience]],0),FALSE)</f>
        <v>248</v>
      </c>
    </row>
    <row r="230" spans="1:3" ht="15">
      <c r="A230" s="81" t="s">
        <v>2428</v>
      </c>
      <c r="B230" s="89" t="s">
        <v>436</v>
      </c>
      <c r="C230" s="80">
        <f>VLOOKUP(GroupVertices[[#This Row],[Vertex]],Vertices[],MATCH("ID",Vertices[[#Headers],[Vertex]:[Top Word Pairs in Tweet by Salience]],0),FALSE)</f>
        <v>229</v>
      </c>
    </row>
    <row r="231" spans="1:3" ht="15">
      <c r="A231" s="81" t="s">
        <v>2429</v>
      </c>
      <c r="B231" s="89" t="s">
        <v>352</v>
      </c>
      <c r="C231" s="80">
        <f>VLOOKUP(GroupVertices[[#This Row],[Vertex]],Vertices[],MATCH("ID",Vertices[[#Headers],[Vertex]:[Top Word Pairs in Tweet by Salience]],0),FALSE)</f>
        <v>145</v>
      </c>
    </row>
    <row r="232" spans="1:3" ht="15">
      <c r="A232" s="81" t="s">
        <v>2429</v>
      </c>
      <c r="B232" s="89" t="s">
        <v>351</v>
      </c>
      <c r="C232" s="80">
        <f>VLOOKUP(GroupVertices[[#This Row],[Vertex]],Vertices[],MATCH("ID",Vertices[[#Headers],[Vertex]:[Top Word Pairs in Tweet by Salience]],0),FALSE)</f>
        <v>98</v>
      </c>
    </row>
    <row r="233" spans="1:3" ht="15">
      <c r="A233" s="81" t="s">
        <v>2429</v>
      </c>
      <c r="B233" s="89" t="s">
        <v>325</v>
      </c>
      <c r="C233" s="80">
        <f>VLOOKUP(GroupVertices[[#This Row],[Vertex]],Vertices[],MATCH("ID",Vertices[[#Headers],[Vertex]:[Top Word Pairs in Tweet by Salience]],0),FALSE)</f>
        <v>117</v>
      </c>
    </row>
    <row r="234" spans="1:3" ht="15">
      <c r="A234" s="81" t="s">
        <v>2429</v>
      </c>
      <c r="B234" s="89" t="s">
        <v>321</v>
      </c>
      <c r="C234" s="80">
        <f>VLOOKUP(GroupVertices[[#This Row],[Vertex]],Vertices[],MATCH("ID",Vertices[[#Headers],[Vertex]:[Top Word Pairs in Tweet by Salience]],0),FALSE)</f>
        <v>113</v>
      </c>
    </row>
    <row r="235" spans="1:3" ht="15">
      <c r="A235" s="81" t="s">
        <v>2429</v>
      </c>
      <c r="B235" s="89" t="s">
        <v>308</v>
      </c>
      <c r="C235" s="80">
        <f>VLOOKUP(GroupVertices[[#This Row],[Vertex]],Vertices[],MATCH("ID",Vertices[[#Headers],[Vertex]:[Top Word Pairs in Tweet by Salience]],0),FALSE)</f>
        <v>97</v>
      </c>
    </row>
    <row r="236" spans="1:3" ht="15">
      <c r="A236" s="81" t="s">
        <v>2430</v>
      </c>
      <c r="B236" s="89" t="s">
        <v>432</v>
      </c>
      <c r="C236" s="80">
        <f>VLOOKUP(GroupVertices[[#This Row],[Vertex]],Vertices[],MATCH("ID",Vertices[[#Headers],[Vertex]:[Top Word Pairs in Tweet by Salience]],0),FALSE)</f>
        <v>224</v>
      </c>
    </row>
    <row r="237" spans="1:3" ht="15">
      <c r="A237" s="81" t="s">
        <v>2430</v>
      </c>
      <c r="B237" s="89" t="s">
        <v>495</v>
      </c>
      <c r="C237" s="80">
        <f>VLOOKUP(GroupVertices[[#This Row],[Vertex]],Vertices[],MATCH("ID",Vertices[[#Headers],[Vertex]:[Top Word Pairs in Tweet by Salience]],0),FALSE)</f>
        <v>139</v>
      </c>
    </row>
    <row r="238" spans="1:3" ht="15">
      <c r="A238" s="81" t="s">
        <v>2430</v>
      </c>
      <c r="B238" s="89" t="s">
        <v>353</v>
      </c>
      <c r="C238" s="80">
        <f>VLOOKUP(GroupVertices[[#This Row],[Vertex]],Vertices[],MATCH("ID",Vertices[[#Headers],[Vertex]:[Top Word Pairs in Tweet by Salience]],0),FALSE)</f>
        <v>146</v>
      </c>
    </row>
    <row r="239" spans="1:3" ht="15">
      <c r="A239" s="81" t="s">
        <v>2430</v>
      </c>
      <c r="B239" s="89" t="s">
        <v>346</v>
      </c>
      <c r="C239" s="80">
        <f>VLOOKUP(GroupVertices[[#This Row],[Vertex]],Vertices[],MATCH("ID",Vertices[[#Headers],[Vertex]:[Top Word Pairs in Tweet by Salience]],0),FALSE)</f>
        <v>138</v>
      </c>
    </row>
    <row r="240" spans="1:3" ht="15">
      <c r="A240" s="81" t="s">
        <v>2431</v>
      </c>
      <c r="B240" s="89" t="s">
        <v>229</v>
      </c>
      <c r="C240" s="80">
        <f>VLOOKUP(GroupVertices[[#This Row],[Vertex]],Vertices[],MATCH("ID",Vertices[[#Headers],[Vertex]:[Top Word Pairs in Tweet by Salience]],0),FALSE)</f>
        <v>14</v>
      </c>
    </row>
    <row r="241" spans="1:3" ht="15">
      <c r="A241" s="81" t="s">
        <v>2431</v>
      </c>
      <c r="B241" s="89" t="s">
        <v>228</v>
      </c>
      <c r="C241" s="80">
        <f>VLOOKUP(GroupVertices[[#This Row],[Vertex]],Vertices[],MATCH("ID",Vertices[[#Headers],[Vertex]:[Top Word Pairs in Tweet by Salience]],0),FALSE)</f>
        <v>12</v>
      </c>
    </row>
    <row r="242" spans="1:3" ht="15">
      <c r="A242" s="81" t="s">
        <v>2431</v>
      </c>
      <c r="B242" s="89" t="s">
        <v>490</v>
      </c>
      <c r="C242" s="80">
        <f>VLOOKUP(GroupVertices[[#This Row],[Vertex]],Vertices[],MATCH("ID",Vertices[[#Headers],[Vertex]:[Top Word Pairs in Tweet by Salience]],0),FALSE)</f>
        <v>13</v>
      </c>
    </row>
    <row r="243" spans="1:3" ht="15">
      <c r="A243" s="81" t="s">
        <v>2432</v>
      </c>
      <c r="B243" s="89" t="s">
        <v>225</v>
      </c>
      <c r="C243" s="80">
        <f>VLOOKUP(GroupVertices[[#This Row],[Vertex]],Vertices[],MATCH("ID",Vertices[[#Headers],[Vertex]:[Top Word Pairs in Tweet by Salience]],0),FALSE)</f>
        <v>5</v>
      </c>
    </row>
    <row r="244" spans="1:3" ht="15">
      <c r="A244" s="81" t="s">
        <v>2432</v>
      </c>
      <c r="B244" s="89" t="s">
        <v>487</v>
      </c>
      <c r="C244" s="80">
        <f>VLOOKUP(GroupVertices[[#This Row],[Vertex]],Vertices[],MATCH("ID",Vertices[[#Headers],[Vertex]:[Top Word Pairs in Tweet by Salience]],0),FALSE)</f>
        <v>7</v>
      </c>
    </row>
    <row r="245" spans="1:3" ht="15">
      <c r="A245" s="81" t="s">
        <v>2432</v>
      </c>
      <c r="B245" s="89" t="s">
        <v>486</v>
      </c>
      <c r="C245" s="80">
        <f>VLOOKUP(GroupVertices[[#This Row],[Vertex]],Vertices[],MATCH("ID",Vertices[[#Headers],[Vertex]:[Top Word Pairs in Tweet by Salience]],0),FALSE)</f>
        <v>6</v>
      </c>
    </row>
    <row r="246" spans="1:3" ht="15">
      <c r="A246" s="81" t="s">
        <v>2433</v>
      </c>
      <c r="B246" s="89" t="s">
        <v>460</v>
      </c>
      <c r="C246" s="80">
        <f>VLOOKUP(GroupVertices[[#This Row],[Vertex]],Vertices[],MATCH("ID",Vertices[[#Headers],[Vertex]:[Top Word Pairs in Tweet by Salience]],0),FALSE)</f>
        <v>255</v>
      </c>
    </row>
    <row r="247" spans="1:3" ht="15">
      <c r="A247" s="81" t="s">
        <v>2433</v>
      </c>
      <c r="B247" s="89" t="s">
        <v>499</v>
      </c>
      <c r="C247" s="80">
        <f>VLOOKUP(GroupVertices[[#This Row],[Vertex]],Vertices[],MATCH("ID",Vertices[[#Headers],[Vertex]:[Top Word Pairs in Tweet by Salience]],0),FALSE)</f>
        <v>256</v>
      </c>
    </row>
    <row r="248" spans="1:3" ht="15">
      <c r="A248" s="81" t="s">
        <v>2434</v>
      </c>
      <c r="B248" s="89" t="s">
        <v>443</v>
      </c>
      <c r="C248" s="80">
        <f>VLOOKUP(GroupVertices[[#This Row],[Vertex]],Vertices[],MATCH("ID",Vertices[[#Headers],[Vertex]:[Top Word Pairs in Tweet by Salience]],0),FALSE)</f>
        <v>237</v>
      </c>
    </row>
    <row r="249" spans="1:3" ht="15">
      <c r="A249" s="81" t="s">
        <v>2434</v>
      </c>
      <c r="B249" s="89" t="s">
        <v>498</v>
      </c>
      <c r="C249" s="80">
        <f>VLOOKUP(GroupVertices[[#This Row],[Vertex]],Vertices[],MATCH("ID",Vertices[[#Headers],[Vertex]:[Top Word Pairs in Tweet by Salience]],0),FALSE)</f>
        <v>238</v>
      </c>
    </row>
    <row r="250" spans="1:3" ht="15">
      <c r="A250" s="81" t="s">
        <v>2435</v>
      </c>
      <c r="B250" s="89" t="s">
        <v>435</v>
      </c>
      <c r="C250" s="80">
        <f>VLOOKUP(GroupVertices[[#This Row],[Vertex]],Vertices[],MATCH("ID",Vertices[[#Headers],[Vertex]:[Top Word Pairs in Tweet by Salience]],0),FALSE)</f>
        <v>227</v>
      </c>
    </row>
    <row r="251" spans="1:3" ht="15">
      <c r="A251" s="81" t="s">
        <v>2435</v>
      </c>
      <c r="B251" s="89" t="s">
        <v>497</v>
      </c>
      <c r="C251" s="80">
        <f>VLOOKUP(GroupVertices[[#This Row],[Vertex]],Vertices[],MATCH("ID",Vertices[[#Headers],[Vertex]:[Top Word Pairs in Tweet by Salience]],0),FALSE)</f>
        <v>228</v>
      </c>
    </row>
    <row r="252" spans="1:3" ht="15">
      <c r="A252" s="81" t="s">
        <v>2436</v>
      </c>
      <c r="B252" s="89" t="s">
        <v>434</v>
      </c>
      <c r="C252" s="80">
        <f>VLOOKUP(GroupVertices[[#This Row],[Vertex]],Vertices[],MATCH("ID",Vertices[[#Headers],[Vertex]:[Top Word Pairs in Tweet by Salience]],0),FALSE)</f>
        <v>226</v>
      </c>
    </row>
    <row r="253" spans="1:3" ht="15">
      <c r="A253" s="81" t="s">
        <v>2436</v>
      </c>
      <c r="B253" s="89" t="s">
        <v>433</v>
      </c>
      <c r="C253" s="80">
        <f>VLOOKUP(GroupVertices[[#This Row],[Vertex]],Vertices[],MATCH("ID",Vertices[[#Headers],[Vertex]:[Top Word Pairs in Tweet by Salience]],0),FALSE)</f>
        <v>225</v>
      </c>
    </row>
    <row r="254" spans="1:3" ht="15">
      <c r="A254" s="81" t="s">
        <v>2437</v>
      </c>
      <c r="B254" s="89" t="s">
        <v>407</v>
      </c>
      <c r="C254" s="80">
        <f>VLOOKUP(GroupVertices[[#This Row],[Vertex]],Vertices[],MATCH("ID",Vertices[[#Headers],[Vertex]:[Top Word Pairs in Tweet by Salience]],0),FALSE)</f>
        <v>200</v>
      </c>
    </row>
    <row r="255" spans="1:3" ht="15">
      <c r="A255" s="81" t="s">
        <v>2437</v>
      </c>
      <c r="B255" s="89" t="s">
        <v>406</v>
      </c>
      <c r="C255" s="80">
        <f>VLOOKUP(GroupVertices[[#This Row],[Vertex]],Vertices[],MATCH("ID",Vertices[[#Headers],[Vertex]:[Top Word Pairs in Tweet by Salience]],0),FALSE)</f>
        <v>199</v>
      </c>
    </row>
    <row r="256" spans="1:3" ht="15">
      <c r="A256" s="81" t="s">
        <v>2438</v>
      </c>
      <c r="B256" s="89" t="s">
        <v>349</v>
      </c>
      <c r="C256" s="80">
        <f>VLOOKUP(GroupVertices[[#This Row],[Vertex]],Vertices[],MATCH("ID",Vertices[[#Headers],[Vertex]:[Top Word Pairs in Tweet by Salience]],0),FALSE)</f>
        <v>142</v>
      </c>
    </row>
    <row r="257" spans="1:3" ht="15">
      <c r="A257" s="81" t="s">
        <v>2438</v>
      </c>
      <c r="B257" s="89" t="s">
        <v>496</v>
      </c>
      <c r="C257" s="80">
        <f>VLOOKUP(GroupVertices[[#This Row],[Vertex]],Vertices[],MATCH("ID",Vertices[[#Headers],[Vertex]:[Top Word Pairs in Tweet by Salience]],0),FALSE)</f>
        <v>143</v>
      </c>
    </row>
    <row r="258" spans="1:3" ht="15">
      <c r="A258" s="81" t="s">
        <v>2439</v>
      </c>
      <c r="B258" s="89" t="s">
        <v>336</v>
      </c>
      <c r="C258" s="80">
        <f>VLOOKUP(GroupVertices[[#This Row],[Vertex]],Vertices[],MATCH("ID",Vertices[[#Headers],[Vertex]:[Top Word Pairs in Tweet by Salience]],0),FALSE)</f>
        <v>128</v>
      </c>
    </row>
    <row r="259" spans="1:3" ht="15">
      <c r="A259" s="81" t="s">
        <v>2439</v>
      </c>
      <c r="B259" s="89" t="s">
        <v>335</v>
      </c>
      <c r="C259" s="80">
        <f>VLOOKUP(GroupVertices[[#This Row],[Vertex]],Vertices[],MATCH("ID",Vertices[[#Headers],[Vertex]:[Top Word Pairs in Tweet by Salience]],0),FALSE)</f>
        <v>127</v>
      </c>
    </row>
    <row r="260" spans="1:3" ht="15">
      <c r="A260" s="81" t="s">
        <v>2440</v>
      </c>
      <c r="B260" s="89" t="s">
        <v>317</v>
      </c>
      <c r="C260" s="80">
        <f>VLOOKUP(GroupVertices[[#This Row],[Vertex]],Vertices[],MATCH("ID",Vertices[[#Headers],[Vertex]:[Top Word Pairs in Tweet by Salience]],0),FALSE)</f>
        <v>108</v>
      </c>
    </row>
    <row r="261" spans="1:3" ht="15">
      <c r="A261" s="81" t="s">
        <v>2440</v>
      </c>
      <c r="B261" s="89" t="s">
        <v>316</v>
      </c>
      <c r="C261" s="80">
        <f>VLOOKUP(GroupVertices[[#This Row],[Vertex]],Vertices[],MATCH("ID",Vertices[[#Headers],[Vertex]:[Top Word Pairs in Tweet by Salience]],0),FALSE)</f>
        <v>107</v>
      </c>
    </row>
    <row r="262" spans="1:3" ht="15">
      <c r="A262" s="81" t="s">
        <v>2441</v>
      </c>
      <c r="B262" s="89" t="s">
        <v>313</v>
      </c>
      <c r="C262" s="80">
        <f>VLOOKUP(GroupVertices[[#This Row],[Vertex]],Vertices[],MATCH("ID",Vertices[[#Headers],[Vertex]:[Top Word Pairs in Tweet by Salience]],0),FALSE)</f>
        <v>103</v>
      </c>
    </row>
    <row r="263" spans="1:3" ht="15">
      <c r="A263" s="81" t="s">
        <v>2441</v>
      </c>
      <c r="B263" s="89" t="s">
        <v>494</v>
      </c>
      <c r="C263" s="80">
        <f>VLOOKUP(GroupVertices[[#This Row],[Vertex]],Vertices[],MATCH("ID",Vertices[[#Headers],[Vertex]:[Top Word Pairs in Tweet by Salience]],0),FALSE)</f>
        <v>104</v>
      </c>
    </row>
    <row r="264" spans="1:3" ht="15">
      <c r="A264" s="81" t="s">
        <v>2442</v>
      </c>
      <c r="B264" s="89" t="s">
        <v>311</v>
      </c>
      <c r="C264" s="80">
        <f>VLOOKUP(GroupVertices[[#This Row],[Vertex]],Vertices[],MATCH("ID",Vertices[[#Headers],[Vertex]:[Top Word Pairs in Tweet by Salience]],0),FALSE)</f>
        <v>101</v>
      </c>
    </row>
    <row r="265" spans="1:3" ht="15">
      <c r="A265" s="81" t="s">
        <v>2442</v>
      </c>
      <c r="B265" s="89" t="s">
        <v>310</v>
      </c>
      <c r="C265" s="80">
        <f>VLOOKUP(GroupVertices[[#This Row],[Vertex]],Vertices[],MATCH("ID",Vertices[[#Headers],[Vertex]:[Top Word Pairs in Tweet by Salience]],0),FALSE)</f>
        <v>100</v>
      </c>
    </row>
    <row r="266" spans="1:3" ht="15">
      <c r="A266" s="81" t="s">
        <v>2443</v>
      </c>
      <c r="B266" s="89" t="s">
        <v>298</v>
      </c>
      <c r="C266" s="80">
        <f>VLOOKUP(GroupVertices[[#This Row],[Vertex]],Vertices[],MATCH("ID",Vertices[[#Headers],[Vertex]:[Top Word Pairs in Tweet by Salience]],0),FALSE)</f>
        <v>86</v>
      </c>
    </row>
    <row r="267" spans="1:3" ht="15">
      <c r="A267" s="81" t="s">
        <v>2443</v>
      </c>
      <c r="B267" s="89" t="s">
        <v>493</v>
      </c>
      <c r="C267" s="80">
        <f>VLOOKUP(GroupVertices[[#This Row],[Vertex]],Vertices[],MATCH("ID",Vertices[[#Headers],[Vertex]:[Top Word Pairs in Tweet by Salience]],0),FALSE)</f>
        <v>87</v>
      </c>
    </row>
    <row r="268" spans="1:3" ht="15">
      <c r="A268" s="81" t="s">
        <v>2444</v>
      </c>
      <c r="B268" s="89" t="s">
        <v>253</v>
      </c>
      <c r="C268" s="80">
        <f>VLOOKUP(GroupVertices[[#This Row],[Vertex]],Vertices[],MATCH("ID",Vertices[[#Headers],[Vertex]:[Top Word Pairs in Tweet by Salience]],0),FALSE)</f>
        <v>40</v>
      </c>
    </row>
    <row r="269" spans="1:3" ht="15">
      <c r="A269" s="81" t="s">
        <v>2444</v>
      </c>
      <c r="B269" s="89" t="s">
        <v>492</v>
      </c>
      <c r="C269" s="80">
        <f>VLOOKUP(GroupVertices[[#This Row],[Vertex]],Vertices[],MATCH("ID",Vertices[[#Headers],[Vertex]:[Top Word Pairs in Tweet by Salience]],0),FALSE)</f>
        <v>41</v>
      </c>
    </row>
    <row r="270" spans="1:3" ht="15">
      <c r="A270" s="81" t="s">
        <v>2445</v>
      </c>
      <c r="B270" s="89" t="s">
        <v>232</v>
      </c>
      <c r="C270" s="80">
        <f>VLOOKUP(GroupVertices[[#This Row],[Vertex]],Vertices[],MATCH("ID",Vertices[[#Headers],[Vertex]:[Top Word Pairs in Tweet by Salience]],0),FALSE)</f>
        <v>17</v>
      </c>
    </row>
    <row r="271" spans="1:3" ht="15">
      <c r="A271" s="81" t="s">
        <v>2445</v>
      </c>
      <c r="B271" s="89" t="s">
        <v>491</v>
      </c>
      <c r="C271" s="80">
        <f>VLOOKUP(GroupVertices[[#This Row],[Vertex]],Vertices[],MATCH("ID",Vertices[[#Headers],[Vertex]:[Top Word Pairs in Tweet by Salience]],0),FALSE)</f>
        <v>18</v>
      </c>
    </row>
    <row r="272" spans="1:3" ht="15">
      <c r="A272" s="81" t="s">
        <v>2446</v>
      </c>
      <c r="B272" s="89" t="s">
        <v>227</v>
      </c>
      <c r="C272" s="80">
        <f>VLOOKUP(GroupVertices[[#This Row],[Vertex]],Vertices[],MATCH("ID",Vertices[[#Headers],[Vertex]:[Top Word Pairs in Tweet by Salience]],0),FALSE)</f>
        <v>10</v>
      </c>
    </row>
    <row r="273" spans="1:3" ht="15">
      <c r="A273" s="81" t="s">
        <v>2446</v>
      </c>
      <c r="B273" s="89" t="s">
        <v>489</v>
      </c>
      <c r="C273" s="80">
        <f>VLOOKUP(GroupVertices[[#This Row],[Vertex]],Vertices[],MATCH("ID",Vertices[[#Headers],[Vertex]:[Top Word Pairs in Tweet by Salience]],0),FALSE)</f>
        <v>11</v>
      </c>
    </row>
    <row r="274" spans="1:3" ht="15">
      <c r="A274" s="81" t="s">
        <v>2447</v>
      </c>
      <c r="B274" s="89" t="s">
        <v>226</v>
      </c>
      <c r="C274" s="80">
        <f>VLOOKUP(GroupVertices[[#This Row],[Vertex]],Vertices[],MATCH("ID",Vertices[[#Headers],[Vertex]:[Top Word Pairs in Tweet by Salience]],0),FALSE)</f>
        <v>8</v>
      </c>
    </row>
    <row r="275" spans="1:3" ht="15">
      <c r="A275" s="81" t="s">
        <v>2447</v>
      </c>
      <c r="B275" s="89" t="s">
        <v>488</v>
      </c>
      <c r="C275" s="80">
        <f>VLOOKUP(GroupVertices[[#This Row],[Vertex]],Vertices[],MATCH("ID",Vertices[[#Headers],[Vertex]:[Top Word Pairs in Tweet by Salience]],0),FALSE)</f>
        <v>9</v>
      </c>
    </row>
    <row r="276" spans="1:3" ht="15">
      <c r="A276" s="81" t="s">
        <v>2448</v>
      </c>
      <c r="B276" s="89" t="s">
        <v>485</v>
      </c>
      <c r="C276" s="80">
        <f>VLOOKUP(GroupVertices[[#This Row],[Vertex]],Vertices[],MATCH("ID",Vertices[[#Headers],[Vertex]:[Top Word Pairs in Tweet by Salience]],0),FALSE)</f>
        <v>3</v>
      </c>
    </row>
    <row r="277" spans="1:3" ht="15">
      <c r="A277" s="81" t="s">
        <v>2448</v>
      </c>
      <c r="B277" s="89" t="s">
        <v>500</v>
      </c>
      <c r="C277"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77"/>
    <dataValidation allowBlank="1" showInputMessage="1" showErrorMessage="1" promptTitle="Vertex Name" prompt="Enter the name of a vertex to include in the group." sqref="B2:B277"/>
    <dataValidation allowBlank="1" showInputMessage="1" promptTitle="Vertex ID" prompt="This is the value of the hidden ID cell in the Vertices worksheet.  It gets filled in by the items on the NodeXL, Analysis, Groups menu." sqref="C2:C2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3958</v>
      </c>
      <c r="B2" s="35" t="s">
        <v>182</v>
      </c>
      <c r="D2" s="32">
        <f>MIN(Vertices[Degree])</f>
        <v>0</v>
      </c>
      <c r="E2" s="3">
        <f>COUNTIF(Vertices[Degree],"&gt;= "&amp;D2)-COUNTIF(Vertices[Degree],"&gt;="&amp;D3)</f>
        <v>0</v>
      </c>
      <c r="F2" s="38">
        <f>MIN(Vertices[In-Degree])</f>
        <v>0</v>
      </c>
      <c r="G2" s="39">
        <f>COUNTIF(Vertices[In-Degree],"&gt;= "&amp;F2)-COUNTIF(Vertices[In-Degree],"&gt;="&amp;F3)</f>
        <v>270</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267</v>
      </c>
      <c r="L2" s="38">
        <f>MIN(Vertices[Closeness Centrality])</f>
        <v>0</v>
      </c>
      <c r="M2" s="39">
        <f>COUNTIF(Vertices[Closeness Centrality],"&gt;= "&amp;L2)-COUNTIF(Vertices[Closeness Centrality],"&gt;="&amp;L3)</f>
        <v>80</v>
      </c>
      <c r="N2" s="38">
        <f>MIN(Vertices[Eigenvector Centrality])</f>
        <v>0</v>
      </c>
      <c r="O2" s="39">
        <f>COUNTIF(Vertices[Eigenvector Centrality],"&gt;= "&amp;N2)-COUNTIF(Vertices[Eigenvector Centrality],"&gt;="&amp;N3)</f>
        <v>172</v>
      </c>
      <c r="P2" s="38">
        <f>MIN(Vertices[PageRank])</f>
        <v>0.003151</v>
      </c>
      <c r="Q2" s="39">
        <f>COUNTIF(Vertices[PageRank],"&gt;= "&amp;P2)-COUNTIF(Vertices[PageRank],"&gt;="&amp;P3)</f>
        <v>271</v>
      </c>
      <c r="R2" s="38">
        <f>MIN(Vertices[Clustering Coefficient])</f>
        <v>0</v>
      </c>
      <c r="S2" s="44">
        <f>COUNTIF(Vertices[Clustering Coefficient],"&gt;= "&amp;R2)-COUNTIF(Vertices[Clustering Coefficient],"&gt;="&amp;R3)</f>
        <v>269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v>
      </c>
      <c r="G3" s="41">
        <f>COUNTIF(Vertices[In-Degree],"&gt;= "&amp;F3)-COUNTIF(Vertices[In-Degree],"&gt;="&amp;F4)</f>
        <v>3</v>
      </c>
      <c r="H3" s="40">
        <f aca="true" t="shared" si="3" ref="H3:H35">H2+($H$36-$H$2)/BinDivisor</f>
        <v>0.058823529411764705</v>
      </c>
      <c r="I3" s="41">
        <f>COUNTIF(Vertices[Out-Degree],"&gt;= "&amp;H3)-COUNTIF(Vertices[Out-Degree],"&gt;="&amp;H4)</f>
        <v>0</v>
      </c>
      <c r="J3" s="40">
        <f aca="true" t="shared" si="4" ref="J3:J35">J2+($J$36-$J$2)/BinDivisor</f>
        <v>927.0294117647059</v>
      </c>
      <c r="K3" s="41">
        <f>COUNTIF(Vertices[Betweenness Centrality],"&gt;= "&amp;J3)-COUNTIF(Vertices[Betweenness Centrality],"&gt;="&amp;J4)</f>
        <v>0</v>
      </c>
      <c r="L3" s="40">
        <f aca="true" t="shared" si="5" ref="L3:L35">L2+($L$36-$L$2)/BinDivisor</f>
        <v>0.010652</v>
      </c>
      <c r="M3" s="41">
        <f>COUNTIF(Vertices[Closeness Centrality],"&gt;= "&amp;L3)-COUNTIF(Vertices[Closeness Centrality],"&gt;="&amp;L4)</f>
        <v>2</v>
      </c>
      <c r="N3" s="40">
        <f aca="true" t="shared" si="6" ref="N3:N35">N2+($N$36-$N$2)/BinDivisor</f>
        <v>0.0211595</v>
      </c>
      <c r="O3" s="41">
        <f>COUNTIF(Vertices[Eigenvector Centrality],"&gt;= "&amp;N3)-COUNTIF(Vertices[Eigenvector Centrality],"&gt;="&amp;N4)</f>
        <v>1</v>
      </c>
      <c r="P3" s="40">
        <f aca="true" t="shared" si="7" ref="P3:P35">P2+($P$36-$P$2)/BinDivisor</f>
        <v>0.004479029411764706</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276</v>
      </c>
      <c r="D4" s="33">
        <f t="shared" si="1"/>
        <v>0</v>
      </c>
      <c r="E4" s="3">
        <f>COUNTIF(Vertices[Degree],"&gt;= "&amp;D4)-COUNTIF(Vertices[Degree],"&gt;="&amp;D5)</f>
        <v>0</v>
      </c>
      <c r="F4" s="38">
        <f t="shared" si="2"/>
        <v>6</v>
      </c>
      <c r="G4" s="39">
        <f>COUNTIF(Vertices[In-Degree],"&gt;= "&amp;F4)-COUNTIF(Vertices[In-Degree],"&gt;="&amp;F5)</f>
        <v>0</v>
      </c>
      <c r="H4" s="38">
        <f t="shared" si="3"/>
        <v>0.11764705882352941</v>
      </c>
      <c r="I4" s="39">
        <f>COUNTIF(Vertices[Out-Degree],"&gt;= "&amp;H4)-COUNTIF(Vertices[Out-Degree],"&gt;="&amp;H5)</f>
        <v>0</v>
      </c>
      <c r="J4" s="38">
        <f t="shared" si="4"/>
        <v>1854.0588235294117</v>
      </c>
      <c r="K4" s="39">
        <f>COUNTIF(Vertices[Betweenness Centrality],"&gt;= "&amp;J4)-COUNTIF(Vertices[Betweenness Centrality],"&gt;="&amp;J5)</f>
        <v>3</v>
      </c>
      <c r="L4" s="38">
        <f t="shared" si="5"/>
        <v>0.021304</v>
      </c>
      <c r="M4" s="39">
        <f>COUNTIF(Vertices[Closeness Centrality],"&gt;= "&amp;L4)-COUNTIF(Vertices[Closeness Centrality],"&gt;="&amp;L5)</f>
        <v>0</v>
      </c>
      <c r="N4" s="38">
        <f t="shared" si="6"/>
        <v>0.042319</v>
      </c>
      <c r="O4" s="39">
        <f>COUNTIF(Vertices[Eigenvector Centrality],"&gt;= "&amp;N4)-COUNTIF(Vertices[Eigenvector Centrality],"&gt;="&amp;N5)</f>
        <v>0</v>
      </c>
      <c r="P4" s="38">
        <f t="shared" si="7"/>
        <v>0.005807058823529412</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9</v>
      </c>
      <c r="G5" s="41">
        <f>COUNTIF(Vertices[In-Degree],"&gt;= "&amp;F5)-COUNTIF(Vertices[In-Degree],"&gt;="&amp;F6)</f>
        <v>0</v>
      </c>
      <c r="H5" s="40">
        <f t="shared" si="3"/>
        <v>0.1764705882352941</v>
      </c>
      <c r="I5" s="41">
        <f>COUNTIF(Vertices[Out-Degree],"&gt;= "&amp;H5)-COUNTIF(Vertices[Out-Degree],"&gt;="&amp;H6)</f>
        <v>0</v>
      </c>
      <c r="J5" s="40">
        <f t="shared" si="4"/>
        <v>2781.0882352941176</v>
      </c>
      <c r="K5" s="41">
        <f>COUNTIF(Vertices[Betweenness Centrality],"&gt;= "&amp;J5)-COUNTIF(Vertices[Betweenness Centrality],"&gt;="&amp;J6)</f>
        <v>0</v>
      </c>
      <c r="L5" s="40">
        <f t="shared" si="5"/>
        <v>0.031956</v>
      </c>
      <c r="M5" s="41">
        <f>COUNTIF(Vertices[Closeness Centrality],"&gt;= "&amp;L5)-COUNTIF(Vertices[Closeness Centrality],"&gt;="&amp;L6)</f>
        <v>0</v>
      </c>
      <c r="N5" s="40">
        <f t="shared" si="6"/>
        <v>0.06347850000000001</v>
      </c>
      <c r="O5" s="41">
        <f>COUNTIF(Vertices[Eigenvector Centrality],"&gt;= "&amp;N5)-COUNTIF(Vertices[Eigenvector Centrality],"&gt;="&amp;N6)</f>
        <v>101</v>
      </c>
      <c r="P5" s="40">
        <f t="shared" si="7"/>
        <v>0.007135088235294117</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271</v>
      </c>
      <c r="D6" s="33">
        <f t="shared" si="1"/>
        <v>0</v>
      </c>
      <c r="E6" s="3">
        <f>COUNTIF(Vertices[Degree],"&gt;= "&amp;D6)-COUNTIF(Vertices[Degree],"&gt;="&amp;D7)</f>
        <v>0</v>
      </c>
      <c r="F6" s="38">
        <f t="shared" si="2"/>
        <v>12</v>
      </c>
      <c r="G6" s="39">
        <f>COUNTIF(Vertices[In-Degree],"&gt;= "&amp;F6)-COUNTIF(Vertices[In-Degree],"&gt;="&amp;F7)</f>
        <v>0</v>
      </c>
      <c r="H6" s="38">
        <f t="shared" si="3"/>
        <v>0.23529411764705882</v>
      </c>
      <c r="I6" s="39">
        <f>COUNTIF(Vertices[Out-Degree],"&gt;= "&amp;H6)-COUNTIF(Vertices[Out-Degree],"&gt;="&amp;H7)</f>
        <v>0</v>
      </c>
      <c r="J6" s="38">
        <f t="shared" si="4"/>
        <v>3708.1176470588234</v>
      </c>
      <c r="K6" s="39">
        <f>COUNTIF(Vertices[Betweenness Centrality],"&gt;= "&amp;J6)-COUNTIF(Vertices[Betweenness Centrality],"&gt;="&amp;J7)</f>
        <v>0</v>
      </c>
      <c r="L6" s="38">
        <f t="shared" si="5"/>
        <v>0.042608</v>
      </c>
      <c r="M6" s="39">
        <f>COUNTIF(Vertices[Closeness Centrality],"&gt;= "&amp;L6)-COUNTIF(Vertices[Closeness Centrality],"&gt;="&amp;L7)</f>
        <v>0</v>
      </c>
      <c r="N6" s="38">
        <f t="shared" si="6"/>
        <v>0.084638</v>
      </c>
      <c r="O6" s="39">
        <f>COUNTIF(Vertices[Eigenvector Centrality],"&gt;= "&amp;N6)-COUNTIF(Vertices[Eigenvector Centrality],"&gt;="&amp;N7)</f>
        <v>1</v>
      </c>
      <c r="P6" s="38">
        <f t="shared" si="7"/>
        <v>0.008463117647058822</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v>
      </c>
      <c r="D7" s="33">
        <f t="shared" si="1"/>
        <v>0</v>
      </c>
      <c r="E7" s="3">
        <f>COUNTIF(Vertices[Degree],"&gt;= "&amp;D7)-COUNTIF(Vertices[Degree],"&gt;="&amp;D8)</f>
        <v>0</v>
      </c>
      <c r="F7" s="40">
        <f t="shared" si="2"/>
        <v>15</v>
      </c>
      <c r="G7" s="41">
        <f>COUNTIF(Vertices[In-Degree],"&gt;= "&amp;F7)-COUNTIF(Vertices[In-Degree],"&gt;="&amp;F8)</f>
        <v>0</v>
      </c>
      <c r="H7" s="40">
        <f t="shared" si="3"/>
        <v>0.29411764705882354</v>
      </c>
      <c r="I7" s="41">
        <f>COUNTIF(Vertices[Out-Degree],"&gt;= "&amp;H7)-COUNTIF(Vertices[Out-Degree],"&gt;="&amp;H8)</f>
        <v>0</v>
      </c>
      <c r="J7" s="40">
        <f t="shared" si="4"/>
        <v>4635.14705882353</v>
      </c>
      <c r="K7" s="41">
        <f>COUNTIF(Vertices[Betweenness Centrality],"&gt;= "&amp;J7)-COUNTIF(Vertices[Betweenness Centrality],"&gt;="&amp;J8)</f>
        <v>3</v>
      </c>
      <c r="L7" s="40">
        <f t="shared" si="5"/>
        <v>0.05326</v>
      </c>
      <c r="M7" s="41">
        <f>COUNTIF(Vertices[Closeness Centrality],"&gt;= "&amp;L7)-COUNTIF(Vertices[Closeness Centrality],"&gt;="&amp;L8)</f>
        <v>0</v>
      </c>
      <c r="N7" s="40">
        <f t="shared" si="6"/>
        <v>0.1057975</v>
      </c>
      <c r="O7" s="41">
        <f>COUNTIF(Vertices[Eigenvector Centrality],"&gt;= "&amp;N7)-COUNTIF(Vertices[Eigenvector Centrality],"&gt;="&amp;N8)</f>
        <v>0</v>
      </c>
      <c r="P7" s="40">
        <f t="shared" si="7"/>
        <v>0.009791147058823528</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278</v>
      </c>
      <c r="D8" s="33">
        <f t="shared" si="1"/>
        <v>0</v>
      </c>
      <c r="E8" s="3">
        <f>COUNTIF(Vertices[Degree],"&gt;= "&amp;D8)-COUNTIF(Vertices[Degree],"&gt;="&amp;D9)</f>
        <v>0</v>
      </c>
      <c r="F8" s="38">
        <f t="shared" si="2"/>
        <v>18</v>
      </c>
      <c r="G8" s="39">
        <f>COUNTIF(Vertices[In-Degree],"&gt;= "&amp;F8)-COUNTIF(Vertices[In-Degree],"&gt;="&amp;F9)</f>
        <v>0</v>
      </c>
      <c r="H8" s="38">
        <f t="shared" si="3"/>
        <v>0.35294117647058826</v>
      </c>
      <c r="I8" s="39">
        <f>COUNTIF(Vertices[Out-Degree],"&gt;= "&amp;H8)-COUNTIF(Vertices[Out-Degree],"&gt;="&amp;H9)</f>
        <v>0</v>
      </c>
      <c r="J8" s="38">
        <f t="shared" si="4"/>
        <v>5562.176470588236</v>
      </c>
      <c r="K8" s="39">
        <f>COUNTIF(Vertices[Betweenness Centrality],"&gt;= "&amp;J8)-COUNTIF(Vertices[Betweenness Centrality],"&gt;="&amp;J9)</f>
        <v>0</v>
      </c>
      <c r="L8" s="38">
        <f t="shared" si="5"/>
        <v>0.063912</v>
      </c>
      <c r="M8" s="39">
        <f>COUNTIF(Vertices[Closeness Centrality],"&gt;= "&amp;L8)-COUNTIF(Vertices[Closeness Centrality],"&gt;="&amp;L9)</f>
        <v>0</v>
      </c>
      <c r="N8" s="38">
        <f t="shared" si="6"/>
        <v>0.12695700000000001</v>
      </c>
      <c r="O8" s="39">
        <f>COUNTIF(Vertices[Eigenvector Centrality],"&gt;= "&amp;N8)-COUNTIF(Vertices[Eigenvector Centrality],"&gt;="&amp;N9)</f>
        <v>0</v>
      </c>
      <c r="P8" s="38">
        <f t="shared" si="7"/>
        <v>0.011119176470588233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21</v>
      </c>
      <c r="G9" s="41">
        <f>COUNTIF(Vertices[In-Degree],"&gt;= "&amp;F9)-COUNTIF(Vertices[In-Degree],"&gt;="&amp;F10)</f>
        <v>0</v>
      </c>
      <c r="H9" s="40">
        <f t="shared" si="3"/>
        <v>0.411764705882353</v>
      </c>
      <c r="I9" s="41">
        <f>COUNTIF(Vertices[Out-Degree],"&gt;= "&amp;H9)-COUNTIF(Vertices[Out-Degree],"&gt;="&amp;H10)</f>
        <v>0</v>
      </c>
      <c r="J9" s="40">
        <f t="shared" si="4"/>
        <v>6489.205882352942</v>
      </c>
      <c r="K9" s="41">
        <f>COUNTIF(Vertices[Betweenness Centrality],"&gt;= "&amp;J9)-COUNTIF(Vertices[Betweenness Centrality],"&gt;="&amp;J10)</f>
        <v>0</v>
      </c>
      <c r="L9" s="40">
        <f t="shared" si="5"/>
        <v>0.07456399999999999</v>
      </c>
      <c r="M9" s="41">
        <f>COUNTIF(Vertices[Closeness Centrality],"&gt;= "&amp;L9)-COUNTIF(Vertices[Closeness Centrality],"&gt;="&amp;L10)</f>
        <v>0</v>
      </c>
      <c r="N9" s="40">
        <f t="shared" si="6"/>
        <v>0.1481165</v>
      </c>
      <c r="O9" s="41">
        <f>COUNTIF(Vertices[Eigenvector Centrality],"&gt;= "&amp;N9)-COUNTIF(Vertices[Eigenvector Centrality],"&gt;="&amp;N10)</f>
        <v>0</v>
      </c>
      <c r="P9" s="40">
        <f t="shared" si="7"/>
        <v>0.012447205882352938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3959</v>
      </c>
      <c r="B10" s="35">
        <v>5</v>
      </c>
      <c r="D10" s="33">
        <f t="shared" si="1"/>
        <v>0</v>
      </c>
      <c r="E10" s="3">
        <f>COUNTIF(Vertices[Degree],"&gt;= "&amp;D10)-COUNTIF(Vertices[Degree],"&gt;="&amp;D11)</f>
        <v>0</v>
      </c>
      <c r="F10" s="38">
        <f t="shared" si="2"/>
        <v>24</v>
      </c>
      <c r="G10" s="39">
        <f>COUNTIF(Vertices[In-Degree],"&gt;= "&amp;F10)-COUNTIF(Vertices[In-Degree],"&gt;="&amp;F11)</f>
        <v>0</v>
      </c>
      <c r="H10" s="38">
        <f t="shared" si="3"/>
        <v>0.4705882352941177</v>
      </c>
      <c r="I10" s="39">
        <f>COUNTIF(Vertices[Out-Degree],"&gt;= "&amp;H10)-COUNTIF(Vertices[Out-Degree],"&gt;="&amp;H11)</f>
        <v>0</v>
      </c>
      <c r="J10" s="38">
        <f t="shared" si="4"/>
        <v>7416.235294117649</v>
      </c>
      <c r="K10" s="39">
        <f>COUNTIF(Vertices[Betweenness Centrality],"&gt;= "&amp;J10)-COUNTIF(Vertices[Betweenness Centrality],"&gt;="&amp;J11)</f>
        <v>1</v>
      </c>
      <c r="L10" s="38">
        <f t="shared" si="5"/>
        <v>0.08521599999999999</v>
      </c>
      <c r="M10" s="39">
        <f>COUNTIF(Vertices[Closeness Centrality],"&gt;= "&amp;L10)-COUNTIF(Vertices[Closeness Centrality],"&gt;="&amp;L11)</f>
        <v>0</v>
      </c>
      <c r="N10" s="38">
        <f t="shared" si="6"/>
        <v>0.169276</v>
      </c>
      <c r="O10" s="39">
        <f>COUNTIF(Vertices[Eigenvector Centrality],"&gt;= "&amp;N10)-COUNTIF(Vertices[Eigenvector Centrality],"&gt;="&amp;N11)</f>
        <v>0</v>
      </c>
      <c r="P10" s="38">
        <f t="shared" si="7"/>
        <v>0.013775235294117644</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27</v>
      </c>
      <c r="G11" s="41">
        <f>COUNTIF(Vertices[In-Degree],"&gt;= "&amp;F11)-COUNTIF(Vertices[In-Degree],"&gt;="&amp;F12)</f>
        <v>1</v>
      </c>
      <c r="H11" s="40">
        <f t="shared" si="3"/>
        <v>0.5294117647058824</v>
      </c>
      <c r="I11" s="41">
        <f>COUNTIF(Vertices[Out-Degree],"&gt;= "&amp;H11)-COUNTIF(Vertices[Out-Degree],"&gt;="&amp;H12)</f>
        <v>0</v>
      </c>
      <c r="J11" s="40">
        <f t="shared" si="4"/>
        <v>8343.264705882355</v>
      </c>
      <c r="K11" s="41">
        <f>COUNTIF(Vertices[Betweenness Centrality],"&gt;= "&amp;J11)-COUNTIF(Vertices[Betweenness Centrality],"&gt;="&amp;J12)</f>
        <v>0</v>
      </c>
      <c r="L11" s="40">
        <f t="shared" si="5"/>
        <v>0.09586799999999998</v>
      </c>
      <c r="M11" s="41">
        <f>COUNTIF(Vertices[Closeness Centrality],"&gt;= "&amp;L11)-COUNTIF(Vertices[Closeness Centrality],"&gt;="&amp;L12)</f>
        <v>0</v>
      </c>
      <c r="N11" s="40">
        <f t="shared" si="6"/>
        <v>0.1904355</v>
      </c>
      <c r="O11" s="41">
        <f>COUNTIF(Vertices[Eigenvector Centrality],"&gt;= "&amp;N11)-COUNTIF(Vertices[Eigenvector Centrality],"&gt;="&amp;N12)</f>
        <v>0</v>
      </c>
      <c r="P11" s="40">
        <f t="shared" si="7"/>
        <v>0.015103264705882349</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504</v>
      </c>
      <c r="B12" s="35">
        <v>195</v>
      </c>
      <c r="D12" s="33">
        <f t="shared" si="1"/>
        <v>0</v>
      </c>
      <c r="E12" s="3">
        <f>COUNTIF(Vertices[Degree],"&gt;= "&amp;D12)-COUNTIF(Vertices[Degree],"&gt;="&amp;D13)</f>
        <v>0</v>
      </c>
      <c r="F12" s="38">
        <f t="shared" si="2"/>
        <v>30</v>
      </c>
      <c r="G12" s="39">
        <f>COUNTIF(Vertices[In-Degree],"&gt;= "&amp;F12)-COUNTIF(Vertices[In-Degree],"&gt;="&amp;F13)</f>
        <v>0</v>
      </c>
      <c r="H12" s="38">
        <f t="shared" si="3"/>
        <v>0.5882352941176471</v>
      </c>
      <c r="I12" s="39">
        <f>COUNTIF(Vertices[Out-Degree],"&gt;= "&amp;H12)-COUNTIF(Vertices[Out-Degree],"&gt;="&amp;H13)</f>
        <v>0</v>
      </c>
      <c r="J12" s="38">
        <f t="shared" si="4"/>
        <v>9270.294117647061</v>
      </c>
      <c r="K12" s="39">
        <f>COUNTIF(Vertices[Betweenness Centrality],"&gt;= "&amp;J12)-COUNTIF(Vertices[Betweenness Centrality],"&gt;="&amp;J13)</f>
        <v>0</v>
      </c>
      <c r="L12" s="38">
        <f t="shared" si="5"/>
        <v>0.10651999999999998</v>
      </c>
      <c r="M12" s="39">
        <f>COUNTIF(Vertices[Closeness Centrality],"&gt;= "&amp;L12)-COUNTIF(Vertices[Closeness Centrality],"&gt;="&amp;L13)</f>
        <v>0</v>
      </c>
      <c r="N12" s="38">
        <f t="shared" si="6"/>
        <v>0.211595</v>
      </c>
      <c r="O12" s="39">
        <f>COUNTIF(Vertices[Eigenvector Centrality],"&gt;= "&amp;N12)-COUNTIF(Vertices[Eigenvector Centrality],"&gt;="&amp;N13)</f>
        <v>0</v>
      </c>
      <c r="P12" s="38">
        <f t="shared" si="7"/>
        <v>0.016431294117647054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502</v>
      </c>
      <c r="B13" s="35">
        <v>22</v>
      </c>
      <c r="D13" s="33">
        <f t="shared" si="1"/>
        <v>0</v>
      </c>
      <c r="E13" s="3">
        <f>COUNTIF(Vertices[Degree],"&gt;= "&amp;D13)-COUNTIF(Vertices[Degree],"&gt;="&amp;D14)</f>
        <v>0</v>
      </c>
      <c r="F13" s="40">
        <f t="shared" si="2"/>
        <v>33</v>
      </c>
      <c r="G13" s="41">
        <f>COUNTIF(Vertices[In-Degree],"&gt;= "&amp;F13)-COUNTIF(Vertices[In-Degree],"&gt;="&amp;F14)</f>
        <v>0</v>
      </c>
      <c r="H13" s="40">
        <f t="shared" si="3"/>
        <v>0.6470588235294118</v>
      </c>
      <c r="I13" s="41">
        <f>COUNTIF(Vertices[Out-Degree],"&gt;= "&amp;H13)-COUNTIF(Vertices[Out-Degree],"&gt;="&amp;H14)</f>
        <v>0</v>
      </c>
      <c r="J13" s="40">
        <f t="shared" si="4"/>
        <v>10197.323529411768</v>
      </c>
      <c r="K13" s="41">
        <f>COUNTIF(Vertices[Betweenness Centrality],"&gt;= "&amp;J13)-COUNTIF(Vertices[Betweenness Centrality],"&gt;="&amp;J14)</f>
        <v>0</v>
      </c>
      <c r="L13" s="40">
        <f t="shared" si="5"/>
        <v>0.11717199999999997</v>
      </c>
      <c r="M13" s="41">
        <f>COUNTIF(Vertices[Closeness Centrality],"&gt;= "&amp;L13)-COUNTIF(Vertices[Closeness Centrality],"&gt;="&amp;L14)</f>
        <v>0</v>
      </c>
      <c r="N13" s="40">
        <f t="shared" si="6"/>
        <v>0.2327545</v>
      </c>
      <c r="O13" s="41">
        <f>COUNTIF(Vertices[Eigenvector Centrality],"&gt;= "&amp;N13)-COUNTIF(Vertices[Eigenvector Centrality],"&gt;="&amp;N14)</f>
        <v>0</v>
      </c>
      <c r="P13" s="40">
        <f t="shared" si="7"/>
        <v>0.01775932352941176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501</v>
      </c>
      <c r="B14" s="35">
        <v>7</v>
      </c>
      <c r="D14" s="33">
        <f t="shared" si="1"/>
        <v>0</v>
      </c>
      <c r="E14" s="3">
        <f>COUNTIF(Vertices[Degree],"&gt;= "&amp;D14)-COUNTIF(Vertices[Degree],"&gt;="&amp;D15)</f>
        <v>0</v>
      </c>
      <c r="F14" s="38">
        <f t="shared" si="2"/>
        <v>36</v>
      </c>
      <c r="G14" s="39">
        <f>COUNTIF(Vertices[In-Degree],"&gt;= "&amp;F14)-COUNTIF(Vertices[In-Degree],"&gt;="&amp;F15)</f>
        <v>0</v>
      </c>
      <c r="H14" s="38">
        <f t="shared" si="3"/>
        <v>0.7058823529411765</v>
      </c>
      <c r="I14" s="39">
        <f>COUNTIF(Vertices[Out-Degree],"&gt;= "&amp;H14)-COUNTIF(Vertices[Out-Degree],"&gt;="&amp;H15)</f>
        <v>0</v>
      </c>
      <c r="J14" s="38">
        <f t="shared" si="4"/>
        <v>11124.352941176474</v>
      </c>
      <c r="K14" s="39">
        <f>COUNTIF(Vertices[Betweenness Centrality],"&gt;= "&amp;J14)-COUNTIF(Vertices[Betweenness Centrality],"&gt;="&amp;J15)</f>
        <v>0</v>
      </c>
      <c r="L14" s="38">
        <f t="shared" si="5"/>
        <v>0.12782399999999997</v>
      </c>
      <c r="M14" s="39">
        <f>COUNTIF(Vertices[Closeness Centrality],"&gt;= "&amp;L14)-COUNTIF(Vertices[Closeness Centrality],"&gt;="&amp;L15)</f>
        <v>0</v>
      </c>
      <c r="N14" s="38">
        <f t="shared" si="6"/>
        <v>0.25391400000000003</v>
      </c>
      <c r="O14" s="39">
        <f>COUNTIF(Vertices[Eigenvector Centrality],"&gt;= "&amp;N14)-COUNTIF(Vertices[Eigenvector Centrality],"&gt;="&amp;N15)</f>
        <v>0</v>
      </c>
      <c r="P14" s="38">
        <f t="shared" si="7"/>
        <v>0.01908735294117647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187</v>
      </c>
      <c r="B15" s="35">
        <v>49</v>
      </c>
      <c r="D15" s="33">
        <f t="shared" si="1"/>
        <v>0</v>
      </c>
      <c r="E15" s="3">
        <f>COUNTIF(Vertices[Degree],"&gt;= "&amp;D15)-COUNTIF(Vertices[Degree],"&gt;="&amp;D16)</f>
        <v>0</v>
      </c>
      <c r="F15" s="40">
        <f t="shared" si="2"/>
        <v>39</v>
      </c>
      <c r="G15" s="41">
        <f>COUNTIF(Vertices[In-Degree],"&gt;= "&amp;F15)-COUNTIF(Vertices[In-Degree],"&gt;="&amp;F16)</f>
        <v>0</v>
      </c>
      <c r="H15" s="40">
        <f t="shared" si="3"/>
        <v>0.7647058823529412</v>
      </c>
      <c r="I15" s="41">
        <f>COUNTIF(Vertices[Out-Degree],"&gt;= "&amp;H15)-COUNTIF(Vertices[Out-Degree],"&gt;="&amp;H16)</f>
        <v>0</v>
      </c>
      <c r="J15" s="40">
        <f t="shared" si="4"/>
        <v>12051.38235294118</v>
      </c>
      <c r="K15" s="41">
        <f>COUNTIF(Vertices[Betweenness Centrality],"&gt;= "&amp;J15)-COUNTIF(Vertices[Betweenness Centrality],"&gt;="&amp;J16)</f>
        <v>0</v>
      </c>
      <c r="L15" s="40">
        <f t="shared" si="5"/>
        <v>0.13847599999999996</v>
      </c>
      <c r="M15" s="41">
        <f>COUNTIF(Vertices[Closeness Centrality],"&gt;= "&amp;L15)-COUNTIF(Vertices[Closeness Centrality],"&gt;="&amp;L16)</f>
        <v>0</v>
      </c>
      <c r="N15" s="40">
        <f t="shared" si="6"/>
        <v>0.2750735</v>
      </c>
      <c r="O15" s="41">
        <f>COUNTIF(Vertices[Eigenvector Centrality],"&gt;= "&amp;N15)-COUNTIF(Vertices[Eigenvector Centrality],"&gt;="&amp;N16)</f>
        <v>0</v>
      </c>
      <c r="P15" s="40">
        <f t="shared" si="7"/>
        <v>0.020415382352941176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503</v>
      </c>
      <c r="B16" s="35">
        <v>5</v>
      </c>
      <c r="D16" s="33">
        <f t="shared" si="1"/>
        <v>0</v>
      </c>
      <c r="E16" s="3">
        <f>COUNTIF(Vertices[Degree],"&gt;= "&amp;D16)-COUNTIF(Vertices[Degree],"&gt;="&amp;D17)</f>
        <v>0</v>
      </c>
      <c r="F16" s="38">
        <f t="shared" si="2"/>
        <v>42</v>
      </c>
      <c r="G16" s="39">
        <f>COUNTIF(Vertices[In-Degree],"&gt;= "&amp;F16)-COUNTIF(Vertices[In-Degree],"&gt;="&amp;F17)</f>
        <v>0</v>
      </c>
      <c r="H16" s="38">
        <f t="shared" si="3"/>
        <v>0.823529411764706</v>
      </c>
      <c r="I16" s="39">
        <f>COUNTIF(Vertices[Out-Degree],"&gt;= "&amp;H16)-COUNTIF(Vertices[Out-Degree],"&gt;="&amp;H17)</f>
        <v>0</v>
      </c>
      <c r="J16" s="38">
        <f t="shared" si="4"/>
        <v>12978.411764705887</v>
      </c>
      <c r="K16" s="39">
        <f>COUNTIF(Vertices[Betweenness Centrality],"&gt;= "&amp;J16)-COUNTIF(Vertices[Betweenness Centrality],"&gt;="&amp;J17)</f>
        <v>0</v>
      </c>
      <c r="L16" s="38">
        <f t="shared" si="5"/>
        <v>0.14912799999999996</v>
      </c>
      <c r="M16" s="39">
        <f>COUNTIF(Vertices[Closeness Centrality],"&gt;= "&amp;L16)-COUNTIF(Vertices[Closeness Centrality],"&gt;="&amp;L17)</f>
        <v>23</v>
      </c>
      <c r="N16" s="38">
        <f t="shared" si="6"/>
        <v>0.296233</v>
      </c>
      <c r="O16" s="39">
        <f>COUNTIF(Vertices[Eigenvector Centrality],"&gt;= "&amp;N16)-COUNTIF(Vertices[Eigenvector Centrality],"&gt;="&amp;N17)</f>
        <v>0</v>
      </c>
      <c r="P16" s="38">
        <f t="shared" si="7"/>
        <v>0.021743411764705883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45</v>
      </c>
      <c r="G17" s="41">
        <f>COUNTIF(Vertices[In-Degree],"&gt;= "&amp;F17)-COUNTIF(Vertices[In-Degree],"&gt;="&amp;F18)</f>
        <v>0</v>
      </c>
      <c r="H17" s="40">
        <f t="shared" si="3"/>
        <v>0.8823529411764707</v>
      </c>
      <c r="I17" s="41">
        <f>COUNTIF(Vertices[Out-Degree],"&gt;= "&amp;H17)-COUNTIF(Vertices[Out-Degree],"&gt;="&amp;H18)</f>
        <v>0</v>
      </c>
      <c r="J17" s="40">
        <f t="shared" si="4"/>
        <v>13905.441176470593</v>
      </c>
      <c r="K17" s="41">
        <f>COUNTIF(Vertices[Betweenness Centrality],"&gt;= "&amp;J17)-COUNTIF(Vertices[Betweenness Centrality],"&gt;="&amp;J18)</f>
        <v>0</v>
      </c>
      <c r="L17" s="40">
        <f t="shared" si="5"/>
        <v>0.15977999999999995</v>
      </c>
      <c r="M17" s="41">
        <f>COUNTIF(Vertices[Closeness Centrality],"&gt;= "&amp;L17)-COUNTIF(Vertices[Closeness Centrality],"&gt;="&amp;L18)</f>
        <v>0</v>
      </c>
      <c r="N17" s="40">
        <f t="shared" si="6"/>
        <v>0.3173925</v>
      </c>
      <c r="O17" s="41">
        <f>COUNTIF(Vertices[Eigenvector Centrality],"&gt;= "&amp;N17)-COUNTIF(Vertices[Eigenvector Centrality],"&gt;="&amp;N18)</f>
        <v>0</v>
      </c>
      <c r="P17" s="40">
        <f t="shared" si="7"/>
        <v>0.02307144117647059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48</v>
      </c>
      <c r="G18" s="39">
        <f>COUNTIF(Vertices[In-Degree],"&gt;= "&amp;F18)-COUNTIF(Vertices[In-Degree],"&gt;="&amp;F19)</f>
        <v>0</v>
      </c>
      <c r="H18" s="38">
        <f t="shared" si="3"/>
        <v>0.9411764705882354</v>
      </c>
      <c r="I18" s="39">
        <f>COUNTIF(Vertices[Out-Degree],"&gt;= "&amp;H18)-COUNTIF(Vertices[Out-Degree],"&gt;="&amp;H19)</f>
        <v>0</v>
      </c>
      <c r="J18" s="38">
        <f t="shared" si="4"/>
        <v>14832.4705882353</v>
      </c>
      <c r="K18" s="39">
        <f>COUNTIF(Vertices[Betweenness Centrality],"&gt;= "&amp;J18)-COUNTIF(Vertices[Betweenness Centrality],"&gt;="&amp;J19)</f>
        <v>0</v>
      </c>
      <c r="L18" s="38">
        <f t="shared" si="5"/>
        <v>0.17043199999999994</v>
      </c>
      <c r="M18" s="39">
        <f>COUNTIF(Vertices[Closeness Centrality],"&gt;= "&amp;L18)-COUNTIF(Vertices[Closeness Centrality],"&gt;="&amp;L19)</f>
        <v>1</v>
      </c>
      <c r="N18" s="38">
        <f t="shared" si="6"/>
        <v>0.338552</v>
      </c>
      <c r="O18" s="39">
        <f>COUNTIF(Vertices[Eigenvector Centrality],"&gt;= "&amp;N18)-COUNTIF(Vertices[Eigenvector Centrality],"&gt;="&amp;N19)</f>
        <v>0</v>
      </c>
      <c r="P18" s="38">
        <f t="shared" si="7"/>
        <v>0.024399470588235297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51</v>
      </c>
      <c r="G19" s="41">
        <f>COUNTIF(Vertices[In-Degree],"&gt;= "&amp;F19)-COUNTIF(Vertices[In-Degree],"&gt;="&amp;F20)</f>
        <v>0</v>
      </c>
      <c r="H19" s="40">
        <f t="shared" si="3"/>
        <v>1</v>
      </c>
      <c r="I19" s="41">
        <f>COUNTIF(Vertices[Out-Degree],"&gt;= "&amp;H19)-COUNTIF(Vertices[Out-Degree],"&gt;="&amp;H20)</f>
        <v>248</v>
      </c>
      <c r="J19" s="40">
        <f t="shared" si="4"/>
        <v>15759.500000000005</v>
      </c>
      <c r="K19" s="41">
        <f>COUNTIF(Vertices[Betweenness Centrality],"&gt;= "&amp;J19)-COUNTIF(Vertices[Betweenness Centrality],"&gt;="&amp;J20)</f>
        <v>0</v>
      </c>
      <c r="L19" s="40">
        <f t="shared" si="5"/>
        <v>0.18108399999999994</v>
      </c>
      <c r="M19" s="41">
        <f>COUNTIF(Vertices[Closeness Centrality],"&gt;= "&amp;L19)-COUNTIF(Vertices[Closeness Centrality],"&gt;="&amp;L20)</f>
        <v>0</v>
      </c>
      <c r="N19" s="40">
        <f t="shared" si="6"/>
        <v>0.3597115</v>
      </c>
      <c r="O19" s="41">
        <f>COUNTIF(Vertices[Eigenvector Centrality],"&gt;= "&amp;N19)-COUNTIF(Vertices[Eigenvector Centrality],"&gt;="&amp;N20)</f>
        <v>0</v>
      </c>
      <c r="P19" s="40">
        <f t="shared" si="7"/>
        <v>0.025727500000000004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54</v>
      </c>
      <c r="G20" s="39">
        <f>COUNTIF(Vertices[In-Degree],"&gt;= "&amp;F20)-COUNTIF(Vertices[In-Degree],"&gt;="&amp;F21)</f>
        <v>0</v>
      </c>
      <c r="H20" s="38">
        <f t="shared" si="3"/>
        <v>1.0588235294117647</v>
      </c>
      <c r="I20" s="39">
        <f>COUNTIF(Vertices[Out-Degree],"&gt;= "&amp;H20)-COUNTIF(Vertices[Out-Degree],"&gt;="&amp;H21)</f>
        <v>0</v>
      </c>
      <c r="J20" s="38">
        <f t="shared" si="4"/>
        <v>16686.52941176471</v>
      </c>
      <c r="K20" s="39">
        <f>COUNTIF(Vertices[Betweenness Centrality],"&gt;= "&amp;J20)-COUNTIF(Vertices[Betweenness Centrality],"&gt;="&amp;J21)</f>
        <v>0</v>
      </c>
      <c r="L20" s="38">
        <f t="shared" si="5"/>
        <v>0.19173599999999993</v>
      </c>
      <c r="M20" s="39">
        <f>COUNTIF(Vertices[Closeness Centrality],"&gt;= "&amp;L20)-COUNTIF(Vertices[Closeness Centrality],"&gt;="&amp;L21)</f>
        <v>66</v>
      </c>
      <c r="N20" s="38">
        <f t="shared" si="6"/>
        <v>0.380871</v>
      </c>
      <c r="O20" s="39">
        <f>COUNTIF(Vertices[Eigenvector Centrality],"&gt;= "&amp;N20)-COUNTIF(Vertices[Eigenvector Centrality],"&gt;="&amp;N21)</f>
        <v>0</v>
      </c>
      <c r="P20" s="38">
        <f t="shared" si="7"/>
        <v>0.02705552941176471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57</v>
      </c>
      <c r="G21" s="41">
        <f>COUNTIF(Vertices[In-Degree],"&gt;= "&amp;F21)-COUNTIF(Vertices[In-Degree],"&gt;="&amp;F22)</f>
        <v>0</v>
      </c>
      <c r="H21" s="40">
        <f t="shared" si="3"/>
        <v>1.1176470588235294</v>
      </c>
      <c r="I21" s="41">
        <f>COUNTIF(Vertices[Out-Degree],"&gt;= "&amp;H21)-COUNTIF(Vertices[Out-Degree],"&gt;="&amp;H22)</f>
        <v>0</v>
      </c>
      <c r="J21" s="40">
        <f t="shared" si="4"/>
        <v>17613.558823529416</v>
      </c>
      <c r="K21" s="41">
        <f>COUNTIF(Vertices[Betweenness Centrality],"&gt;= "&amp;J21)-COUNTIF(Vertices[Betweenness Centrality],"&gt;="&amp;J22)</f>
        <v>0</v>
      </c>
      <c r="L21" s="40">
        <f t="shared" si="5"/>
        <v>0.20238799999999993</v>
      </c>
      <c r="M21" s="41">
        <f>COUNTIF(Vertices[Closeness Centrality],"&gt;= "&amp;L21)-COUNTIF(Vertices[Closeness Centrality],"&gt;="&amp;L22)</f>
        <v>1</v>
      </c>
      <c r="N21" s="40">
        <f t="shared" si="6"/>
        <v>0.4020305</v>
      </c>
      <c r="O21" s="41">
        <f>COUNTIF(Vertices[Eigenvector Centrality],"&gt;= "&amp;N21)-COUNTIF(Vertices[Eigenvector Centrality],"&gt;="&amp;N22)</f>
        <v>0</v>
      </c>
      <c r="P21" s="40">
        <f t="shared" si="7"/>
        <v>0.028383558823529418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60</v>
      </c>
      <c r="G22" s="39">
        <f>COUNTIF(Vertices[In-Degree],"&gt;= "&amp;F22)-COUNTIF(Vertices[In-Degree],"&gt;="&amp;F23)</f>
        <v>0</v>
      </c>
      <c r="H22" s="38">
        <f t="shared" si="3"/>
        <v>1.1764705882352942</v>
      </c>
      <c r="I22" s="39">
        <f>COUNTIF(Vertices[Out-Degree],"&gt;= "&amp;H22)-COUNTIF(Vertices[Out-Degree],"&gt;="&amp;H23)</f>
        <v>0</v>
      </c>
      <c r="J22" s="38">
        <f t="shared" si="4"/>
        <v>18540.588235294123</v>
      </c>
      <c r="K22" s="39">
        <f>COUNTIF(Vertices[Betweenness Centrality],"&gt;= "&amp;J22)-COUNTIF(Vertices[Betweenness Centrality],"&gt;="&amp;J23)</f>
        <v>0</v>
      </c>
      <c r="L22" s="38">
        <f t="shared" si="5"/>
        <v>0.21303999999999992</v>
      </c>
      <c r="M22" s="39">
        <f>COUNTIF(Vertices[Closeness Centrality],"&gt;= "&amp;L22)-COUNTIF(Vertices[Closeness Centrality],"&gt;="&amp;L23)</f>
        <v>0</v>
      </c>
      <c r="N22" s="38">
        <f t="shared" si="6"/>
        <v>0.42319</v>
      </c>
      <c r="O22" s="39">
        <f>COUNTIF(Vertices[Eigenvector Centrality],"&gt;= "&amp;N22)-COUNTIF(Vertices[Eigenvector Centrality],"&gt;="&amp;N23)</f>
        <v>0</v>
      </c>
      <c r="P22" s="38">
        <f t="shared" si="7"/>
        <v>0.029711588235294125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57</v>
      </c>
      <c r="D23" s="33">
        <f t="shared" si="1"/>
        <v>0</v>
      </c>
      <c r="E23" s="3">
        <f>COUNTIF(Vertices[Degree],"&gt;= "&amp;D23)-COUNTIF(Vertices[Degree],"&gt;="&amp;D24)</f>
        <v>0</v>
      </c>
      <c r="F23" s="40">
        <f t="shared" si="2"/>
        <v>63</v>
      </c>
      <c r="G23" s="41">
        <f>COUNTIF(Vertices[In-Degree],"&gt;= "&amp;F23)-COUNTIF(Vertices[In-Degree],"&gt;="&amp;F24)</f>
        <v>0</v>
      </c>
      <c r="H23" s="40">
        <f t="shared" si="3"/>
        <v>1.2352941176470589</v>
      </c>
      <c r="I23" s="41">
        <f>COUNTIF(Vertices[Out-Degree],"&gt;= "&amp;H23)-COUNTIF(Vertices[Out-Degree],"&gt;="&amp;H24)</f>
        <v>0</v>
      </c>
      <c r="J23" s="40">
        <f t="shared" si="4"/>
        <v>19467.61764705883</v>
      </c>
      <c r="K23" s="41">
        <f>COUNTIF(Vertices[Betweenness Centrality],"&gt;= "&amp;J23)-COUNTIF(Vertices[Betweenness Centrality],"&gt;="&amp;J24)</f>
        <v>0</v>
      </c>
      <c r="L23" s="40">
        <f t="shared" si="5"/>
        <v>0.22369199999999992</v>
      </c>
      <c r="M23" s="41">
        <f>COUNTIF(Vertices[Closeness Centrality],"&gt;= "&amp;L23)-COUNTIF(Vertices[Closeness Centrality],"&gt;="&amp;L24)</f>
        <v>0</v>
      </c>
      <c r="N23" s="40">
        <f t="shared" si="6"/>
        <v>0.4443495</v>
      </c>
      <c r="O23" s="41">
        <f>COUNTIF(Vertices[Eigenvector Centrality],"&gt;= "&amp;N23)-COUNTIF(Vertices[Eigenvector Centrality],"&gt;="&amp;N24)</f>
        <v>0</v>
      </c>
      <c r="P23" s="40">
        <f t="shared" si="7"/>
        <v>0.031039617647058832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37</v>
      </c>
      <c r="D24" s="33">
        <f t="shared" si="1"/>
        <v>0</v>
      </c>
      <c r="E24" s="3">
        <f>COUNTIF(Vertices[Degree],"&gt;= "&amp;D24)-COUNTIF(Vertices[Degree],"&gt;="&amp;D25)</f>
        <v>0</v>
      </c>
      <c r="F24" s="38">
        <f t="shared" si="2"/>
        <v>66</v>
      </c>
      <c r="G24" s="39">
        <f>COUNTIF(Vertices[In-Degree],"&gt;= "&amp;F24)-COUNTIF(Vertices[In-Degree],"&gt;="&amp;F25)</f>
        <v>0</v>
      </c>
      <c r="H24" s="38">
        <f t="shared" si="3"/>
        <v>1.2941176470588236</v>
      </c>
      <c r="I24" s="39">
        <f>COUNTIF(Vertices[Out-Degree],"&gt;= "&amp;H24)-COUNTIF(Vertices[Out-Degree],"&gt;="&amp;H25)</f>
        <v>0</v>
      </c>
      <c r="J24" s="38">
        <f t="shared" si="4"/>
        <v>20394.647058823535</v>
      </c>
      <c r="K24" s="39">
        <f>COUNTIF(Vertices[Betweenness Centrality],"&gt;= "&amp;J24)-COUNTIF(Vertices[Betweenness Centrality],"&gt;="&amp;J25)</f>
        <v>1</v>
      </c>
      <c r="L24" s="38">
        <f t="shared" si="5"/>
        <v>0.2343439999999999</v>
      </c>
      <c r="M24" s="39">
        <f>COUNTIF(Vertices[Closeness Centrality],"&gt;= "&amp;L24)-COUNTIF(Vertices[Closeness Centrality],"&gt;="&amp;L25)</f>
        <v>95</v>
      </c>
      <c r="N24" s="38">
        <f t="shared" si="6"/>
        <v>0.465509</v>
      </c>
      <c r="O24" s="39">
        <f>COUNTIF(Vertices[Eigenvector Centrality],"&gt;= "&amp;N24)-COUNTIF(Vertices[Eigenvector Centrality],"&gt;="&amp;N25)</f>
        <v>0</v>
      </c>
      <c r="P24" s="38">
        <f t="shared" si="7"/>
        <v>0.032367647058823536</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194</v>
      </c>
      <c r="D25" s="33">
        <f t="shared" si="1"/>
        <v>0</v>
      </c>
      <c r="E25" s="3">
        <f>COUNTIF(Vertices[Degree],"&gt;= "&amp;D25)-COUNTIF(Vertices[Degree],"&gt;="&amp;D26)</f>
        <v>0</v>
      </c>
      <c r="F25" s="40">
        <f t="shared" si="2"/>
        <v>69</v>
      </c>
      <c r="G25" s="41">
        <f>COUNTIF(Vertices[In-Degree],"&gt;= "&amp;F25)-COUNTIF(Vertices[In-Degree],"&gt;="&amp;F26)</f>
        <v>1</v>
      </c>
      <c r="H25" s="40">
        <f t="shared" si="3"/>
        <v>1.3529411764705883</v>
      </c>
      <c r="I25" s="41">
        <f>COUNTIF(Vertices[Out-Degree],"&gt;= "&amp;H25)-COUNTIF(Vertices[Out-Degree],"&gt;="&amp;H26)</f>
        <v>0</v>
      </c>
      <c r="J25" s="40">
        <f t="shared" si="4"/>
        <v>21321.67647058824</v>
      </c>
      <c r="K25" s="41">
        <f>COUNTIF(Vertices[Betweenness Centrality],"&gt;= "&amp;J25)-COUNTIF(Vertices[Betweenness Centrality],"&gt;="&amp;J26)</f>
        <v>0</v>
      </c>
      <c r="L25" s="40">
        <f t="shared" si="5"/>
        <v>0.2449959999999999</v>
      </c>
      <c r="M25" s="41">
        <f>COUNTIF(Vertices[Closeness Centrality],"&gt;= "&amp;L25)-COUNTIF(Vertices[Closeness Centrality],"&gt;="&amp;L26)</f>
        <v>0</v>
      </c>
      <c r="N25" s="40">
        <f t="shared" si="6"/>
        <v>0.4866685</v>
      </c>
      <c r="O25" s="41">
        <f>COUNTIF(Vertices[Eigenvector Centrality],"&gt;= "&amp;N25)-COUNTIF(Vertices[Eigenvector Centrality],"&gt;="&amp;N26)</f>
        <v>0</v>
      </c>
      <c r="P25" s="40">
        <f t="shared" si="7"/>
        <v>0.03369567647058824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206</v>
      </c>
      <c r="D26" s="33">
        <f t="shared" si="1"/>
        <v>0</v>
      </c>
      <c r="E26" s="3">
        <f>COUNTIF(Vertices[Degree],"&gt;= "&amp;D26)-COUNTIF(Vertices[Degree],"&gt;="&amp;D27)</f>
        <v>0</v>
      </c>
      <c r="F26" s="38">
        <f t="shared" si="2"/>
        <v>72</v>
      </c>
      <c r="G26" s="39">
        <f>COUNTIF(Vertices[In-Degree],"&gt;= "&amp;F26)-COUNTIF(Vertices[In-Degree],"&gt;="&amp;F27)</f>
        <v>0</v>
      </c>
      <c r="H26" s="38">
        <f t="shared" si="3"/>
        <v>1.411764705882353</v>
      </c>
      <c r="I26" s="39">
        <f>COUNTIF(Vertices[Out-Degree],"&gt;= "&amp;H26)-COUNTIF(Vertices[Out-Degree],"&gt;="&amp;H27)</f>
        <v>0</v>
      </c>
      <c r="J26" s="38">
        <f t="shared" si="4"/>
        <v>22248.705882352948</v>
      </c>
      <c r="K26" s="39">
        <f>COUNTIF(Vertices[Betweenness Centrality],"&gt;= "&amp;J26)-COUNTIF(Vertices[Betweenness Centrality],"&gt;="&amp;J27)</f>
        <v>0</v>
      </c>
      <c r="L26" s="38">
        <f t="shared" si="5"/>
        <v>0.25564799999999993</v>
      </c>
      <c r="M26" s="39">
        <f>COUNTIF(Vertices[Closeness Centrality],"&gt;= "&amp;L26)-COUNTIF(Vertices[Closeness Centrality],"&gt;="&amp;L27)</f>
        <v>3</v>
      </c>
      <c r="N26" s="38">
        <f t="shared" si="6"/>
        <v>0.5078280000000001</v>
      </c>
      <c r="O26" s="39">
        <f>COUNTIF(Vertices[Eigenvector Centrality],"&gt;= "&amp;N26)-COUNTIF(Vertices[Eigenvector Centrality],"&gt;="&amp;N27)</f>
        <v>0</v>
      </c>
      <c r="P26" s="38">
        <f t="shared" si="7"/>
        <v>0.03502370588235295</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75</v>
      </c>
      <c r="G27" s="41">
        <f>COUNTIF(Vertices[In-Degree],"&gt;= "&amp;F27)-COUNTIF(Vertices[In-Degree],"&gt;="&amp;F28)</f>
        <v>0</v>
      </c>
      <c r="H27" s="40">
        <f t="shared" si="3"/>
        <v>1.4705882352941178</v>
      </c>
      <c r="I27" s="41">
        <f>COUNTIF(Vertices[Out-Degree],"&gt;= "&amp;H27)-COUNTIF(Vertices[Out-Degree],"&gt;="&amp;H28)</f>
        <v>0</v>
      </c>
      <c r="J27" s="40">
        <f t="shared" si="4"/>
        <v>23175.735294117654</v>
      </c>
      <c r="K27" s="41">
        <f>COUNTIF(Vertices[Betweenness Centrality],"&gt;= "&amp;J27)-COUNTIF(Vertices[Betweenness Centrality],"&gt;="&amp;J28)</f>
        <v>0</v>
      </c>
      <c r="L27" s="40">
        <f t="shared" si="5"/>
        <v>0.2662999999999999</v>
      </c>
      <c r="M27" s="41">
        <f>COUNTIF(Vertices[Closeness Centrality],"&gt;= "&amp;L27)-COUNTIF(Vertices[Closeness Centrality],"&gt;="&amp;L28)</f>
        <v>0</v>
      </c>
      <c r="N27" s="40">
        <f t="shared" si="6"/>
        <v>0.5289875</v>
      </c>
      <c r="O27" s="41">
        <f>COUNTIF(Vertices[Eigenvector Centrality],"&gt;= "&amp;N27)-COUNTIF(Vertices[Eigenvector Centrality],"&gt;="&amp;N28)</f>
        <v>0</v>
      </c>
      <c r="P27" s="40">
        <f t="shared" si="7"/>
        <v>0.03635173529411766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78</v>
      </c>
      <c r="G28" s="39">
        <f>COUNTIF(Vertices[In-Degree],"&gt;= "&amp;F28)-COUNTIF(Vertices[In-Degree],"&gt;="&amp;F29)</f>
        <v>0</v>
      </c>
      <c r="H28" s="38">
        <f t="shared" si="3"/>
        <v>1.5294117647058825</v>
      </c>
      <c r="I28" s="39">
        <f>COUNTIF(Vertices[Out-Degree],"&gt;= "&amp;H28)-COUNTIF(Vertices[Out-Degree],"&gt;="&amp;H29)</f>
        <v>0</v>
      </c>
      <c r="J28" s="38">
        <f t="shared" si="4"/>
        <v>24102.76470588236</v>
      </c>
      <c r="K28" s="39">
        <f>COUNTIF(Vertices[Betweenness Centrality],"&gt;= "&amp;J28)-COUNTIF(Vertices[Betweenness Centrality],"&gt;="&amp;J29)</f>
        <v>0</v>
      </c>
      <c r="L28" s="38">
        <f t="shared" si="5"/>
        <v>0.2769519999999999</v>
      </c>
      <c r="M28" s="39">
        <f>COUNTIF(Vertices[Closeness Centrality],"&gt;= "&amp;L28)-COUNTIF(Vertices[Closeness Centrality],"&gt;="&amp;L29)</f>
        <v>1</v>
      </c>
      <c r="N28" s="38">
        <f t="shared" si="6"/>
        <v>0.550147</v>
      </c>
      <c r="O28" s="39">
        <f>COUNTIF(Vertices[Eigenvector Centrality],"&gt;= "&amp;N28)-COUNTIF(Vertices[Eigenvector Centrality],"&gt;="&amp;N29)</f>
        <v>0</v>
      </c>
      <c r="P28" s="38">
        <f t="shared" si="7"/>
        <v>0.037679764705882364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3.266829</v>
      </c>
      <c r="D29" s="33">
        <f t="shared" si="1"/>
        <v>0</v>
      </c>
      <c r="E29" s="3">
        <f>COUNTIF(Vertices[Degree],"&gt;= "&amp;D29)-COUNTIF(Vertices[Degree],"&gt;="&amp;D30)</f>
        <v>0</v>
      </c>
      <c r="F29" s="40">
        <f t="shared" si="2"/>
        <v>81</v>
      </c>
      <c r="G29" s="41">
        <f>COUNTIF(Vertices[In-Degree],"&gt;= "&amp;F29)-COUNTIF(Vertices[In-Degree],"&gt;="&amp;F30)</f>
        <v>0</v>
      </c>
      <c r="H29" s="40">
        <f t="shared" si="3"/>
        <v>1.5882352941176472</v>
      </c>
      <c r="I29" s="41">
        <f>COUNTIF(Vertices[Out-Degree],"&gt;= "&amp;H29)-COUNTIF(Vertices[Out-Degree],"&gt;="&amp;H30)</f>
        <v>0</v>
      </c>
      <c r="J29" s="40">
        <f t="shared" si="4"/>
        <v>25029.794117647067</v>
      </c>
      <c r="K29" s="41">
        <f>COUNTIF(Vertices[Betweenness Centrality],"&gt;= "&amp;J29)-COUNTIF(Vertices[Betweenness Centrality],"&gt;="&amp;J30)</f>
        <v>0</v>
      </c>
      <c r="L29" s="40">
        <f t="shared" si="5"/>
        <v>0.2876039999999999</v>
      </c>
      <c r="M29" s="41">
        <f>COUNTIF(Vertices[Closeness Centrality],"&gt;= "&amp;L29)-COUNTIF(Vertices[Closeness Centrality],"&gt;="&amp;L30)</f>
        <v>0</v>
      </c>
      <c r="N29" s="40">
        <f t="shared" si="6"/>
        <v>0.5713065</v>
      </c>
      <c r="O29" s="41">
        <f>COUNTIF(Vertices[Eigenvector Centrality],"&gt;= "&amp;N29)-COUNTIF(Vertices[Eigenvector Centrality],"&gt;="&amp;N30)</f>
        <v>0</v>
      </c>
      <c r="P29" s="40">
        <f t="shared" si="7"/>
        <v>0.03900779411764707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84</v>
      </c>
      <c r="G30" s="39">
        <f>COUNTIF(Vertices[In-Degree],"&gt;= "&amp;F30)-COUNTIF(Vertices[In-Degree],"&gt;="&amp;F31)</f>
        <v>0</v>
      </c>
      <c r="H30" s="38">
        <f t="shared" si="3"/>
        <v>1.647058823529412</v>
      </c>
      <c r="I30" s="39">
        <f>COUNTIF(Vertices[Out-Degree],"&gt;= "&amp;H30)-COUNTIF(Vertices[Out-Degree],"&gt;="&amp;H31)</f>
        <v>0</v>
      </c>
      <c r="J30" s="38">
        <f t="shared" si="4"/>
        <v>25956.823529411773</v>
      </c>
      <c r="K30" s="39">
        <f>COUNTIF(Vertices[Betweenness Centrality],"&gt;= "&amp;J30)-COUNTIF(Vertices[Betweenness Centrality],"&gt;="&amp;J31)</f>
        <v>0</v>
      </c>
      <c r="L30" s="38">
        <f t="shared" si="5"/>
        <v>0.2982559999999999</v>
      </c>
      <c r="M30" s="39">
        <f>COUNTIF(Vertices[Closeness Centrality],"&gt;= "&amp;L30)-COUNTIF(Vertices[Closeness Centrality],"&gt;="&amp;L31)</f>
        <v>0</v>
      </c>
      <c r="N30" s="38">
        <f t="shared" si="6"/>
        <v>0.592466</v>
      </c>
      <c r="O30" s="39">
        <f>COUNTIF(Vertices[Eigenvector Centrality],"&gt;= "&amp;N30)-COUNTIF(Vertices[Eigenvector Centrality],"&gt;="&amp;N31)</f>
        <v>0</v>
      </c>
      <c r="P30" s="38">
        <f t="shared" si="7"/>
        <v>0.04033582352941178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0.0029907773386034257</v>
      </c>
      <c r="D31" s="33">
        <f t="shared" si="1"/>
        <v>0</v>
      </c>
      <c r="E31" s="3">
        <f>COUNTIF(Vertices[Degree],"&gt;= "&amp;D31)-COUNTIF(Vertices[Degree],"&gt;="&amp;D32)</f>
        <v>0</v>
      </c>
      <c r="F31" s="40">
        <f t="shared" si="2"/>
        <v>87</v>
      </c>
      <c r="G31" s="41">
        <f>COUNTIF(Vertices[In-Degree],"&gt;= "&amp;F31)-COUNTIF(Vertices[In-Degree],"&gt;="&amp;F32)</f>
        <v>0</v>
      </c>
      <c r="H31" s="40">
        <f t="shared" si="3"/>
        <v>1.7058823529411766</v>
      </c>
      <c r="I31" s="41">
        <f>COUNTIF(Vertices[Out-Degree],"&gt;= "&amp;H31)-COUNTIF(Vertices[Out-Degree],"&gt;="&amp;H32)</f>
        <v>0</v>
      </c>
      <c r="J31" s="40">
        <f t="shared" si="4"/>
        <v>26883.85294117648</v>
      </c>
      <c r="K31" s="41">
        <f>COUNTIF(Vertices[Betweenness Centrality],"&gt;= "&amp;J31)-COUNTIF(Vertices[Betweenness Centrality],"&gt;="&amp;J32)</f>
        <v>0</v>
      </c>
      <c r="L31" s="40">
        <f t="shared" si="5"/>
        <v>0.3089079999999999</v>
      </c>
      <c r="M31" s="41">
        <f>COUNTIF(Vertices[Closeness Centrality],"&gt;= "&amp;L31)-COUNTIF(Vertices[Closeness Centrality],"&gt;="&amp;L32)</f>
        <v>3</v>
      </c>
      <c r="N31" s="40">
        <f t="shared" si="6"/>
        <v>0.6136255</v>
      </c>
      <c r="O31" s="41">
        <f>COUNTIF(Vertices[Eigenvector Centrality],"&gt;= "&amp;N31)-COUNTIF(Vertices[Eigenvector Centrality],"&gt;="&amp;N32)</f>
        <v>0</v>
      </c>
      <c r="P31" s="40">
        <f t="shared" si="7"/>
        <v>0.041663852941176485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3960</v>
      </c>
      <c r="B32" s="35">
        <v>0.663213</v>
      </c>
      <c r="D32" s="33">
        <f t="shared" si="1"/>
        <v>0</v>
      </c>
      <c r="E32" s="3">
        <f>COUNTIF(Vertices[Degree],"&gt;= "&amp;D32)-COUNTIF(Vertices[Degree],"&gt;="&amp;D33)</f>
        <v>0</v>
      </c>
      <c r="F32" s="38">
        <f t="shared" si="2"/>
        <v>90</v>
      </c>
      <c r="G32" s="39">
        <f>COUNTIF(Vertices[In-Degree],"&gt;= "&amp;F32)-COUNTIF(Vertices[In-Degree],"&gt;="&amp;F33)</f>
        <v>0</v>
      </c>
      <c r="H32" s="38">
        <f t="shared" si="3"/>
        <v>1.7647058823529413</v>
      </c>
      <c r="I32" s="39">
        <f>COUNTIF(Vertices[Out-Degree],"&gt;= "&amp;H32)-COUNTIF(Vertices[Out-Degree],"&gt;="&amp;H33)</f>
        <v>0</v>
      </c>
      <c r="J32" s="38">
        <f t="shared" si="4"/>
        <v>27810.882352941186</v>
      </c>
      <c r="K32" s="39">
        <f>COUNTIF(Vertices[Betweenness Centrality],"&gt;= "&amp;J32)-COUNTIF(Vertices[Betweenness Centrality],"&gt;="&amp;J33)</f>
        <v>0</v>
      </c>
      <c r="L32" s="38">
        <f t="shared" si="5"/>
        <v>0.3195599999999999</v>
      </c>
      <c r="M32" s="39">
        <f>COUNTIF(Vertices[Closeness Centrality],"&gt;= "&amp;L32)-COUNTIF(Vertices[Closeness Centrality],"&gt;="&amp;L33)</f>
        <v>0</v>
      </c>
      <c r="N32" s="38">
        <f t="shared" si="6"/>
        <v>0.634785</v>
      </c>
      <c r="O32" s="39">
        <f>COUNTIF(Vertices[Eigenvector Centrality],"&gt;= "&amp;N32)-COUNTIF(Vertices[Eigenvector Centrality],"&gt;="&amp;N33)</f>
        <v>0</v>
      </c>
      <c r="P32" s="38">
        <f t="shared" si="7"/>
        <v>0.04299188235294119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93</v>
      </c>
      <c r="G33" s="41">
        <f>COUNTIF(Vertices[In-Degree],"&gt;= "&amp;F33)-COUNTIF(Vertices[In-Degree],"&gt;="&amp;F34)</f>
        <v>0</v>
      </c>
      <c r="H33" s="40">
        <f t="shared" si="3"/>
        <v>1.823529411764706</v>
      </c>
      <c r="I33" s="41">
        <f>COUNTIF(Vertices[Out-Degree],"&gt;= "&amp;H33)-COUNTIF(Vertices[Out-Degree],"&gt;="&amp;H34)</f>
        <v>0</v>
      </c>
      <c r="J33" s="40">
        <f t="shared" si="4"/>
        <v>28737.911764705892</v>
      </c>
      <c r="K33" s="41">
        <f>COUNTIF(Vertices[Betweenness Centrality],"&gt;= "&amp;J33)-COUNTIF(Vertices[Betweenness Centrality],"&gt;="&amp;J34)</f>
        <v>0</v>
      </c>
      <c r="L33" s="40">
        <f t="shared" si="5"/>
        <v>0.3302119999999999</v>
      </c>
      <c r="M33" s="41">
        <f>COUNTIF(Vertices[Closeness Centrality],"&gt;= "&amp;L33)-COUNTIF(Vertices[Closeness Centrality],"&gt;="&amp;L34)</f>
        <v>0</v>
      </c>
      <c r="N33" s="40">
        <f t="shared" si="6"/>
        <v>0.6559445</v>
      </c>
      <c r="O33" s="41">
        <f>COUNTIF(Vertices[Eigenvector Centrality],"&gt;= "&amp;N33)-COUNTIF(Vertices[Eigenvector Centrality],"&gt;="&amp;N34)</f>
        <v>0</v>
      </c>
      <c r="P33" s="40">
        <f t="shared" si="7"/>
        <v>0.0443199117647059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3961</v>
      </c>
      <c r="B34" s="35" t="s">
        <v>3976</v>
      </c>
      <c r="D34" s="33">
        <f t="shared" si="1"/>
        <v>0</v>
      </c>
      <c r="E34" s="3">
        <f>COUNTIF(Vertices[Degree],"&gt;= "&amp;D34)-COUNTIF(Vertices[Degree],"&gt;="&amp;D35)</f>
        <v>0</v>
      </c>
      <c r="F34" s="38">
        <f t="shared" si="2"/>
        <v>96</v>
      </c>
      <c r="G34" s="39">
        <f>COUNTIF(Vertices[In-Degree],"&gt;= "&amp;F34)-COUNTIF(Vertices[In-Degree],"&gt;="&amp;F35)</f>
        <v>0</v>
      </c>
      <c r="H34" s="38">
        <f t="shared" si="3"/>
        <v>1.8823529411764708</v>
      </c>
      <c r="I34" s="39">
        <f>COUNTIF(Vertices[Out-Degree],"&gt;= "&amp;H34)-COUNTIF(Vertices[Out-Degree],"&gt;="&amp;H35)</f>
        <v>0</v>
      </c>
      <c r="J34" s="38">
        <f t="shared" si="4"/>
        <v>29664.9411764706</v>
      </c>
      <c r="K34" s="39">
        <f>COUNTIF(Vertices[Betweenness Centrality],"&gt;= "&amp;J34)-COUNTIF(Vertices[Betweenness Centrality],"&gt;="&amp;J35)</f>
        <v>0</v>
      </c>
      <c r="L34" s="38">
        <f t="shared" si="5"/>
        <v>0.3408639999999999</v>
      </c>
      <c r="M34" s="39">
        <f>COUNTIF(Vertices[Closeness Centrality],"&gt;= "&amp;L34)-COUNTIF(Vertices[Closeness Centrality],"&gt;="&amp;L35)</f>
        <v>0</v>
      </c>
      <c r="N34" s="38">
        <f t="shared" si="6"/>
        <v>0.677104</v>
      </c>
      <c r="O34" s="39">
        <f>COUNTIF(Vertices[Eigenvector Centrality],"&gt;= "&amp;N34)-COUNTIF(Vertices[Eigenvector Centrality],"&gt;="&amp;N35)</f>
        <v>0</v>
      </c>
      <c r="P34" s="38">
        <f t="shared" si="7"/>
        <v>0.045647941176470606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99</v>
      </c>
      <c r="G35" s="41">
        <f>COUNTIF(Vertices[In-Degree],"&gt;= "&amp;F35)-COUNTIF(Vertices[In-Degree],"&gt;="&amp;F36)</f>
        <v>0</v>
      </c>
      <c r="H35" s="40">
        <f t="shared" si="3"/>
        <v>1.9411764705882355</v>
      </c>
      <c r="I35" s="41">
        <f>COUNTIF(Vertices[Out-Degree],"&gt;= "&amp;H35)-COUNTIF(Vertices[Out-Degree],"&gt;="&amp;H36)</f>
        <v>0</v>
      </c>
      <c r="J35" s="40">
        <f t="shared" si="4"/>
        <v>30591.970588235305</v>
      </c>
      <c r="K35" s="41">
        <f>COUNTIF(Vertices[Betweenness Centrality],"&gt;= "&amp;J35)-COUNTIF(Vertices[Betweenness Centrality],"&gt;="&amp;J36)</f>
        <v>0</v>
      </c>
      <c r="L35" s="40">
        <f t="shared" si="5"/>
        <v>0.3515159999999999</v>
      </c>
      <c r="M35" s="41">
        <f>COUNTIF(Vertices[Closeness Centrality],"&gt;= "&amp;L35)-COUNTIF(Vertices[Closeness Centrality],"&gt;="&amp;L36)</f>
        <v>0</v>
      </c>
      <c r="N35" s="40">
        <f t="shared" si="6"/>
        <v>0.6982635</v>
      </c>
      <c r="O35" s="41">
        <f>COUNTIF(Vertices[Eigenvector Centrality],"&gt;= "&amp;N35)-COUNTIF(Vertices[Eigenvector Centrality],"&gt;="&amp;N36)</f>
        <v>0</v>
      </c>
      <c r="P35" s="40">
        <f t="shared" si="7"/>
        <v>0.04697597058823531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3962</v>
      </c>
      <c r="B36" s="35" t="s">
        <v>4430</v>
      </c>
      <c r="D36" s="33">
        <f>MAX(Vertices[Degree])</f>
        <v>0</v>
      </c>
      <c r="E36" s="3">
        <f>COUNTIF(Vertices[Degree],"&gt;= "&amp;D36)-COUNTIF(Vertices[Degree],"&gt;="&amp;#REF!)</f>
        <v>0</v>
      </c>
      <c r="F36" s="42">
        <f>MAX(Vertices[In-Degree])</f>
        <v>102</v>
      </c>
      <c r="G36" s="43">
        <f>COUNTIF(Vertices[In-Degree],"&gt;= "&amp;F36)-COUNTIF(Vertices[In-Degree],"&gt;="&amp;#REF!)</f>
        <v>1</v>
      </c>
      <c r="H36" s="42">
        <f>MAX(Vertices[Out-Degree])</f>
        <v>2</v>
      </c>
      <c r="I36" s="43">
        <f>COUNTIF(Vertices[Out-Degree],"&gt;= "&amp;H36)-COUNTIF(Vertices[Out-Degree],"&gt;="&amp;#REF!)</f>
        <v>13</v>
      </c>
      <c r="J36" s="42">
        <f>MAX(Vertices[Betweenness Centrality])</f>
        <v>31519</v>
      </c>
      <c r="K36" s="43">
        <f>COUNTIF(Vertices[Betweenness Centrality],"&gt;= "&amp;J36)-COUNTIF(Vertices[Betweenness Centrality],"&gt;="&amp;#REF!)</f>
        <v>1</v>
      </c>
      <c r="L36" s="42">
        <f>MAX(Vertices[Closeness Centrality])</f>
        <v>0.362168</v>
      </c>
      <c r="M36" s="43">
        <f>COUNTIF(Vertices[Closeness Centrality],"&gt;= "&amp;L36)-COUNTIF(Vertices[Closeness Centrality],"&gt;="&amp;#REF!)</f>
        <v>1</v>
      </c>
      <c r="N36" s="42">
        <f>MAX(Vertices[Eigenvector Centrality])</f>
        <v>0.719423</v>
      </c>
      <c r="O36" s="43">
        <f>COUNTIF(Vertices[Eigenvector Centrality],"&gt;= "&amp;N36)-COUNTIF(Vertices[Eigenvector Centrality],"&gt;="&amp;#REF!)</f>
        <v>1</v>
      </c>
      <c r="P36" s="42">
        <f>MAX(Vertices[PageRank])</f>
        <v>0.048304</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3963</v>
      </c>
      <c r="B37" s="35" t="s">
        <v>4431</v>
      </c>
    </row>
    <row r="38" spans="1:2" ht="15">
      <c r="A38" s="115"/>
      <c r="B38" s="115"/>
    </row>
    <row r="39" spans="1:2" ht="15">
      <c r="A39" s="35" t="s">
        <v>3964</v>
      </c>
      <c r="B39" s="35" t="s">
        <v>4425</v>
      </c>
    </row>
    <row r="40" spans="1:2" ht="15">
      <c r="A40" s="35" t="s">
        <v>3965</v>
      </c>
      <c r="B40" s="35" t="s">
        <v>4426</v>
      </c>
    </row>
    <row r="41" spans="1:2" ht="409.6">
      <c r="A41" s="35" t="s">
        <v>3966</v>
      </c>
      <c r="B41" s="54" t="s">
        <v>4427</v>
      </c>
    </row>
    <row r="42" spans="1:2" ht="15">
      <c r="A42" s="35" t="s">
        <v>3967</v>
      </c>
      <c r="B42" s="35" t="s">
        <v>4428</v>
      </c>
    </row>
    <row r="43" spans="1:2" ht="15">
      <c r="A43" s="35" t="s">
        <v>3968</v>
      </c>
      <c r="B43" s="35" t="s">
        <v>4429</v>
      </c>
    </row>
    <row r="44" spans="1:2" ht="15">
      <c r="A44" s="35" t="s">
        <v>3969</v>
      </c>
      <c r="B44" s="35" t="s">
        <v>2424</v>
      </c>
    </row>
    <row r="45" spans="1:2" ht="15">
      <c r="A45" s="35" t="s">
        <v>3970</v>
      </c>
      <c r="B45" s="35" t="s">
        <v>2424</v>
      </c>
    </row>
    <row r="46" spans="1:2" ht="15">
      <c r="A46" s="35" t="s">
        <v>3971</v>
      </c>
      <c r="B46" s="35" t="s">
        <v>2424</v>
      </c>
    </row>
    <row r="47" spans="1:2" ht="15">
      <c r="A47" s="35" t="s">
        <v>3972</v>
      </c>
      <c r="B47" s="35"/>
    </row>
    <row r="48" spans="1:2" ht="15">
      <c r="A48" s="35" t="s">
        <v>21</v>
      </c>
      <c r="B48" s="35"/>
    </row>
    <row r="49" spans="1:2" ht="15">
      <c r="A49" s="35" t="s">
        <v>3973</v>
      </c>
      <c r="B49" s="35" t="s">
        <v>32</v>
      </c>
    </row>
    <row r="50" spans="1:2" ht="15">
      <c r="A50" s="35" t="s">
        <v>3974</v>
      </c>
      <c r="B50" s="35"/>
    </row>
    <row r="51" spans="1:2" ht="15">
      <c r="A51" s="35" t="s">
        <v>3975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102</v>
      </c>
    </row>
    <row r="83" spans="1:2" ht="15">
      <c r="A83" s="34" t="s">
        <v>90</v>
      </c>
      <c r="B83" s="48">
        <f>_xlfn.IFERROR(AVERAGE(Vertices[In-Degree]),NoMetricMessage)</f>
        <v>0.9927536231884058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0.9927536231884058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31519</v>
      </c>
    </row>
    <row r="111" spans="1:2" ht="15">
      <c r="A111" s="34" t="s">
        <v>102</v>
      </c>
      <c r="B111" s="48">
        <f>_xlfn.IFERROR(AVERAGE(Vertices[Betweenness Centrality]),NoMetricMessage)</f>
        <v>311.39130435144926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0.362168</v>
      </c>
    </row>
    <row r="125" spans="1:2" ht="15">
      <c r="A125" s="34" t="s">
        <v>108</v>
      </c>
      <c r="B125" s="48">
        <f>_xlfn.IFERROR(AVERAGE(Vertices[Closeness Centrality]),NoMetricMessage)</f>
        <v>0.15404649999999995</v>
      </c>
    </row>
    <row r="126" spans="1:2" ht="15">
      <c r="A126" s="34" t="s">
        <v>109</v>
      </c>
      <c r="B126" s="48">
        <f>_xlfn.IFERROR(MEDIAN(Vertices[Closeness Centrality]),NoMetricMessage)</f>
        <v>0.199193</v>
      </c>
    </row>
    <row r="137" spans="1:2" ht="15">
      <c r="A137" s="34" t="s">
        <v>112</v>
      </c>
      <c r="B137" s="48">
        <f>IF(COUNT(Vertices[Eigenvector Centrality])&gt;0,N2,NoMetricMessage)</f>
        <v>0</v>
      </c>
    </row>
    <row r="138" spans="1:2" ht="15">
      <c r="A138" s="34" t="s">
        <v>113</v>
      </c>
      <c r="B138" s="48">
        <f>IF(COUNT(Vertices[Eigenvector Centrality])&gt;0,N36,NoMetricMessage)</f>
        <v>0.719423</v>
      </c>
    </row>
    <row r="139" spans="1:2" ht="15">
      <c r="A139" s="34" t="s">
        <v>114</v>
      </c>
      <c r="B139" s="48">
        <f>_xlfn.IFERROR(AVERAGE(Vertices[Eigenvector Centrality]),NoMetricMessage)</f>
        <v>0.029727891304347876</v>
      </c>
    </row>
    <row r="140" spans="1:2" ht="15">
      <c r="A140" s="34" t="s">
        <v>115</v>
      </c>
      <c r="B140" s="48">
        <f>_xlfn.IFERROR(MEDIAN(Vertices[Eigenvector Centrality]),NoMetricMessage)</f>
        <v>0.006144</v>
      </c>
    </row>
    <row r="151" spans="1:2" ht="15">
      <c r="A151" s="34" t="s">
        <v>140</v>
      </c>
      <c r="B151" s="48">
        <f>IF(COUNT(Vertices[PageRank])&gt;0,P2,NoMetricMessage)</f>
        <v>0.003151</v>
      </c>
    </row>
    <row r="152" spans="1:2" ht="15">
      <c r="A152" s="34" t="s">
        <v>141</v>
      </c>
      <c r="B152" s="48">
        <f>IF(COUNT(Vertices[PageRank])&gt;0,P36,NoMetricMessage)</f>
        <v>0.048304</v>
      </c>
    </row>
    <row r="153" spans="1:2" ht="15">
      <c r="A153" s="34" t="s">
        <v>142</v>
      </c>
      <c r="B153" s="48">
        <f>_xlfn.IFERROR(AVERAGE(Vertices[PageRank]),NoMetricMessage)</f>
        <v>0.0036232753623188486</v>
      </c>
    </row>
    <row r="154" spans="1:2" ht="15">
      <c r="A154" s="34" t="s">
        <v>143</v>
      </c>
      <c r="B154" s="48">
        <f>_xlfn.IFERROR(MEDIAN(Vertices[PageRank]),NoMetricMessage)</f>
        <v>0.003155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0.01177643851341656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2418</v>
      </c>
    </row>
    <row r="6" spans="1:18" ht="409.6">
      <c r="A6">
        <v>0</v>
      </c>
      <c r="B6" s="1" t="s">
        <v>136</v>
      </c>
      <c r="C6">
        <v>1</v>
      </c>
      <c r="D6" t="s">
        <v>59</v>
      </c>
      <c r="E6" t="s">
        <v>59</v>
      </c>
      <c r="F6">
        <v>0</v>
      </c>
      <c r="H6" t="s">
        <v>71</v>
      </c>
      <c r="J6" t="s">
        <v>173</v>
      </c>
      <c r="K6" s="13" t="s">
        <v>2419</v>
      </c>
      <c r="R6" t="s">
        <v>129</v>
      </c>
    </row>
    <row r="7" spans="1:11" ht="409.6">
      <c r="A7">
        <v>2</v>
      </c>
      <c r="B7">
        <v>1</v>
      </c>
      <c r="C7">
        <v>0</v>
      </c>
      <c r="D7" t="s">
        <v>60</v>
      </c>
      <c r="E7" t="s">
        <v>60</v>
      </c>
      <c r="F7">
        <v>2</v>
      </c>
      <c r="H7" t="s">
        <v>72</v>
      </c>
      <c r="J7" t="s">
        <v>174</v>
      </c>
      <c r="K7" s="13" t="s">
        <v>2420</v>
      </c>
    </row>
    <row r="8" spans="1:11" ht="409.6">
      <c r="A8"/>
      <c r="B8">
        <v>2</v>
      </c>
      <c r="C8">
        <v>2</v>
      </c>
      <c r="D8" t="s">
        <v>61</v>
      </c>
      <c r="E8" t="s">
        <v>61</v>
      </c>
      <c r="H8" t="s">
        <v>73</v>
      </c>
      <c r="J8" t="s">
        <v>175</v>
      </c>
      <c r="K8" s="13" t="s">
        <v>2421</v>
      </c>
    </row>
    <row r="9" spans="1:11" ht="409.6">
      <c r="A9"/>
      <c r="B9">
        <v>3</v>
      </c>
      <c r="C9">
        <v>4</v>
      </c>
      <c r="D9" t="s">
        <v>62</v>
      </c>
      <c r="E9" t="s">
        <v>62</v>
      </c>
      <c r="H9" t="s">
        <v>74</v>
      </c>
      <c r="J9" t="s">
        <v>176</v>
      </c>
      <c r="K9" s="13" t="s">
        <v>2422</v>
      </c>
    </row>
    <row r="10" spans="1:11" ht="409.6">
      <c r="A10"/>
      <c r="B10">
        <v>4</v>
      </c>
      <c r="D10" t="s">
        <v>63</v>
      </c>
      <c r="E10" t="s">
        <v>63</v>
      </c>
      <c r="H10" t="s">
        <v>75</v>
      </c>
      <c r="J10" t="s">
        <v>177</v>
      </c>
      <c r="K10" s="13" t="s">
        <v>2423</v>
      </c>
    </row>
    <row r="11" spans="1:11" ht="409.6">
      <c r="A11"/>
      <c r="B11">
        <v>5</v>
      </c>
      <c r="D11" t="s">
        <v>46</v>
      </c>
      <c r="E11">
        <v>1</v>
      </c>
      <c r="H11" t="s">
        <v>76</v>
      </c>
      <c r="J11" t="s">
        <v>178</v>
      </c>
      <c r="K11" s="13" t="s">
        <v>4422</v>
      </c>
    </row>
    <row r="12" spans="1:11" ht="409.6">
      <c r="A12"/>
      <c r="B12"/>
      <c r="D12" t="s">
        <v>64</v>
      </c>
      <c r="E12">
        <v>2</v>
      </c>
      <c r="H12">
        <v>0</v>
      </c>
      <c r="J12" t="s">
        <v>179</v>
      </c>
      <c r="K12" s="13" t="s">
        <v>4423</v>
      </c>
    </row>
    <row r="13" spans="1:11" ht="409.6">
      <c r="A13"/>
      <c r="B13"/>
      <c r="D13">
        <v>1</v>
      </c>
      <c r="E13">
        <v>3</v>
      </c>
      <c r="H13">
        <v>1</v>
      </c>
      <c r="J13" t="s">
        <v>180</v>
      </c>
      <c r="K13" s="13" t="s">
        <v>4424</v>
      </c>
    </row>
    <row r="14" spans="4:11" ht="15">
      <c r="D14">
        <v>2</v>
      </c>
      <c r="E14">
        <v>4</v>
      </c>
      <c r="H14">
        <v>2</v>
      </c>
      <c r="J14" t="s">
        <v>181</v>
      </c>
      <c r="K14">
        <v>9</v>
      </c>
    </row>
    <row r="15" spans="4:11" ht="15">
      <c r="D15">
        <v>3</v>
      </c>
      <c r="E15">
        <v>5</v>
      </c>
      <c r="H15">
        <v>3</v>
      </c>
      <c r="J15" t="s">
        <v>183</v>
      </c>
      <c r="K15" t="s">
        <v>4420</v>
      </c>
    </row>
    <row r="16" spans="4:11" ht="409.6">
      <c r="D16">
        <v>4</v>
      </c>
      <c r="E16">
        <v>6</v>
      </c>
      <c r="H16">
        <v>4</v>
      </c>
      <c r="J16" t="s">
        <v>184</v>
      </c>
      <c r="K16" s="13" t="s">
        <v>4421</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E3DAA-DACE-4A49-AD7E-305528BDB2F6}">
  <dimension ref="A1:G42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2465</v>
      </c>
      <c r="B1" s="13" t="s">
        <v>2660</v>
      </c>
      <c r="C1" s="13" t="s">
        <v>2664</v>
      </c>
      <c r="D1" s="13" t="s">
        <v>144</v>
      </c>
      <c r="E1" s="13" t="s">
        <v>2666</v>
      </c>
      <c r="F1" s="13" t="s">
        <v>2667</v>
      </c>
      <c r="G1" s="13" t="s">
        <v>2668</v>
      </c>
    </row>
    <row r="2" spans="1:7" ht="15">
      <c r="A2" s="80" t="s">
        <v>2466</v>
      </c>
      <c r="B2" s="80" t="s">
        <v>2661</v>
      </c>
      <c r="C2" s="110"/>
      <c r="D2" s="80"/>
      <c r="E2" s="80"/>
      <c r="F2" s="80"/>
      <c r="G2" s="80"/>
    </row>
    <row r="3" spans="1:7" ht="15">
      <c r="A3" s="81" t="s">
        <v>2467</v>
      </c>
      <c r="B3" s="80" t="s">
        <v>2662</v>
      </c>
      <c r="C3" s="110"/>
      <c r="D3" s="80"/>
      <c r="E3" s="80"/>
      <c r="F3" s="80"/>
      <c r="G3" s="80"/>
    </row>
    <row r="4" spans="1:7" ht="15">
      <c r="A4" s="81" t="s">
        <v>2468</v>
      </c>
      <c r="B4" s="80" t="s">
        <v>2663</v>
      </c>
      <c r="C4" s="110"/>
      <c r="D4" s="80"/>
      <c r="E4" s="80"/>
      <c r="F4" s="80"/>
      <c r="G4" s="80"/>
    </row>
    <row r="5" spans="1:7" ht="15">
      <c r="A5" s="81" t="s">
        <v>2469</v>
      </c>
      <c r="B5" s="80">
        <v>1</v>
      </c>
      <c r="C5" s="110">
        <v>0.00018284878405558602</v>
      </c>
      <c r="D5" s="80"/>
      <c r="E5" s="80"/>
      <c r="F5" s="80"/>
      <c r="G5" s="80"/>
    </row>
    <row r="6" spans="1:7" ht="15">
      <c r="A6" s="81" t="s">
        <v>2470</v>
      </c>
      <c r="B6" s="80">
        <v>0</v>
      </c>
      <c r="C6" s="110">
        <v>0</v>
      </c>
      <c r="D6" s="80"/>
      <c r="E6" s="80"/>
      <c r="F6" s="80"/>
      <c r="G6" s="80"/>
    </row>
    <row r="7" spans="1:7" ht="15">
      <c r="A7" s="81" t="s">
        <v>2471</v>
      </c>
      <c r="B7" s="80">
        <v>0</v>
      </c>
      <c r="C7" s="110">
        <v>0</v>
      </c>
      <c r="D7" s="80"/>
      <c r="E7" s="80"/>
      <c r="F7" s="80"/>
      <c r="G7" s="80"/>
    </row>
    <row r="8" spans="1:7" ht="15">
      <c r="A8" s="81" t="s">
        <v>2472</v>
      </c>
      <c r="B8" s="80">
        <v>5468</v>
      </c>
      <c r="C8" s="110">
        <v>0.9998171512159445</v>
      </c>
      <c r="D8" s="80"/>
      <c r="E8" s="80"/>
      <c r="F8" s="80"/>
      <c r="G8" s="80"/>
    </row>
    <row r="9" spans="1:7" ht="15">
      <c r="A9" s="81" t="s">
        <v>2473</v>
      </c>
      <c r="B9" s="80">
        <v>5469</v>
      </c>
      <c r="C9" s="110">
        <v>1</v>
      </c>
      <c r="D9" s="80"/>
      <c r="E9" s="80"/>
      <c r="F9" s="80"/>
      <c r="G9" s="80"/>
    </row>
    <row r="10" spans="1:7" ht="15">
      <c r="A10" s="85" t="s">
        <v>591</v>
      </c>
      <c r="B10" s="89">
        <v>521</v>
      </c>
      <c r="C10" s="111">
        <v>0.005160796049979097</v>
      </c>
      <c r="D10" s="89" t="s">
        <v>2665</v>
      </c>
      <c r="E10" s="89" t="b">
        <v>0</v>
      </c>
      <c r="F10" s="89" t="b">
        <v>0</v>
      </c>
      <c r="G10" s="89" t="b">
        <v>0</v>
      </c>
    </row>
    <row r="11" spans="1:7" ht="15">
      <c r="A11" s="85" t="s">
        <v>2474</v>
      </c>
      <c r="B11" s="89">
        <v>313</v>
      </c>
      <c r="C11" s="111">
        <v>0.0065348730245099705</v>
      </c>
      <c r="D11" s="89" t="s">
        <v>2665</v>
      </c>
      <c r="E11" s="89" t="b">
        <v>0</v>
      </c>
      <c r="F11" s="89" t="b">
        <v>0</v>
      </c>
      <c r="G11" s="89" t="b">
        <v>0</v>
      </c>
    </row>
    <row r="12" spans="1:7" ht="15">
      <c r="A12" s="85" t="s">
        <v>2475</v>
      </c>
      <c r="B12" s="89">
        <v>182</v>
      </c>
      <c r="C12" s="111">
        <v>0.02017903090950626</v>
      </c>
      <c r="D12" s="89" t="s">
        <v>2665</v>
      </c>
      <c r="E12" s="89" t="b">
        <v>0</v>
      </c>
      <c r="F12" s="89" t="b">
        <v>0</v>
      </c>
      <c r="G12" s="89" t="b">
        <v>0</v>
      </c>
    </row>
    <row r="13" spans="1:7" ht="15">
      <c r="A13" s="85" t="s">
        <v>2476</v>
      </c>
      <c r="B13" s="89">
        <v>122</v>
      </c>
      <c r="C13" s="111">
        <v>0.009880394339219993</v>
      </c>
      <c r="D13" s="89" t="s">
        <v>2665</v>
      </c>
      <c r="E13" s="89" t="b">
        <v>0</v>
      </c>
      <c r="F13" s="89" t="b">
        <v>0</v>
      </c>
      <c r="G13" s="89" t="b">
        <v>0</v>
      </c>
    </row>
    <row r="14" spans="1:7" ht="15">
      <c r="A14" s="85" t="s">
        <v>2477</v>
      </c>
      <c r="B14" s="89">
        <v>116</v>
      </c>
      <c r="C14" s="111">
        <v>0.00999086147702347</v>
      </c>
      <c r="D14" s="89" t="s">
        <v>2665</v>
      </c>
      <c r="E14" s="89" t="b">
        <v>0</v>
      </c>
      <c r="F14" s="89" t="b">
        <v>0</v>
      </c>
      <c r="G14" s="89" t="b">
        <v>0</v>
      </c>
    </row>
    <row r="15" spans="1:7" ht="15">
      <c r="A15" s="85" t="s">
        <v>2478</v>
      </c>
      <c r="B15" s="89">
        <v>116</v>
      </c>
      <c r="C15" s="111">
        <v>0.00999086147702347</v>
      </c>
      <c r="D15" s="89" t="s">
        <v>2665</v>
      </c>
      <c r="E15" s="89" t="b">
        <v>0</v>
      </c>
      <c r="F15" s="89" t="b">
        <v>0</v>
      </c>
      <c r="G15" s="89" t="b">
        <v>0</v>
      </c>
    </row>
    <row r="16" spans="1:7" ht="15">
      <c r="A16" s="85" t="s">
        <v>2479</v>
      </c>
      <c r="B16" s="89">
        <v>91</v>
      </c>
      <c r="C16" s="111">
        <v>0.01008951545475313</v>
      </c>
      <c r="D16" s="89" t="s">
        <v>2665</v>
      </c>
      <c r="E16" s="89" t="b">
        <v>0</v>
      </c>
      <c r="F16" s="89" t="b">
        <v>0</v>
      </c>
      <c r="G16" s="89" t="b">
        <v>0</v>
      </c>
    </row>
    <row r="17" spans="1:7" ht="15">
      <c r="A17" s="85" t="s">
        <v>2480</v>
      </c>
      <c r="B17" s="89">
        <v>91</v>
      </c>
      <c r="C17" s="111">
        <v>0.01008951545475313</v>
      </c>
      <c r="D17" s="89" t="s">
        <v>2665</v>
      </c>
      <c r="E17" s="89" t="b">
        <v>0</v>
      </c>
      <c r="F17" s="89" t="b">
        <v>0</v>
      </c>
      <c r="G17" s="89" t="b">
        <v>0</v>
      </c>
    </row>
    <row r="18" spans="1:7" ht="15">
      <c r="A18" s="85" t="s">
        <v>2481</v>
      </c>
      <c r="B18" s="89">
        <v>91</v>
      </c>
      <c r="C18" s="111">
        <v>0.01008951545475313</v>
      </c>
      <c r="D18" s="89" t="s">
        <v>2665</v>
      </c>
      <c r="E18" s="89" t="b">
        <v>0</v>
      </c>
      <c r="F18" s="89" t="b">
        <v>0</v>
      </c>
      <c r="G18" s="89" t="b">
        <v>0</v>
      </c>
    </row>
    <row r="19" spans="1:7" ht="15">
      <c r="A19" s="85" t="s">
        <v>2482</v>
      </c>
      <c r="B19" s="89">
        <v>91</v>
      </c>
      <c r="C19" s="111">
        <v>0.01008951545475313</v>
      </c>
      <c r="D19" s="89" t="s">
        <v>2665</v>
      </c>
      <c r="E19" s="89" t="b">
        <v>0</v>
      </c>
      <c r="F19" s="89" t="b">
        <v>0</v>
      </c>
      <c r="G19" s="89" t="b">
        <v>0</v>
      </c>
    </row>
    <row r="20" spans="1:7" ht="15">
      <c r="A20" s="85" t="s">
        <v>2483</v>
      </c>
      <c r="B20" s="89">
        <v>91</v>
      </c>
      <c r="C20" s="111">
        <v>0.01008951545475313</v>
      </c>
      <c r="D20" s="89" t="s">
        <v>2665</v>
      </c>
      <c r="E20" s="89" t="b">
        <v>0</v>
      </c>
      <c r="F20" s="89" t="b">
        <v>0</v>
      </c>
      <c r="G20" s="89" t="b">
        <v>0</v>
      </c>
    </row>
    <row r="21" spans="1:7" ht="15">
      <c r="A21" s="85" t="s">
        <v>2484</v>
      </c>
      <c r="B21" s="89">
        <v>91</v>
      </c>
      <c r="C21" s="111">
        <v>0.01008951545475313</v>
      </c>
      <c r="D21" s="89" t="s">
        <v>2665</v>
      </c>
      <c r="E21" s="89" t="b">
        <v>0</v>
      </c>
      <c r="F21" s="89" t="b">
        <v>0</v>
      </c>
      <c r="G21" s="89" t="b">
        <v>0</v>
      </c>
    </row>
    <row r="22" spans="1:7" ht="15">
      <c r="A22" s="85" t="s">
        <v>2485</v>
      </c>
      <c r="B22" s="89">
        <v>91</v>
      </c>
      <c r="C22" s="111">
        <v>0.01008951545475313</v>
      </c>
      <c r="D22" s="89" t="s">
        <v>2665</v>
      </c>
      <c r="E22" s="89" t="b">
        <v>0</v>
      </c>
      <c r="F22" s="89" t="b">
        <v>0</v>
      </c>
      <c r="G22" s="89" t="b">
        <v>0</v>
      </c>
    </row>
    <row r="23" spans="1:7" ht="15">
      <c r="A23" s="85" t="s">
        <v>2486</v>
      </c>
      <c r="B23" s="89">
        <v>91</v>
      </c>
      <c r="C23" s="111">
        <v>0.01008951545475313</v>
      </c>
      <c r="D23" s="89" t="s">
        <v>2665</v>
      </c>
      <c r="E23" s="89" t="b">
        <v>0</v>
      </c>
      <c r="F23" s="89" t="b">
        <v>0</v>
      </c>
      <c r="G23" s="89" t="b">
        <v>0</v>
      </c>
    </row>
    <row r="24" spans="1:7" ht="15">
      <c r="A24" s="85" t="s">
        <v>2487</v>
      </c>
      <c r="B24" s="89">
        <v>91</v>
      </c>
      <c r="C24" s="111">
        <v>0.01008951545475313</v>
      </c>
      <c r="D24" s="89" t="s">
        <v>2665</v>
      </c>
      <c r="E24" s="89" t="b">
        <v>0</v>
      </c>
      <c r="F24" s="89" t="b">
        <v>0</v>
      </c>
      <c r="G24" s="89" t="b">
        <v>0</v>
      </c>
    </row>
    <row r="25" spans="1:7" ht="15">
      <c r="A25" s="85" t="s">
        <v>2488</v>
      </c>
      <c r="B25" s="89">
        <v>91</v>
      </c>
      <c r="C25" s="111">
        <v>0.01008951545475313</v>
      </c>
      <c r="D25" s="89" t="s">
        <v>2665</v>
      </c>
      <c r="E25" s="89" t="b">
        <v>0</v>
      </c>
      <c r="F25" s="89" t="b">
        <v>0</v>
      </c>
      <c r="G25" s="89" t="b">
        <v>0</v>
      </c>
    </row>
    <row r="26" spans="1:7" ht="15">
      <c r="A26" s="85" t="s">
        <v>2489</v>
      </c>
      <c r="B26" s="89">
        <v>91</v>
      </c>
      <c r="C26" s="111">
        <v>0.01008951545475313</v>
      </c>
      <c r="D26" s="89" t="s">
        <v>2665</v>
      </c>
      <c r="E26" s="89" t="b">
        <v>0</v>
      </c>
      <c r="F26" s="89" t="b">
        <v>0</v>
      </c>
      <c r="G26" s="89" t="b">
        <v>0</v>
      </c>
    </row>
    <row r="27" spans="1:7" ht="15">
      <c r="A27" s="85" t="s">
        <v>2490</v>
      </c>
      <c r="B27" s="89">
        <v>91</v>
      </c>
      <c r="C27" s="111">
        <v>0.01008951545475313</v>
      </c>
      <c r="D27" s="89" t="s">
        <v>2665</v>
      </c>
      <c r="E27" s="89" t="b">
        <v>0</v>
      </c>
      <c r="F27" s="89" t="b">
        <v>0</v>
      </c>
      <c r="G27" s="89" t="b">
        <v>0</v>
      </c>
    </row>
    <row r="28" spans="1:7" ht="15">
      <c r="A28" s="85" t="s">
        <v>2491</v>
      </c>
      <c r="B28" s="89">
        <v>91</v>
      </c>
      <c r="C28" s="111">
        <v>0.01008951545475313</v>
      </c>
      <c r="D28" s="89" t="s">
        <v>2665</v>
      </c>
      <c r="E28" s="89" t="b">
        <v>0</v>
      </c>
      <c r="F28" s="89" t="b">
        <v>0</v>
      </c>
      <c r="G28" s="89" t="b">
        <v>0</v>
      </c>
    </row>
    <row r="29" spans="1:7" ht="15">
      <c r="A29" s="85" t="s">
        <v>2492</v>
      </c>
      <c r="B29" s="89">
        <v>69</v>
      </c>
      <c r="C29" s="111">
        <v>0.009597068654013968</v>
      </c>
      <c r="D29" s="89" t="s">
        <v>2665</v>
      </c>
      <c r="E29" s="89" t="b">
        <v>0</v>
      </c>
      <c r="F29" s="89" t="b">
        <v>0</v>
      </c>
      <c r="G29" s="89" t="b">
        <v>0</v>
      </c>
    </row>
    <row r="30" spans="1:7" ht="15">
      <c r="A30" s="85" t="s">
        <v>2493</v>
      </c>
      <c r="B30" s="89">
        <v>69</v>
      </c>
      <c r="C30" s="111">
        <v>0.009597068654013968</v>
      </c>
      <c r="D30" s="89" t="s">
        <v>2665</v>
      </c>
      <c r="E30" s="89" t="b">
        <v>0</v>
      </c>
      <c r="F30" s="89" t="b">
        <v>0</v>
      </c>
      <c r="G30" s="89" t="b">
        <v>0</v>
      </c>
    </row>
    <row r="31" spans="1:7" ht="15">
      <c r="A31" s="85" t="s">
        <v>2494</v>
      </c>
      <c r="B31" s="89">
        <v>68</v>
      </c>
      <c r="C31" s="111">
        <v>0.009559185422250486</v>
      </c>
      <c r="D31" s="89" t="s">
        <v>2665</v>
      </c>
      <c r="E31" s="89" t="b">
        <v>0</v>
      </c>
      <c r="F31" s="89" t="b">
        <v>0</v>
      </c>
      <c r="G31" s="89" t="b">
        <v>0</v>
      </c>
    </row>
    <row r="32" spans="1:7" ht="15">
      <c r="A32" s="85" t="s">
        <v>2495</v>
      </c>
      <c r="B32" s="89">
        <v>68</v>
      </c>
      <c r="C32" s="111">
        <v>0.009559185422250486</v>
      </c>
      <c r="D32" s="89" t="s">
        <v>2665</v>
      </c>
      <c r="E32" s="89" t="b">
        <v>0</v>
      </c>
      <c r="F32" s="89" t="b">
        <v>0</v>
      </c>
      <c r="G32" s="89" t="b">
        <v>0</v>
      </c>
    </row>
    <row r="33" spans="1:7" ht="15">
      <c r="A33" s="85" t="s">
        <v>2496</v>
      </c>
      <c r="B33" s="89">
        <v>35</v>
      </c>
      <c r="C33" s="111">
        <v>0.007289988308287538</v>
      </c>
      <c r="D33" s="89" t="s">
        <v>2665</v>
      </c>
      <c r="E33" s="89" t="b">
        <v>0</v>
      </c>
      <c r="F33" s="89" t="b">
        <v>0</v>
      </c>
      <c r="G33" s="89" t="b">
        <v>0</v>
      </c>
    </row>
    <row r="34" spans="1:7" ht="15">
      <c r="A34" s="85" t="s">
        <v>2497</v>
      </c>
      <c r="B34" s="89">
        <v>26</v>
      </c>
      <c r="C34" s="111">
        <v>0.006203321788941879</v>
      </c>
      <c r="D34" s="89" t="s">
        <v>2665</v>
      </c>
      <c r="E34" s="89" t="b">
        <v>0</v>
      </c>
      <c r="F34" s="89" t="b">
        <v>0</v>
      </c>
      <c r="G34" s="89" t="b">
        <v>0</v>
      </c>
    </row>
    <row r="35" spans="1:7" ht="15">
      <c r="A35" s="85" t="s">
        <v>2498</v>
      </c>
      <c r="B35" s="89">
        <v>26</v>
      </c>
      <c r="C35" s="111">
        <v>0.006203321788941879</v>
      </c>
      <c r="D35" s="89" t="s">
        <v>2665</v>
      </c>
      <c r="E35" s="89" t="b">
        <v>0</v>
      </c>
      <c r="F35" s="89" t="b">
        <v>0</v>
      </c>
      <c r="G35" s="89" t="b">
        <v>0</v>
      </c>
    </row>
    <row r="36" spans="1:7" ht="15">
      <c r="A36" s="85" t="s">
        <v>2499</v>
      </c>
      <c r="B36" s="89">
        <v>26</v>
      </c>
      <c r="C36" s="111">
        <v>0.006203321788941879</v>
      </c>
      <c r="D36" s="89" t="s">
        <v>2665</v>
      </c>
      <c r="E36" s="89" t="b">
        <v>0</v>
      </c>
      <c r="F36" s="89" t="b">
        <v>0</v>
      </c>
      <c r="G36" s="89" t="b">
        <v>0</v>
      </c>
    </row>
    <row r="37" spans="1:7" ht="15">
      <c r="A37" s="85" t="s">
        <v>2500</v>
      </c>
      <c r="B37" s="89">
        <v>25</v>
      </c>
      <c r="C37" s="111">
        <v>0.0060646934007450096</v>
      </c>
      <c r="D37" s="89" t="s">
        <v>2665</v>
      </c>
      <c r="E37" s="89" t="b">
        <v>0</v>
      </c>
      <c r="F37" s="89" t="b">
        <v>0</v>
      </c>
      <c r="G37" s="89" t="b">
        <v>0</v>
      </c>
    </row>
    <row r="38" spans="1:7" ht="15">
      <c r="A38" s="85" t="s">
        <v>2501</v>
      </c>
      <c r="B38" s="89">
        <v>25</v>
      </c>
      <c r="C38" s="111">
        <v>0.0060646934007450096</v>
      </c>
      <c r="D38" s="89" t="s">
        <v>2665</v>
      </c>
      <c r="E38" s="89" t="b">
        <v>0</v>
      </c>
      <c r="F38" s="89" t="b">
        <v>0</v>
      </c>
      <c r="G38" s="89" t="b">
        <v>0</v>
      </c>
    </row>
    <row r="39" spans="1:7" ht="15">
      <c r="A39" s="85" t="s">
        <v>2502</v>
      </c>
      <c r="B39" s="89">
        <v>25</v>
      </c>
      <c r="C39" s="111">
        <v>0.0060646934007450096</v>
      </c>
      <c r="D39" s="89" t="s">
        <v>2665</v>
      </c>
      <c r="E39" s="89" t="b">
        <v>0</v>
      </c>
      <c r="F39" s="89" t="b">
        <v>0</v>
      </c>
      <c r="G39" s="89" t="b">
        <v>0</v>
      </c>
    </row>
    <row r="40" spans="1:7" ht="15">
      <c r="A40" s="85" t="s">
        <v>2503</v>
      </c>
      <c r="B40" s="89">
        <v>25</v>
      </c>
      <c r="C40" s="111">
        <v>0.0060646934007450096</v>
      </c>
      <c r="D40" s="89" t="s">
        <v>2665</v>
      </c>
      <c r="E40" s="89" t="b">
        <v>0</v>
      </c>
      <c r="F40" s="89" t="b">
        <v>0</v>
      </c>
      <c r="G40" s="89" t="b">
        <v>0</v>
      </c>
    </row>
    <row r="41" spans="1:7" ht="15">
      <c r="A41" s="85" t="s">
        <v>2504</v>
      </c>
      <c r="B41" s="89">
        <v>25</v>
      </c>
      <c r="C41" s="111">
        <v>0.0060646934007450096</v>
      </c>
      <c r="D41" s="89" t="s">
        <v>2665</v>
      </c>
      <c r="E41" s="89" t="b">
        <v>0</v>
      </c>
      <c r="F41" s="89" t="b">
        <v>0</v>
      </c>
      <c r="G41" s="89" t="b">
        <v>0</v>
      </c>
    </row>
    <row r="42" spans="1:7" ht="15">
      <c r="A42" s="85" t="s">
        <v>2505</v>
      </c>
      <c r="B42" s="89">
        <v>25</v>
      </c>
      <c r="C42" s="111">
        <v>0.0060646934007450096</v>
      </c>
      <c r="D42" s="89" t="s">
        <v>2665</v>
      </c>
      <c r="E42" s="89" t="b">
        <v>0</v>
      </c>
      <c r="F42" s="89" t="b">
        <v>0</v>
      </c>
      <c r="G42" s="89" t="b">
        <v>0</v>
      </c>
    </row>
    <row r="43" spans="1:7" ht="15">
      <c r="A43" s="85" t="s">
        <v>2506</v>
      </c>
      <c r="B43" s="89">
        <v>25</v>
      </c>
      <c r="C43" s="111">
        <v>0.0060646934007450096</v>
      </c>
      <c r="D43" s="89" t="s">
        <v>2665</v>
      </c>
      <c r="E43" s="89" t="b">
        <v>0</v>
      </c>
      <c r="F43" s="89" t="b">
        <v>0</v>
      </c>
      <c r="G43" s="89" t="b">
        <v>0</v>
      </c>
    </row>
    <row r="44" spans="1:7" ht="15">
      <c r="A44" s="85" t="s">
        <v>2507</v>
      </c>
      <c r="B44" s="89">
        <v>25</v>
      </c>
      <c r="C44" s="111">
        <v>0.0060646934007450096</v>
      </c>
      <c r="D44" s="89" t="s">
        <v>2665</v>
      </c>
      <c r="E44" s="89" t="b">
        <v>0</v>
      </c>
      <c r="F44" s="89" t="b">
        <v>0</v>
      </c>
      <c r="G44" s="89" t="b">
        <v>0</v>
      </c>
    </row>
    <row r="45" spans="1:7" ht="15">
      <c r="A45" s="85" t="s">
        <v>2508</v>
      </c>
      <c r="B45" s="89">
        <v>25</v>
      </c>
      <c r="C45" s="111">
        <v>0.0060646934007450096</v>
      </c>
      <c r="D45" s="89" t="s">
        <v>2665</v>
      </c>
      <c r="E45" s="89" t="b">
        <v>0</v>
      </c>
      <c r="F45" s="89" t="b">
        <v>0</v>
      </c>
      <c r="G45" s="89" t="b">
        <v>0</v>
      </c>
    </row>
    <row r="46" spans="1:7" ht="15">
      <c r="A46" s="85" t="s">
        <v>2509</v>
      </c>
      <c r="B46" s="89">
        <v>25</v>
      </c>
      <c r="C46" s="111">
        <v>0.0060646934007450096</v>
      </c>
      <c r="D46" s="89" t="s">
        <v>2665</v>
      </c>
      <c r="E46" s="89" t="b">
        <v>0</v>
      </c>
      <c r="F46" s="89" t="b">
        <v>0</v>
      </c>
      <c r="G46" s="89" t="b">
        <v>0</v>
      </c>
    </row>
    <row r="47" spans="1:7" ht="15">
      <c r="A47" s="85" t="s">
        <v>2510</v>
      </c>
      <c r="B47" s="89">
        <v>25</v>
      </c>
      <c r="C47" s="111">
        <v>0.0060646934007450096</v>
      </c>
      <c r="D47" s="89" t="s">
        <v>2665</v>
      </c>
      <c r="E47" s="89" t="b">
        <v>0</v>
      </c>
      <c r="F47" s="89" t="b">
        <v>0</v>
      </c>
      <c r="G47" s="89" t="b">
        <v>0</v>
      </c>
    </row>
    <row r="48" spans="1:7" ht="15">
      <c r="A48" s="85" t="s">
        <v>2511</v>
      </c>
      <c r="B48" s="89">
        <v>25</v>
      </c>
      <c r="C48" s="111">
        <v>0.0060646934007450096</v>
      </c>
      <c r="D48" s="89" t="s">
        <v>2665</v>
      </c>
      <c r="E48" s="89" t="b">
        <v>0</v>
      </c>
      <c r="F48" s="89" t="b">
        <v>0</v>
      </c>
      <c r="G48" s="89" t="b">
        <v>0</v>
      </c>
    </row>
    <row r="49" spans="1:7" ht="15">
      <c r="A49" s="85" t="s">
        <v>2512</v>
      </c>
      <c r="B49" s="89">
        <v>25</v>
      </c>
      <c r="C49" s="111">
        <v>0.0060646934007450096</v>
      </c>
      <c r="D49" s="89" t="s">
        <v>2665</v>
      </c>
      <c r="E49" s="89" t="b">
        <v>0</v>
      </c>
      <c r="F49" s="89" t="b">
        <v>0</v>
      </c>
      <c r="G49" s="89" t="b">
        <v>0</v>
      </c>
    </row>
    <row r="50" spans="1:7" ht="15">
      <c r="A50" s="85" t="s">
        <v>2513</v>
      </c>
      <c r="B50" s="89">
        <v>25</v>
      </c>
      <c r="C50" s="111">
        <v>0.0060646934007450096</v>
      </c>
      <c r="D50" s="89" t="s">
        <v>2665</v>
      </c>
      <c r="E50" s="89" t="b">
        <v>0</v>
      </c>
      <c r="F50" s="89" t="b">
        <v>0</v>
      </c>
      <c r="G50" s="89" t="b">
        <v>0</v>
      </c>
    </row>
    <row r="51" spans="1:7" ht="15">
      <c r="A51" s="85" t="s">
        <v>2514</v>
      </c>
      <c r="B51" s="89">
        <v>25</v>
      </c>
      <c r="C51" s="111">
        <v>0.0060646934007450096</v>
      </c>
      <c r="D51" s="89" t="s">
        <v>2665</v>
      </c>
      <c r="E51" s="89" t="b">
        <v>0</v>
      </c>
      <c r="F51" s="89" t="b">
        <v>0</v>
      </c>
      <c r="G51" s="89" t="b">
        <v>0</v>
      </c>
    </row>
    <row r="52" spans="1:7" ht="15">
      <c r="A52" s="85" t="s">
        <v>2515</v>
      </c>
      <c r="B52" s="89">
        <v>25</v>
      </c>
      <c r="C52" s="111">
        <v>0.0060646934007450096</v>
      </c>
      <c r="D52" s="89" t="s">
        <v>2665</v>
      </c>
      <c r="E52" s="89" t="b">
        <v>0</v>
      </c>
      <c r="F52" s="89" t="b">
        <v>0</v>
      </c>
      <c r="G52" s="89" t="b">
        <v>0</v>
      </c>
    </row>
    <row r="53" spans="1:7" ht="15">
      <c r="A53" s="85" t="s">
        <v>2516</v>
      </c>
      <c r="B53" s="89">
        <v>25</v>
      </c>
      <c r="C53" s="111">
        <v>0.0060646934007450096</v>
      </c>
      <c r="D53" s="89" t="s">
        <v>2665</v>
      </c>
      <c r="E53" s="89" t="b">
        <v>0</v>
      </c>
      <c r="F53" s="89" t="b">
        <v>0</v>
      </c>
      <c r="G53" s="89" t="b">
        <v>0</v>
      </c>
    </row>
    <row r="54" spans="1:7" ht="15">
      <c r="A54" s="85" t="s">
        <v>2517</v>
      </c>
      <c r="B54" s="89">
        <v>25</v>
      </c>
      <c r="C54" s="111">
        <v>0.0060646934007450096</v>
      </c>
      <c r="D54" s="89" t="s">
        <v>2665</v>
      </c>
      <c r="E54" s="89" t="b">
        <v>0</v>
      </c>
      <c r="F54" s="89" t="b">
        <v>0</v>
      </c>
      <c r="G54" s="89" t="b">
        <v>0</v>
      </c>
    </row>
    <row r="55" spans="1:7" ht="15">
      <c r="A55" s="85" t="s">
        <v>2518</v>
      </c>
      <c r="B55" s="89">
        <v>25</v>
      </c>
      <c r="C55" s="111">
        <v>0.0060646934007450096</v>
      </c>
      <c r="D55" s="89" t="s">
        <v>2665</v>
      </c>
      <c r="E55" s="89" t="b">
        <v>0</v>
      </c>
      <c r="F55" s="89" t="b">
        <v>0</v>
      </c>
      <c r="G55" s="89" t="b">
        <v>0</v>
      </c>
    </row>
    <row r="56" spans="1:7" ht="15">
      <c r="A56" s="85" t="s">
        <v>2519</v>
      </c>
      <c r="B56" s="89">
        <v>18</v>
      </c>
      <c r="C56" s="111">
        <v>0.004969399686150766</v>
      </c>
      <c r="D56" s="89" t="s">
        <v>2665</v>
      </c>
      <c r="E56" s="89" t="b">
        <v>0</v>
      </c>
      <c r="F56" s="89" t="b">
        <v>0</v>
      </c>
      <c r="G56" s="89" t="b">
        <v>0</v>
      </c>
    </row>
    <row r="57" spans="1:7" ht="15">
      <c r="A57" s="85" t="s">
        <v>479</v>
      </c>
      <c r="B57" s="89">
        <v>11</v>
      </c>
      <c r="C57" s="111">
        <v>0.0035891271992977425</v>
      </c>
      <c r="D57" s="89" t="s">
        <v>2665</v>
      </c>
      <c r="E57" s="89" t="b">
        <v>0</v>
      </c>
      <c r="F57" s="89" t="b">
        <v>0</v>
      </c>
      <c r="G57" s="89" t="b">
        <v>0</v>
      </c>
    </row>
    <row r="58" spans="1:7" ht="15">
      <c r="A58" s="85" t="s">
        <v>2520</v>
      </c>
      <c r="B58" s="89">
        <v>9</v>
      </c>
      <c r="C58" s="111">
        <v>0.003120678707154216</v>
      </c>
      <c r="D58" s="89" t="s">
        <v>2665</v>
      </c>
      <c r="E58" s="89" t="b">
        <v>0</v>
      </c>
      <c r="F58" s="89" t="b">
        <v>0</v>
      </c>
      <c r="G58" s="89" t="b">
        <v>0</v>
      </c>
    </row>
    <row r="59" spans="1:7" ht="15">
      <c r="A59" s="85" t="s">
        <v>2521</v>
      </c>
      <c r="B59" s="89">
        <v>8</v>
      </c>
      <c r="C59" s="111">
        <v>0.0028699977036000823</v>
      </c>
      <c r="D59" s="89" t="s">
        <v>2665</v>
      </c>
      <c r="E59" s="89" t="b">
        <v>0</v>
      </c>
      <c r="F59" s="89" t="b">
        <v>0</v>
      </c>
      <c r="G59" s="89" t="b">
        <v>0</v>
      </c>
    </row>
    <row r="60" spans="1:7" ht="15">
      <c r="A60" s="85" t="s">
        <v>2522</v>
      </c>
      <c r="B60" s="89">
        <v>7</v>
      </c>
      <c r="C60" s="111">
        <v>0.0026065399223035475</v>
      </c>
      <c r="D60" s="89" t="s">
        <v>2665</v>
      </c>
      <c r="E60" s="89" t="b">
        <v>0</v>
      </c>
      <c r="F60" s="89" t="b">
        <v>0</v>
      </c>
      <c r="G60" s="89" t="b">
        <v>0</v>
      </c>
    </row>
    <row r="61" spans="1:7" ht="15">
      <c r="A61" s="85" t="s">
        <v>2523</v>
      </c>
      <c r="B61" s="89">
        <v>7</v>
      </c>
      <c r="C61" s="111">
        <v>0.0026065399223035475</v>
      </c>
      <c r="D61" s="89" t="s">
        <v>2665</v>
      </c>
      <c r="E61" s="89" t="b">
        <v>0</v>
      </c>
      <c r="F61" s="89" t="b">
        <v>0</v>
      </c>
      <c r="G61" s="89" t="b">
        <v>0</v>
      </c>
    </row>
    <row r="62" spans="1:7" ht="15">
      <c r="A62" s="85" t="s">
        <v>2524</v>
      </c>
      <c r="B62" s="89">
        <v>6</v>
      </c>
      <c r="C62" s="111">
        <v>0.0023284683292610475</v>
      </c>
      <c r="D62" s="89" t="s">
        <v>2665</v>
      </c>
      <c r="E62" s="89" t="b">
        <v>0</v>
      </c>
      <c r="F62" s="89" t="b">
        <v>0</v>
      </c>
      <c r="G62" s="89" t="b">
        <v>0</v>
      </c>
    </row>
    <row r="63" spans="1:7" ht="15">
      <c r="A63" s="85" t="s">
        <v>2525</v>
      </c>
      <c r="B63" s="89">
        <v>6</v>
      </c>
      <c r="C63" s="111">
        <v>0.00300047009647184</v>
      </c>
      <c r="D63" s="89" t="s">
        <v>2665</v>
      </c>
      <c r="E63" s="89" t="b">
        <v>0</v>
      </c>
      <c r="F63" s="89" t="b">
        <v>0</v>
      </c>
      <c r="G63" s="89" t="b">
        <v>0</v>
      </c>
    </row>
    <row r="64" spans="1:7" ht="15">
      <c r="A64" s="85" t="s">
        <v>2526</v>
      </c>
      <c r="B64" s="89">
        <v>6</v>
      </c>
      <c r="C64" s="111">
        <v>0.0023284683292610475</v>
      </c>
      <c r="D64" s="89" t="s">
        <v>2665</v>
      </c>
      <c r="E64" s="89" t="b">
        <v>0</v>
      </c>
      <c r="F64" s="89" t="b">
        <v>0</v>
      </c>
      <c r="G64" s="89" t="b">
        <v>0</v>
      </c>
    </row>
    <row r="65" spans="1:7" ht="15">
      <c r="A65" s="85" t="s">
        <v>2527</v>
      </c>
      <c r="B65" s="89">
        <v>6</v>
      </c>
      <c r="C65" s="111">
        <v>0.0023284683292610475</v>
      </c>
      <c r="D65" s="89" t="s">
        <v>2665</v>
      </c>
      <c r="E65" s="89" t="b">
        <v>0</v>
      </c>
      <c r="F65" s="89" t="b">
        <v>0</v>
      </c>
      <c r="G65" s="89" t="b">
        <v>0</v>
      </c>
    </row>
    <row r="66" spans="1:7" ht="15">
      <c r="A66" s="85" t="s">
        <v>2528</v>
      </c>
      <c r="B66" s="89">
        <v>6</v>
      </c>
      <c r="C66" s="111">
        <v>0.0023284683292610475</v>
      </c>
      <c r="D66" s="89" t="s">
        <v>2665</v>
      </c>
      <c r="E66" s="89" t="b">
        <v>0</v>
      </c>
      <c r="F66" s="89" t="b">
        <v>0</v>
      </c>
      <c r="G66" s="89" t="b">
        <v>0</v>
      </c>
    </row>
    <row r="67" spans="1:7" ht="15">
      <c r="A67" s="85" t="s">
        <v>2529</v>
      </c>
      <c r="B67" s="89">
        <v>6</v>
      </c>
      <c r="C67" s="111">
        <v>0.0023284683292610475</v>
      </c>
      <c r="D67" s="89" t="s">
        <v>2665</v>
      </c>
      <c r="E67" s="89" t="b">
        <v>0</v>
      </c>
      <c r="F67" s="89" t="b">
        <v>0</v>
      </c>
      <c r="G67" s="89" t="b">
        <v>0</v>
      </c>
    </row>
    <row r="68" spans="1:7" ht="15">
      <c r="A68" s="85" t="s">
        <v>2530</v>
      </c>
      <c r="B68" s="89">
        <v>6</v>
      </c>
      <c r="C68" s="111">
        <v>0.0023284683292610475</v>
      </c>
      <c r="D68" s="89" t="s">
        <v>2665</v>
      </c>
      <c r="E68" s="89" t="b">
        <v>0</v>
      </c>
      <c r="F68" s="89" t="b">
        <v>0</v>
      </c>
      <c r="G68" s="89" t="b">
        <v>0</v>
      </c>
    </row>
    <row r="69" spans="1:7" ht="15">
      <c r="A69" s="85" t="s">
        <v>2531</v>
      </c>
      <c r="B69" s="89">
        <v>5</v>
      </c>
      <c r="C69" s="111">
        <v>0.002033326009181888</v>
      </c>
      <c r="D69" s="89" t="s">
        <v>2665</v>
      </c>
      <c r="E69" s="89" t="b">
        <v>0</v>
      </c>
      <c r="F69" s="89" t="b">
        <v>0</v>
      </c>
      <c r="G69" s="89" t="b">
        <v>0</v>
      </c>
    </row>
    <row r="70" spans="1:7" ht="15">
      <c r="A70" s="85" t="s">
        <v>2532</v>
      </c>
      <c r="B70" s="89">
        <v>5</v>
      </c>
      <c r="C70" s="111">
        <v>0.002033326009181888</v>
      </c>
      <c r="D70" s="89" t="s">
        <v>2665</v>
      </c>
      <c r="E70" s="89" t="b">
        <v>0</v>
      </c>
      <c r="F70" s="89" t="b">
        <v>0</v>
      </c>
      <c r="G70" s="89" t="b">
        <v>0</v>
      </c>
    </row>
    <row r="71" spans="1:7" ht="15">
      <c r="A71" s="85" t="s">
        <v>2533</v>
      </c>
      <c r="B71" s="89">
        <v>4</v>
      </c>
      <c r="C71" s="111">
        <v>0.001717656124723967</v>
      </c>
      <c r="D71" s="89" t="s">
        <v>2665</v>
      </c>
      <c r="E71" s="89" t="b">
        <v>0</v>
      </c>
      <c r="F71" s="89" t="b">
        <v>0</v>
      </c>
      <c r="G71" s="89" t="b">
        <v>0</v>
      </c>
    </row>
    <row r="72" spans="1:7" ht="15">
      <c r="A72" s="85" t="s">
        <v>2534</v>
      </c>
      <c r="B72" s="89">
        <v>4</v>
      </c>
      <c r="C72" s="111">
        <v>0.001717656124723967</v>
      </c>
      <c r="D72" s="89" t="s">
        <v>2665</v>
      </c>
      <c r="E72" s="89" t="b">
        <v>0</v>
      </c>
      <c r="F72" s="89" t="b">
        <v>0</v>
      </c>
      <c r="G72" s="89" t="b">
        <v>0</v>
      </c>
    </row>
    <row r="73" spans="1:7" ht="15">
      <c r="A73" s="85" t="s">
        <v>2535</v>
      </c>
      <c r="B73" s="89">
        <v>4</v>
      </c>
      <c r="C73" s="111">
        <v>0.001717656124723967</v>
      </c>
      <c r="D73" s="89" t="s">
        <v>2665</v>
      </c>
      <c r="E73" s="89" t="b">
        <v>0</v>
      </c>
      <c r="F73" s="89" t="b">
        <v>0</v>
      </c>
      <c r="G73" s="89" t="b">
        <v>0</v>
      </c>
    </row>
    <row r="74" spans="1:7" ht="15">
      <c r="A74" s="85" t="s">
        <v>2536</v>
      </c>
      <c r="B74" s="89">
        <v>4</v>
      </c>
      <c r="C74" s="111">
        <v>0.001717656124723967</v>
      </c>
      <c r="D74" s="89" t="s">
        <v>2665</v>
      </c>
      <c r="E74" s="89" t="b">
        <v>0</v>
      </c>
      <c r="F74" s="89" t="b">
        <v>0</v>
      </c>
      <c r="G74" s="89" t="b">
        <v>0</v>
      </c>
    </row>
    <row r="75" spans="1:7" ht="15">
      <c r="A75" s="85" t="s">
        <v>2537</v>
      </c>
      <c r="B75" s="89">
        <v>4</v>
      </c>
      <c r="C75" s="111">
        <v>0.001717656124723967</v>
      </c>
      <c r="D75" s="89" t="s">
        <v>2665</v>
      </c>
      <c r="E75" s="89" t="b">
        <v>0</v>
      </c>
      <c r="F75" s="89" t="b">
        <v>0</v>
      </c>
      <c r="G75" s="89" t="b">
        <v>0</v>
      </c>
    </row>
    <row r="76" spans="1:7" ht="15">
      <c r="A76" s="85" t="s">
        <v>2538</v>
      </c>
      <c r="B76" s="89">
        <v>4</v>
      </c>
      <c r="C76" s="111">
        <v>0.001717656124723967</v>
      </c>
      <c r="D76" s="89" t="s">
        <v>2665</v>
      </c>
      <c r="E76" s="89" t="b">
        <v>0</v>
      </c>
      <c r="F76" s="89" t="b">
        <v>0</v>
      </c>
      <c r="G76" s="89" t="b">
        <v>0</v>
      </c>
    </row>
    <row r="77" spans="1:7" ht="15">
      <c r="A77" s="85" t="s">
        <v>2539</v>
      </c>
      <c r="B77" s="89">
        <v>4</v>
      </c>
      <c r="C77" s="111">
        <v>0.001717656124723967</v>
      </c>
      <c r="D77" s="89" t="s">
        <v>2665</v>
      </c>
      <c r="E77" s="89" t="b">
        <v>0</v>
      </c>
      <c r="F77" s="89" t="b">
        <v>0</v>
      </c>
      <c r="G77" s="89" t="b">
        <v>0</v>
      </c>
    </row>
    <row r="78" spans="1:7" ht="15">
      <c r="A78" s="85" t="s">
        <v>2540</v>
      </c>
      <c r="B78" s="89">
        <v>4</v>
      </c>
      <c r="C78" s="111">
        <v>0.001717656124723967</v>
      </c>
      <c r="D78" s="89" t="s">
        <v>2665</v>
      </c>
      <c r="E78" s="89" t="b">
        <v>0</v>
      </c>
      <c r="F78" s="89" t="b">
        <v>0</v>
      </c>
      <c r="G78" s="89" t="b">
        <v>0</v>
      </c>
    </row>
    <row r="79" spans="1:7" ht="15">
      <c r="A79" s="85" t="s">
        <v>2541</v>
      </c>
      <c r="B79" s="89">
        <v>4</v>
      </c>
      <c r="C79" s="111">
        <v>0.001717656124723967</v>
      </c>
      <c r="D79" s="89" t="s">
        <v>2665</v>
      </c>
      <c r="E79" s="89" t="b">
        <v>0</v>
      </c>
      <c r="F79" s="89" t="b">
        <v>0</v>
      </c>
      <c r="G79" s="89" t="b">
        <v>0</v>
      </c>
    </row>
    <row r="80" spans="1:7" ht="15">
      <c r="A80" s="85" t="s">
        <v>2542</v>
      </c>
      <c r="B80" s="89">
        <v>4</v>
      </c>
      <c r="C80" s="111">
        <v>0.001717656124723967</v>
      </c>
      <c r="D80" s="89" t="s">
        <v>2665</v>
      </c>
      <c r="E80" s="89" t="b">
        <v>0</v>
      </c>
      <c r="F80" s="89" t="b">
        <v>0</v>
      </c>
      <c r="G80" s="89" t="b">
        <v>0</v>
      </c>
    </row>
    <row r="81" spans="1:7" ht="15">
      <c r="A81" s="85" t="s">
        <v>2543</v>
      </c>
      <c r="B81" s="89">
        <v>4</v>
      </c>
      <c r="C81" s="111">
        <v>0.001717656124723967</v>
      </c>
      <c r="D81" s="89" t="s">
        <v>2665</v>
      </c>
      <c r="E81" s="89" t="b">
        <v>0</v>
      </c>
      <c r="F81" s="89" t="b">
        <v>0</v>
      </c>
      <c r="G81" s="89" t="b">
        <v>0</v>
      </c>
    </row>
    <row r="82" spans="1:7" ht="15">
      <c r="A82" s="85" t="s">
        <v>2544</v>
      </c>
      <c r="B82" s="89">
        <v>4</v>
      </c>
      <c r="C82" s="111">
        <v>0.001717656124723967</v>
      </c>
      <c r="D82" s="89" t="s">
        <v>2665</v>
      </c>
      <c r="E82" s="89" t="b">
        <v>0</v>
      </c>
      <c r="F82" s="89" t="b">
        <v>0</v>
      </c>
      <c r="G82" s="89" t="b">
        <v>0</v>
      </c>
    </row>
    <row r="83" spans="1:7" ht="15">
      <c r="A83" s="85" t="s">
        <v>2545</v>
      </c>
      <c r="B83" s="89">
        <v>4</v>
      </c>
      <c r="C83" s="111">
        <v>0.001717656124723967</v>
      </c>
      <c r="D83" s="89" t="s">
        <v>2665</v>
      </c>
      <c r="E83" s="89" t="b">
        <v>0</v>
      </c>
      <c r="F83" s="89" t="b">
        <v>0</v>
      </c>
      <c r="G83" s="89" t="b">
        <v>0</v>
      </c>
    </row>
    <row r="84" spans="1:7" ht="15">
      <c r="A84" s="85" t="s">
        <v>2546</v>
      </c>
      <c r="B84" s="89">
        <v>3</v>
      </c>
      <c r="C84" s="111">
        <v>0.0013762271193234685</v>
      </c>
      <c r="D84" s="89" t="s">
        <v>2665</v>
      </c>
      <c r="E84" s="89" t="b">
        <v>0</v>
      </c>
      <c r="F84" s="89" t="b">
        <v>0</v>
      </c>
      <c r="G84" s="89" t="b">
        <v>0</v>
      </c>
    </row>
    <row r="85" spans="1:7" ht="15">
      <c r="A85" s="85" t="s">
        <v>2547</v>
      </c>
      <c r="B85" s="89">
        <v>3</v>
      </c>
      <c r="C85" s="111">
        <v>0.0013762271193234685</v>
      </c>
      <c r="D85" s="89" t="s">
        <v>2665</v>
      </c>
      <c r="E85" s="89" t="b">
        <v>0</v>
      </c>
      <c r="F85" s="89" t="b">
        <v>0</v>
      </c>
      <c r="G85" s="89" t="b">
        <v>0</v>
      </c>
    </row>
    <row r="86" spans="1:7" ht="15">
      <c r="A86" s="85" t="s">
        <v>2548</v>
      </c>
      <c r="B86" s="89">
        <v>3</v>
      </c>
      <c r="C86" s="111">
        <v>0.0013762271193234685</v>
      </c>
      <c r="D86" s="89" t="s">
        <v>2665</v>
      </c>
      <c r="E86" s="89" t="b">
        <v>0</v>
      </c>
      <c r="F86" s="89" t="b">
        <v>0</v>
      </c>
      <c r="G86" s="89" t="b">
        <v>0</v>
      </c>
    </row>
    <row r="87" spans="1:7" ht="15">
      <c r="A87" s="85" t="s">
        <v>2549</v>
      </c>
      <c r="B87" s="89">
        <v>3</v>
      </c>
      <c r="C87" s="111">
        <v>0.0013762271193234685</v>
      </c>
      <c r="D87" s="89" t="s">
        <v>2665</v>
      </c>
      <c r="E87" s="89" t="b">
        <v>0</v>
      </c>
      <c r="F87" s="89" t="b">
        <v>0</v>
      </c>
      <c r="G87" s="89" t="b">
        <v>0</v>
      </c>
    </row>
    <row r="88" spans="1:7" ht="15">
      <c r="A88" s="85" t="s">
        <v>2550</v>
      </c>
      <c r="B88" s="89">
        <v>3</v>
      </c>
      <c r="C88" s="111">
        <v>0.0013762271193234685</v>
      </c>
      <c r="D88" s="89" t="s">
        <v>2665</v>
      </c>
      <c r="E88" s="89" t="b">
        <v>0</v>
      </c>
      <c r="F88" s="89" t="b">
        <v>0</v>
      </c>
      <c r="G88" s="89" t="b">
        <v>0</v>
      </c>
    </row>
    <row r="89" spans="1:7" ht="15">
      <c r="A89" s="85" t="s">
        <v>495</v>
      </c>
      <c r="B89" s="89">
        <v>3</v>
      </c>
      <c r="C89" s="111">
        <v>0.0013762271193234685</v>
      </c>
      <c r="D89" s="89" t="s">
        <v>2665</v>
      </c>
      <c r="E89" s="89" t="b">
        <v>0</v>
      </c>
      <c r="F89" s="89" t="b">
        <v>0</v>
      </c>
      <c r="G89" s="89" t="b">
        <v>0</v>
      </c>
    </row>
    <row r="90" spans="1:7" ht="15">
      <c r="A90" s="85" t="s">
        <v>2551</v>
      </c>
      <c r="B90" s="89">
        <v>3</v>
      </c>
      <c r="C90" s="111">
        <v>0.0013762271193234685</v>
      </c>
      <c r="D90" s="89" t="s">
        <v>2665</v>
      </c>
      <c r="E90" s="89" t="b">
        <v>0</v>
      </c>
      <c r="F90" s="89" t="b">
        <v>0</v>
      </c>
      <c r="G90" s="89" t="b">
        <v>0</v>
      </c>
    </row>
    <row r="91" spans="1:7" ht="15">
      <c r="A91" s="85" t="s">
        <v>2552</v>
      </c>
      <c r="B91" s="89">
        <v>3</v>
      </c>
      <c r="C91" s="111">
        <v>0.0013762271193234685</v>
      </c>
      <c r="D91" s="89" t="s">
        <v>2665</v>
      </c>
      <c r="E91" s="89" t="b">
        <v>0</v>
      </c>
      <c r="F91" s="89" t="b">
        <v>0</v>
      </c>
      <c r="G91" s="89" t="b">
        <v>0</v>
      </c>
    </row>
    <row r="92" spans="1:7" ht="15">
      <c r="A92" s="85" t="s">
        <v>2553</v>
      </c>
      <c r="B92" s="89">
        <v>3</v>
      </c>
      <c r="C92" s="111">
        <v>0.0013762271193234685</v>
      </c>
      <c r="D92" s="89" t="s">
        <v>2665</v>
      </c>
      <c r="E92" s="89" t="b">
        <v>0</v>
      </c>
      <c r="F92" s="89" t="b">
        <v>0</v>
      </c>
      <c r="G92" s="89" t="b">
        <v>0</v>
      </c>
    </row>
    <row r="93" spans="1:7" ht="15">
      <c r="A93" s="85" t="s">
        <v>2554</v>
      </c>
      <c r="B93" s="89">
        <v>3</v>
      </c>
      <c r="C93" s="111">
        <v>0.0013762271193234685</v>
      </c>
      <c r="D93" s="89" t="s">
        <v>2665</v>
      </c>
      <c r="E93" s="89" t="b">
        <v>0</v>
      </c>
      <c r="F93" s="89" t="b">
        <v>0</v>
      </c>
      <c r="G93" s="89" t="b">
        <v>0</v>
      </c>
    </row>
    <row r="94" spans="1:7" ht="15">
      <c r="A94" s="85" t="s">
        <v>2555</v>
      </c>
      <c r="B94" s="89">
        <v>3</v>
      </c>
      <c r="C94" s="111">
        <v>0.0013762271193234685</v>
      </c>
      <c r="D94" s="89" t="s">
        <v>2665</v>
      </c>
      <c r="E94" s="89" t="b">
        <v>0</v>
      </c>
      <c r="F94" s="89" t="b">
        <v>0</v>
      </c>
      <c r="G94" s="89" t="b">
        <v>0</v>
      </c>
    </row>
    <row r="95" spans="1:7" ht="15">
      <c r="A95" s="85" t="s">
        <v>2556</v>
      </c>
      <c r="B95" s="89">
        <v>3</v>
      </c>
      <c r="C95" s="111">
        <v>0.0013762271193234685</v>
      </c>
      <c r="D95" s="89" t="s">
        <v>2665</v>
      </c>
      <c r="E95" s="89" t="b">
        <v>0</v>
      </c>
      <c r="F95" s="89" t="b">
        <v>0</v>
      </c>
      <c r="G95" s="89" t="b">
        <v>0</v>
      </c>
    </row>
    <row r="96" spans="1:7" ht="15">
      <c r="A96" s="85" t="s">
        <v>2557</v>
      </c>
      <c r="B96" s="89">
        <v>3</v>
      </c>
      <c r="C96" s="111">
        <v>0.0013762271193234685</v>
      </c>
      <c r="D96" s="89" t="s">
        <v>2665</v>
      </c>
      <c r="E96" s="89" t="b">
        <v>0</v>
      </c>
      <c r="F96" s="89" t="b">
        <v>0</v>
      </c>
      <c r="G96" s="89" t="b">
        <v>0</v>
      </c>
    </row>
    <row r="97" spans="1:7" ht="15">
      <c r="A97" s="85" t="s">
        <v>2558</v>
      </c>
      <c r="B97" s="89">
        <v>3</v>
      </c>
      <c r="C97" s="111">
        <v>0.0013762271193234685</v>
      </c>
      <c r="D97" s="89" t="s">
        <v>2665</v>
      </c>
      <c r="E97" s="89" t="b">
        <v>0</v>
      </c>
      <c r="F97" s="89" t="b">
        <v>0</v>
      </c>
      <c r="G97" s="89" t="b">
        <v>0</v>
      </c>
    </row>
    <row r="98" spans="1:7" ht="15">
      <c r="A98" s="85" t="s">
        <v>2559</v>
      </c>
      <c r="B98" s="89">
        <v>3</v>
      </c>
      <c r="C98" s="111">
        <v>0.0013762271193234685</v>
      </c>
      <c r="D98" s="89" t="s">
        <v>2665</v>
      </c>
      <c r="E98" s="89" t="b">
        <v>0</v>
      </c>
      <c r="F98" s="89" t="b">
        <v>0</v>
      </c>
      <c r="G98" s="89" t="b">
        <v>0</v>
      </c>
    </row>
    <row r="99" spans="1:7" ht="15">
      <c r="A99" s="85" t="s">
        <v>2560</v>
      </c>
      <c r="B99" s="89">
        <v>3</v>
      </c>
      <c r="C99" s="111">
        <v>0.0013762271193234685</v>
      </c>
      <c r="D99" s="89" t="s">
        <v>2665</v>
      </c>
      <c r="E99" s="89" t="b">
        <v>0</v>
      </c>
      <c r="F99" s="89" t="b">
        <v>0</v>
      </c>
      <c r="G99" s="89" t="b">
        <v>0</v>
      </c>
    </row>
    <row r="100" spans="1:7" ht="15">
      <c r="A100" s="85" t="s">
        <v>2561</v>
      </c>
      <c r="B100" s="89">
        <v>3</v>
      </c>
      <c r="C100" s="111">
        <v>0.0013762271193234685</v>
      </c>
      <c r="D100" s="89" t="s">
        <v>2665</v>
      </c>
      <c r="E100" s="89" t="b">
        <v>0</v>
      </c>
      <c r="F100" s="89" t="b">
        <v>0</v>
      </c>
      <c r="G100" s="89" t="b">
        <v>0</v>
      </c>
    </row>
    <row r="101" spans="1:7" ht="15">
      <c r="A101" s="85" t="s">
        <v>2562</v>
      </c>
      <c r="B101" s="89">
        <v>3</v>
      </c>
      <c r="C101" s="111">
        <v>0.0013762271193234685</v>
      </c>
      <c r="D101" s="89" t="s">
        <v>2665</v>
      </c>
      <c r="E101" s="89" t="b">
        <v>0</v>
      </c>
      <c r="F101" s="89" t="b">
        <v>0</v>
      </c>
      <c r="G101" s="89" t="b">
        <v>0</v>
      </c>
    </row>
    <row r="102" spans="1:7" ht="15">
      <c r="A102" s="85" t="s">
        <v>2563</v>
      </c>
      <c r="B102" s="89">
        <v>3</v>
      </c>
      <c r="C102" s="111">
        <v>0.0013762271193234685</v>
      </c>
      <c r="D102" s="89" t="s">
        <v>2665</v>
      </c>
      <c r="E102" s="89" t="b">
        <v>0</v>
      </c>
      <c r="F102" s="89" t="b">
        <v>0</v>
      </c>
      <c r="G102" s="89" t="b">
        <v>0</v>
      </c>
    </row>
    <row r="103" spans="1:7" ht="15">
      <c r="A103" s="85" t="s">
        <v>490</v>
      </c>
      <c r="B103" s="89">
        <v>3</v>
      </c>
      <c r="C103" s="111">
        <v>0.0013762271193234685</v>
      </c>
      <c r="D103" s="89" t="s">
        <v>2665</v>
      </c>
      <c r="E103" s="89" t="b">
        <v>0</v>
      </c>
      <c r="F103" s="89" t="b">
        <v>0</v>
      </c>
      <c r="G103" s="89" t="b">
        <v>0</v>
      </c>
    </row>
    <row r="104" spans="1:7" ht="15">
      <c r="A104" s="85" t="s">
        <v>483</v>
      </c>
      <c r="B104" s="89">
        <v>2</v>
      </c>
      <c r="C104" s="111">
        <v>0.0010001566988239465</v>
      </c>
      <c r="D104" s="89" t="s">
        <v>2665</v>
      </c>
      <c r="E104" s="89" t="b">
        <v>0</v>
      </c>
      <c r="F104" s="89" t="b">
        <v>0</v>
      </c>
      <c r="G104" s="89" t="b">
        <v>0</v>
      </c>
    </row>
    <row r="105" spans="1:7" ht="15">
      <c r="A105" s="85" t="s">
        <v>2564</v>
      </c>
      <c r="B105" s="89">
        <v>2</v>
      </c>
      <c r="C105" s="111">
        <v>0.0011414853352859095</v>
      </c>
      <c r="D105" s="89" t="s">
        <v>2665</v>
      </c>
      <c r="E105" s="89" t="b">
        <v>0</v>
      </c>
      <c r="F105" s="89" t="b">
        <v>0</v>
      </c>
      <c r="G105" s="89" t="b">
        <v>0</v>
      </c>
    </row>
    <row r="106" spans="1:7" ht="15">
      <c r="A106" s="85" t="s">
        <v>2565</v>
      </c>
      <c r="B106" s="89">
        <v>2</v>
      </c>
      <c r="C106" s="111">
        <v>0.0010001566988239465</v>
      </c>
      <c r="D106" s="89" t="s">
        <v>2665</v>
      </c>
      <c r="E106" s="89" t="b">
        <v>0</v>
      </c>
      <c r="F106" s="89" t="b">
        <v>0</v>
      </c>
      <c r="G106" s="89" t="b">
        <v>0</v>
      </c>
    </row>
    <row r="107" spans="1:7" ht="15">
      <c r="A107" s="85" t="s">
        <v>2566</v>
      </c>
      <c r="B107" s="89">
        <v>2</v>
      </c>
      <c r="C107" s="111">
        <v>0.0010001566988239465</v>
      </c>
      <c r="D107" s="89" t="s">
        <v>2665</v>
      </c>
      <c r="E107" s="89" t="b">
        <v>0</v>
      </c>
      <c r="F107" s="89" t="b">
        <v>0</v>
      </c>
      <c r="G107" s="89" t="b">
        <v>0</v>
      </c>
    </row>
    <row r="108" spans="1:7" ht="15">
      <c r="A108" s="85" t="s">
        <v>2567</v>
      </c>
      <c r="B108" s="89">
        <v>2</v>
      </c>
      <c r="C108" s="111">
        <v>0.0010001566988239465</v>
      </c>
      <c r="D108" s="89" t="s">
        <v>2665</v>
      </c>
      <c r="E108" s="89" t="b">
        <v>0</v>
      </c>
      <c r="F108" s="89" t="b">
        <v>0</v>
      </c>
      <c r="G108" s="89" t="b">
        <v>0</v>
      </c>
    </row>
    <row r="109" spans="1:7" ht="15">
      <c r="A109" s="85" t="s">
        <v>2568</v>
      </c>
      <c r="B109" s="89">
        <v>2</v>
      </c>
      <c r="C109" s="111">
        <v>0.0010001566988239465</v>
      </c>
      <c r="D109" s="89" t="s">
        <v>2665</v>
      </c>
      <c r="E109" s="89" t="b">
        <v>0</v>
      </c>
      <c r="F109" s="89" t="b">
        <v>0</v>
      </c>
      <c r="G109" s="89" t="b">
        <v>0</v>
      </c>
    </row>
    <row r="110" spans="1:7" ht="15">
      <c r="A110" s="85" t="s">
        <v>2569</v>
      </c>
      <c r="B110" s="89">
        <v>2</v>
      </c>
      <c r="C110" s="111">
        <v>0.0010001566988239465</v>
      </c>
      <c r="D110" s="89" t="s">
        <v>2665</v>
      </c>
      <c r="E110" s="89" t="b">
        <v>0</v>
      </c>
      <c r="F110" s="89" t="b">
        <v>0</v>
      </c>
      <c r="G110" s="89" t="b">
        <v>0</v>
      </c>
    </row>
    <row r="111" spans="1:7" ht="15">
      <c r="A111" s="85" t="s">
        <v>2570</v>
      </c>
      <c r="B111" s="89">
        <v>2</v>
      </c>
      <c r="C111" s="111">
        <v>0.0010001566988239465</v>
      </c>
      <c r="D111" s="89" t="s">
        <v>2665</v>
      </c>
      <c r="E111" s="89" t="b">
        <v>0</v>
      </c>
      <c r="F111" s="89" t="b">
        <v>0</v>
      </c>
      <c r="G111" s="89" t="b">
        <v>0</v>
      </c>
    </row>
    <row r="112" spans="1:7" ht="15">
      <c r="A112" s="85" t="s">
        <v>2571</v>
      </c>
      <c r="B112" s="89">
        <v>2</v>
      </c>
      <c r="C112" s="111">
        <v>0.0010001566988239465</v>
      </c>
      <c r="D112" s="89" t="s">
        <v>2665</v>
      </c>
      <c r="E112" s="89" t="b">
        <v>0</v>
      </c>
      <c r="F112" s="89" t="b">
        <v>0</v>
      </c>
      <c r="G112" s="89" t="b">
        <v>0</v>
      </c>
    </row>
    <row r="113" spans="1:7" ht="15">
      <c r="A113" s="85" t="s">
        <v>2572</v>
      </c>
      <c r="B113" s="89">
        <v>2</v>
      </c>
      <c r="C113" s="111">
        <v>0.0010001566988239465</v>
      </c>
      <c r="D113" s="89" t="s">
        <v>2665</v>
      </c>
      <c r="E113" s="89" t="b">
        <v>0</v>
      </c>
      <c r="F113" s="89" t="b">
        <v>0</v>
      </c>
      <c r="G113" s="89" t="b">
        <v>0</v>
      </c>
    </row>
    <row r="114" spans="1:7" ht="15">
      <c r="A114" s="85" t="s">
        <v>2573</v>
      </c>
      <c r="B114" s="89">
        <v>2</v>
      </c>
      <c r="C114" s="111">
        <v>0.0010001566988239465</v>
      </c>
      <c r="D114" s="89" t="s">
        <v>2665</v>
      </c>
      <c r="E114" s="89" t="b">
        <v>0</v>
      </c>
      <c r="F114" s="89" t="b">
        <v>0</v>
      </c>
      <c r="G114" s="89" t="b">
        <v>0</v>
      </c>
    </row>
    <row r="115" spans="1:7" ht="15">
      <c r="A115" s="85" t="s">
        <v>2574</v>
      </c>
      <c r="B115" s="89">
        <v>2</v>
      </c>
      <c r="C115" s="111">
        <v>0.0010001566988239465</v>
      </c>
      <c r="D115" s="89" t="s">
        <v>2665</v>
      </c>
      <c r="E115" s="89" t="b">
        <v>0</v>
      </c>
      <c r="F115" s="89" t="b">
        <v>0</v>
      </c>
      <c r="G115" s="89" t="b">
        <v>0</v>
      </c>
    </row>
    <row r="116" spans="1:7" ht="15">
      <c r="A116" s="85" t="s">
        <v>2575</v>
      </c>
      <c r="B116" s="89">
        <v>2</v>
      </c>
      <c r="C116" s="111">
        <v>0.0010001566988239465</v>
      </c>
      <c r="D116" s="89" t="s">
        <v>2665</v>
      </c>
      <c r="E116" s="89" t="b">
        <v>0</v>
      </c>
      <c r="F116" s="89" t="b">
        <v>0</v>
      </c>
      <c r="G116" s="89" t="b">
        <v>0</v>
      </c>
    </row>
    <row r="117" spans="1:7" ht="15">
      <c r="A117" s="85" t="s">
        <v>2576</v>
      </c>
      <c r="B117" s="89">
        <v>2</v>
      </c>
      <c r="C117" s="111">
        <v>0.0010001566988239465</v>
      </c>
      <c r="D117" s="89" t="s">
        <v>2665</v>
      </c>
      <c r="E117" s="89" t="b">
        <v>0</v>
      </c>
      <c r="F117" s="89" t="b">
        <v>0</v>
      </c>
      <c r="G117" s="89" t="b">
        <v>0</v>
      </c>
    </row>
    <row r="118" spans="1:7" ht="15">
      <c r="A118" s="85" t="s">
        <v>2577</v>
      </c>
      <c r="B118" s="89">
        <v>2</v>
      </c>
      <c r="C118" s="111">
        <v>0.0010001566988239465</v>
      </c>
      <c r="D118" s="89" t="s">
        <v>2665</v>
      </c>
      <c r="E118" s="89" t="b">
        <v>0</v>
      </c>
      <c r="F118" s="89" t="b">
        <v>0</v>
      </c>
      <c r="G118" s="89" t="b">
        <v>0</v>
      </c>
    </row>
    <row r="119" spans="1:7" ht="15">
      <c r="A119" s="85" t="s">
        <v>2578</v>
      </c>
      <c r="B119" s="89">
        <v>2</v>
      </c>
      <c r="C119" s="111">
        <v>0.0010001566988239465</v>
      </c>
      <c r="D119" s="89" t="s">
        <v>2665</v>
      </c>
      <c r="E119" s="89" t="b">
        <v>0</v>
      </c>
      <c r="F119" s="89" t="b">
        <v>0</v>
      </c>
      <c r="G119" s="89" t="b">
        <v>0</v>
      </c>
    </row>
    <row r="120" spans="1:7" ht="15">
      <c r="A120" s="85" t="s">
        <v>2579</v>
      </c>
      <c r="B120" s="89">
        <v>2</v>
      </c>
      <c r="C120" s="111">
        <v>0.0010001566988239465</v>
      </c>
      <c r="D120" s="89" t="s">
        <v>2665</v>
      </c>
      <c r="E120" s="89" t="b">
        <v>0</v>
      </c>
      <c r="F120" s="89" t="b">
        <v>0</v>
      </c>
      <c r="G120" s="89" t="b">
        <v>0</v>
      </c>
    </row>
    <row r="121" spans="1:7" ht="15">
      <c r="A121" s="85" t="s">
        <v>2580</v>
      </c>
      <c r="B121" s="89">
        <v>2</v>
      </c>
      <c r="C121" s="111">
        <v>0.0010001566988239465</v>
      </c>
      <c r="D121" s="89" t="s">
        <v>2665</v>
      </c>
      <c r="E121" s="89" t="b">
        <v>0</v>
      </c>
      <c r="F121" s="89" t="b">
        <v>0</v>
      </c>
      <c r="G121" s="89" t="b">
        <v>0</v>
      </c>
    </row>
    <row r="122" spans="1:7" ht="15">
      <c r="A122" s="85" t="s">
        <v>2581</v>
      </c>
      <c r="B122" s="89">
        <v>2</v>
      </c>
      <c r="C122" s="111">
        <v>0.0010001566988239465</v>
      </c>
      <c r="D122" s="89" t="s">
        <v>2665</v>
      </c>
      <c r="E122" s="89" t="b">
        <v>0</v>
      </c>
      <c r="F122" s="89" t="b">
        <v>0</v>
      </c>
      <c r="G122" s="89" t="b">
        <v>0</v>
      </c>
    </row>
    <row r="123" spans="1:7" ht="15">
      <c r="A123" s="85" t="s">
        <v>2582</v>
      </c>
      <c r="B123" s="89">
        <v>2</v>
      </c>
      <c r="C123" s="111">
        <v>0.0011414853352859095</v>
      </c>
      <c r="D123" s="89" t="s">
        <v>2665</v>
      </c>
      <c r="E123" s="89" t="b">
        <v>0</v>
      </c>
      <c r="F123" s="89" t="b">
        <v>0</v>
      </c>
      <c r="G123" s="89" t="b">
        <v>0</v>
      </c>
    </row>
    <row r="124" spans="1:7" ht="15">
      <c r="A124" s="85" t="s">
        <v>2583</v>
      </c>
      <c r="B124" s="89">
        <v>2</v>
      </c>
      <c r="C124" s="111">
        <v>0.0010001566988239465</v>
      </c>
      <c r="D124" s="89" t="s">
        <v>2665</v>
      </c>
      <c r="E124" s="89" t="b">
        <v>0</v>
      </c>
      <c r="F124" s="89" t="b">
        <v>0</v>
      </c>
      <c r="G124" s="89" t="b">
        <v>0</v>
      </c>
    </row>
    <row r="125" spans="1:7" ht="15">
      <c r="A125" s="85" t="s">
        <v>2584</v>
      </c>
      <c r="B125" s="89">
        <v>2</v>
      </c>
      <c r="C125" s="111">
        <v>0.0010001566988239465</v>
      </c>
      <c r="D125" s="89" t="s">
        <v>2665</v>
      </c>
      <c r="E125" s="89" t="b">
        <v>0</v>
      </c>
      <c r="F125" s="89" t="b">
        <v>0</v>
      </c>
      <c r="G125" s="89" t="b">
        <v>0</v>
      </c>
    </row>
    <row r="126" spans="1:7" ht="15">
      <c r="A126" s="85" t="s">
        <v>2585</v>
      </c>
      <c r="B126" s="89">
        <v>2</v>
      </c>
      <c r="C126" s="111">
        <v>0.0010001566988239465</v>
      </c>
      <c r="D126" s="89" t="s">
        <v>2665</v>
      </c>
      <c r="E126" s="89" t="b">
        <v>0</v>
      </c>
      <c r="F126" s="89" t="b">
        <v>0</v>
      </c>
      <c r="G126" s="89" t="b">
        <v>0</v>
      </c>
    </row>
    <row r="127" spans="1:7" ht="15">
      <c r="A127" s="85" t="s">
        <v>2586</v>
      </c>
      <c r="B127" s="89">
        <v>2</v>
      </c>
      <c r="C127" s="111">
        <v>0.0010001566988239465</v>
      </c>
      <c r="D127" s="89" t="s">
        <v>2665</v>
      </c>
      <c r="E127" s="89" t="b">
        <v>0</v>
      </c>
      <c r="F127" s="89" t="b">
        <v>0</v>
      </c>
      <c r="G127" s="89" t="b">
        <v>0</v>
      </c>
    </row>
    <row r="128" spans="1:7" ht="15">
      <c r="A128" s="85" t="s">
        <v>2587</v>
      </c>
      <c r="B128" s="89">
        <v>2</v>
      </c>
      <c r="C128" s="111">
        <v>0.0010001566988239465</v>
      </c>
      <c r="D128" s="89" t="s">
        <v>2665</v>
      </c>
      <c r="E128" s="89" t="b">
        <v>0</v>
      </c>
      <c r="F128" s="89" t="b">
        <v>0</v>
      </c>
      <c r="G128" s="89" t="b">
        <v>0</v>
      </c>
    </row>
    <row r="129" spans="1:7" ht="15">
      <c r="A129" s="85" t="s">
        <v>2588</v>
      </c>
      <c r="B129" s="89">
        <v>2</v>
      </c>
      <c r="C129" s="111">
        <v>0.0010001566988239465</v>
      </c>
      <c r="D129" s="89" t="s">
        <v>2665</v>
      </c>
      <c r="E129" s="89" t="b">
        <v>0</v>
      </c>
      <c r="F129" s="89" t="b">
        <v>0</v>
      </c>
      <c r="G129" s="89" t="b">
        <v>0</v>
      </c>
    </row>
    <row r="130" spans="1:7" ht="15">
      <c r="A130" s="85" t="s">
        <v>2589</v>
      </c>
      <c r="B130" s="89">
        <v>2</v>
      </c>
      <c r="C130" s="111">
        <v>0.0010001566988239465</v>
      </c>
      <c r="D130" s="89" t="s">
        <v>2665</v>
      </c>
      <c r="E130" s="89" t="b">
        <v>0</v>
      </c>
      <c r="F130" s="89" t="b">
        <v>0</v>
      </c>
      <c r="G130" s="89" t="b">
        <v>0</v>
      </c>
    </row>
    <row r="131" spans="1:7" ht="15">
      <c r="A131" s="85" t="s">
        <v>2590</v>
      </c>
      <c r="B131" s="89">
        <v>2</v>
      </c>
      <c r="C131" s="111">
        <v>0.0010001566988239465</v>
      </c>
      <c r="D131" s="89" t="s">
        <v>2665</v>
      </c>
      <c r="E131" s="89" t="b">
        <v>0</v>
      </c>
      <c r="F131" s="89" t="b">
        <v>0</v>
      </c>
      <c r="G131" s="89" t="b">
        <v>0</v>
      </c>
    </row>
    <row r="132" spans="1:7" ht="15">
      <c r="A132" s="85" t="s">
        <v>2591</v>
      </c>
      <c r="B132" s="89">
        <v>2</v>
      </c>
      <c r="C132" s="111">
        <v>0.0010001566988239465</v>
      </c>
      <c r="D132" s="89" t="s">
        <v>2665</v>
      </c>
      <c r="E132" s="89" t="b">
        <v>0</v>
      </c>
      <c r="F132" s="89" t="b">
        <v>0</v>
      </c>
      <c r="G132" s="89" t="b">
        <v>0</v>
      </c>
    </row>
    <row r="133" spans="1:7" ht="15">
      <c r="A133" s="85" t="s">
        <v>2592</v>
      </c>
      <c r="B133" s="89">
        <v>2</v>
      </c>
      <c r="C133" s="111">
        <v>0.0010001566988239465</v>
      </c>
      <c r="D133" s="89" t="s">
        <v>2665</v>
      </c>
      <c r="E133" s="89" t="b">
        <v>0</v>
      </c>
      <c r="F133" s="89" t="b">
        <v>0</v>
      </c>
      <c r="G133" s="89" t="b">
        <v>0</v>
      </c>
    </row>
    <row r="134" spans="1:7" ht="15">
      <c r="A134" s="85" t="s">
        <v>2593</v>
      </c>
      <c r="B134" s="89">
        <v>2</v>
      </c>
      <c r="C134" s="111">
        <v>0.0010001566988239465</v>
      </c>
      <c r="D134" s="89" t="s">
        <v>2665</v>
      </c>
      <c r="E134" s="89" t="b">
        <v>0</v>
      </c>
      <c r="F134" s="89" t="b">
        <v>0</v>
      </c>
      <c r="G134" s="89" t="b">
        <v>0</v>
      </c>
    </row>
    <row r="135" spans="1:7" ht="15">
      <c r="A135" s="85" t="s">
        <v>2594</v>
      </c>
      <c r="B135" s="89">
        <v>2</v>
      </c>
      <c r="C135" s="111">
        <v>0.0010001566988239465</v>
      </c>
      <c r="D135" s="89" t="s">
        <v>2665</v>
      </c>
      <c r="E135" s="89" t="b">
        <v>0</v>
      </c>
      <c r="F135" s="89" t="b">
        <v>0</v>
      </c>
      <c r="G135" s="89" t="b">
        <v>0</v>
      </c>
    </row>
    <row r="136" spans="1:7" ht="15">
      <c r="A136" s="85" t="s">
        <v>2595</v>
      </c>
      <c r="B136" s="89">
        <v>2</v>
      </c>
      <c r="C136" s="111">
        <v>0.0010001566988239465</v>
      </c>
      <c r="D136" s="89" t="s">
        <v>2665</v>
      </c>
      <c r="E136" s="89" t="b">
        <v>0</v>
      </c>
      <c r="F136" s="89" t="b">
        <v>0</v>
      </c>
      <c r="G136" s="89" t="b">
        <v>0</v>
      </c>
    </row>
    <row r="137" spans="1:7" ht="15">
      <c r="A137" s="85" t="s">
        <v>2596</v>
      </c>
      <c r="B137" s="89">
        <v>2</v>
      </c>
      <c r="C137" s="111">
        <v>0.0010001566988239465</v>
      </c>
      <c r="D137" s="89" t="s">
        <v>2665</v>
      </c>
      <c r="E137" s="89" t="b">
        <v>0</v>
      </c>
      <c r="F137" s="89" t="b">
        <v>0</v>
      </c>
      <c r="G137" s="89" t="b">
        <v>0</v>
      </c>
    </row>
    <row r="138" spans="1:7" ht="15">
      <c r="A138" s="85" t="s">
        <v>2597</v>
      </c>
      <c r="B138" s="89">
        <v>2</v>
      </c>
      <c r="C138" s="111">
        <v>0.0010001566988239465</v>
      </c>
      <c r="D138" s="89" t="s">
        <v>2665</v>
      </c>
      <c r="E138" s="89" t="b">
        <v>0</v>
      </c>
      <c r="F138" s="89" t="b">
        <v>0</v>
      </c>
      <c r="G138" s="89" t="b">
        <v>0</v>
      </c>
    </row>
    <row r="139" spans="1:7" ht="15">
      <c r="A139" s="85" t="s">
        <v>2598</v>
      </c>
      <c r="B139" s="89">
        <v>2</v>
      </c>
      <c r="C139" s="111">
        <v>0.0010001566988239465</v>
      </c>
      <c r="D139" s="89" t="s">
        <v>2665</v>
      </c>
      <c r="E139" s="89" t="b">
        <v>0</v>
      </c>
      <c r="F139" s="89" t="b">
        <v>0</v>
      </c>
      <c r="G139" s="89" t="b">
        <v>0</v>
      </c>
    </row>
    <row r="140" spans="1:7" ht="15">
      <c r="A140" s="85" t="s">
        <v>2599</v>
      </c>
      <c r="B140" s="89">
        <v>2</v>
      </c>
      <c r="C140" s="111">
        <v>0.0010001566988239465</v>
      </c>
      <c r="D140" s="89" t="s">
        <v>2665</v>
      </c>
      <c r="E140" s="89" t="b">
        <v>0</v>
      </c>
      <c r="F140" s="89" t="b">
        <v>0</v>
      </c>
      <c r="G140" s="89" t="b">
        <v>0</v>
      </c>
    </row>
    <row r="141" spans="1:7" ht="15">
      <c r="A141" s="85" t="s">
        <v>2600</v>
      </c>
      <c r="B141" s="89">
        <v>2</v>
      </c>
      <c r="C141" s="111">
        <v>0.0011414853352859095</v>
      </c>
      <c r="D141" s="89" t="s">
        <v>2665</v>
      </c>
      <c r="E141" s="89" t="b">
        <v>0</v>
      </c>
      <c r="F141" s="89" t="b">
        <v>0</v>
      </c>
      <c r="G141" s="89" t="b">
        <v>0</v>
      </c>
    </row>
    <row r="142" spans="1:7" ht="15">
      <c r="A142" s="85" t="s">
        <v>2601</v>
      </c>
      <c r="B142" s="89">
        <v>2</v>
      </c>
      <c r="C142" s="111">
        <v>0.0010001566988239465</v>
      </c>
      <c r="D142" s="89" t="s">
        <v>2665</v>
      </c>
      <c r="E142" s="89" t="b">
        <v>0</v>
      </c>
      <c r="F142" s="89" t="b">
        <v>0</v>
      </c>
      <c r="G142" s="89" t="b">
        <v>0</v>
      </c>
    </row>
    <row r="143" spans="1:7" ht="15">
      <c r="A143" s="85" t="s">
        <v>2602</v>
      </c>
      <c r="B143" s="89">
        <v>2</v>
      </c>
      <c r="C143" s="111">
        <v>0.0011414853352859095</v>
      </c>
      <c r="D143" s="89" t="s">
        <v>2665</v>
      </c>
      <c r="E143" s="89" t="b">
        <v>0</v>
      </c>
      <c r="F143" s="89" t="b">
        <v>0</v>
      </c>
      <c r="G143" s="89" t="b">
        <v>0</v>
      </c>
    </row>
    <row r="144" spans="1:7" ht="15">
      <c r="A144" s="85" t="s">
        <v>2603</v>
      </c>
      <c r="B144" s="89">
        <v>2</v>
      </c>
      <c r="C144" s="111">
        <v>0.0011414853352859095</v>
      </c>
      <c r="D144" s="89" t="s">
        <v>2665</v>
      </c>
      <c r="E144" s="89" t="b">
        <v>0</v>
      </c>
      <c r="F144" s="89" t="b">
        <v>0</v>
      </c>
      <c r="G144" s="89" t="b">
        <v>0</v>
      </c>
    </row>
    <row r="145" spans="1:7" ht="15">
      <c r="A145" s="85" t="s">
        <v>2604</v>
      </c>
      <c r="B145" s="89">
        <v>2</v>
      </c>
      <c r="C145" s="111">
        <v>0.0010001566988239465</v>
      </c>
      <c r="D145" s="89" t="s">
        <v>2665</v>
      </c>
      <c r="E145" s="89" t="b">
        <v>0</v>
      </c>
      <c r="F145" s="89" t="b">
        <v>0</v>
      </c>
      <c r="G145" s="89" t="b">
        <v>0</v>
      </c>
    </row>
    <row r="146" spans="1:7" ht="15">
      <c r="A146" s="85" t="s">
        <v>2605</v>
      </c>
      <c r="B146" s="89">
        <v>2</v>
      </c>
      <c r="C146" s="111">
        <v>0.0010001566988239465</v>
      </c>
      <c r="D146" s="89" t="s">
        <v>2665</v>
      </c>
      <c r="E146" s="89" t="b">
        <v>0</v>
      </c>
      <c r="F146" s="89" t="b">
        <v>0</v>
      </c>
      <c r="G146" s="89" t="b">
        <v>0</v>
      </c>
    </row>
    <row r="147" spans="1:7" ht="15">
      <c r="A147" s="85" t="s">
        <v>2606</v>
      </c>
      <c r="B147" s="89">
        <v>2</v>
      </c>
      <c r="C147" s="111">
        <v>0.0010001566988239465</v>
      </c>
      <c r="D147" s="89" t="s">
        <v>2665</v>
      </c>
      <c r="E147" s="89" t="b">
        <v>0</v>
      </c>
      <c r="F147" s="89" t="b">
        <v>0</v>
      </c>
      <c r="G147" s="89" t="b">
        <v>0</v>
      </c>
    </row>
    <row r="148" spans="1:7" ht="15">
      <c r="A148" s="85" t="s">
        <v>2607</v>
      </c>
      <c r="B148" s="89">
        <v>2</v>
      </c>
      <c r="C148" s="111">
        <v>0.0010001566988239465</v>
      </c>
      <c r="D148" s="89" t="s">
        <v>2665</v>
      </c>
      <c r="E148" s="89" t="b">
        <v>0</v>
      </c>
      <c r="F148" s="89" t="b">
        <v>0</v>
      </c>
      <c r="G148" s="89" t="b">
        <v>0</v>
      </c>
    </row>
    <row r="149" spans="1:7" ht="15">
      <c r="A149" s="85" t="s">
        <v>2608</v>
      </c>
      <c r="B149" s="89">
        <v>2</v>
      </c>
      <c r="C149" s="111">
        <v>0.0010001566988239465</v>
      </c>
      <c r="D149" s="89" t="s">
        <v>2665</v>
      </c>
      <c r="E149" s="89" t="b">
        <v>0</v>
      </c>
      <c r="F149" s="89" t="b">
        <v>0</v>
      </c>
      <c r="G149" s="89" t="b">
        <v>0</v>
      </c>
    </row>
    <row r="150" spans="1:7" ht="15">
      <c r="A150" s="85" t="s">
        <v>2609</v>
      </c>
      <c r="B150" s="89">
        <v>2</v>
      </c>
      <c r="C150" s="111">
        <v>0.0010001566988239465</v>
      </c>
      <c r="D150" s="89" t="s">
        <v>2665</v>
      </c>
      <c r="E150" s="89" t="b">
        <v>0</v>
      </c>
      <c r="F150" s="89" t="b">
        <v>0</v>
      </c>
      <c r="G150" s="89" t="b">
        <v>0</v>
      </c>
    </row>
    <row r="151" spans="1:7" ht="15">
      <c r="A151" s="85" t="s">
        <v>2610</v>
      </c>
      <c r="B151" s="89">
        <v>2</v>
      </c>
      <c r="C151" s="111">
        <v>0.0011414853352859095</v>
      </c>
      <c r="D151" s="89" t="s">
        <v>2665</v>
      </c>
      <c r="E151" s="89" t="b">
        <v>0</v>
      </c>
      <c r="F151" s="89" t="b">
        <v>0</v>
      </c>
      <c r="G151" s="89" t="b">
        <v>0</v>
      </c>
    </row>
    <row r="152" spans="1:7" ht="15">
      <c r="A152" s="85" t="s">
        <v>2611</v>
      </c>
      <c r="B152" s="89">
        <v>2</v>
      </c>
      <c r="C152" s="111">
        <v>0.0010001566988239465</v>
      </c>
      <c r="D152" s="89" t="s">
        <v>2665</v>
      </c>
      <c r="E152" s="89" t="b">
        <v>0</v>
      </c>
      <c r="F152" s="89" t="b">
        <v>0</v>
      </c>
      <c r="G152" s="89" t="b">
        <v>0</v>
      </c>
    </row>
    <row r="153" spans="1:7" ht="15">
      <c r="A153" s="85" t="s">
        <v>2612</v>
      </c>
      <c r="B153" s="89">
        <v>2</v>
      </c>
      <c r="C153" s="111">
        <v>0.0011414853352859095</v>
      </c>
      <c r="D153" s="89" t="s">
        <v>2665</v>
      </c>
      <c r="E153" s="89" t="b">
        <v>0</v>
      </c>
      <c r="F153" s="89" t="b">
        <v>0</v>
      </c>
      <c r="G153" s="89" t="b">
        <v>0</v>
      </c>
    </row>
    <row r="154" spans="1:7" ht="15">
      <c r="A154" s="85" t="s">
        <v>2613</v>
      </c>
      <c r="B154" s="89">
        <v>2</v>
      </c>
      <c r="C154" s="111">
        <v>0.0010001566988239465</v>
      </c>
      <c r="D154" s="89" t="s">
        <v>2665</v>
      </c>
      <c r="E154" s="89" t="b">
        <v>0</v>
      </c>
      <c r="F154" s="89" t="b">
        <v>0</v>
      </c>
      <c r="G154" s="89" t="b">
        <v>0</v>
      </c>
    </row>
    <row r="155" spans="1:7" ht="15">
      <c r="A155" s="85" t="s">
        <v>2614</v>
      </c>
      <c r="B155" s="89">
        <v>2</v>
      </c>
      <c r="C155" s="111">
        <v>0.0010001566988239465</v>
      </c>
      <c r="D155" s="89" t="s">
        <v>2665</v>
      </c>
      <c r="E155" s="89" t="b">
        <v>0</v>
      </c>
      <c r="F155" s="89" t="b">
        <v>0</v>
      </c>
      <c r="G155" s="89" t="b">
        <v>0</v>
      </c>
    </row>
    <row r="156" spans="1:7" ht="15">
      <c r="A156" s="85" t="s">
        <v>2615</v>
      </c>
      <c r="B156" s="89">
        <v>2</v>
      </c>
      <c r="C156" s="111">
        <v>0.0010001566988239465</v>
      </c>
      <c r="D156" s="89" t="s">
        <v>2665</v>
      </c>
      <c r="E156" s="89" t="b">
        <v>0</v>
      </c>
      <c r="F156" s="89" t="b">
        <v>0</v>
      </c>
      <c r="G156" s="89" t="b">
        <v>0</v>
      </c>
    </row>
    <row r="157" spans="1:7" ht="15">
      <c r="A157" s="85" t="s">
        <v>2616</v>
      </c>
      <c r="B157" s="89">
        <v>2</v>
      </c>
      <c r="C157" s="111">
        <v>0.0010001566988239465</v>
      </c>
      <c r="D157" s="89" t="s">
        <v>2665</v>
      </c>
      <c r="E157" s="89" t="b">
        <v>0</v>
      </c>
      <c r="F157" s="89" t="b">
        <v>0</v>
      </c>
      <c r="G157" s="89" t="b">
        <v>0</v>
      </c>
    </row>
    <row r="158" spans="1:7" ht="15">
      <c r="A158" s="85" t="s">
        <v>2617</v>
      </c>
      <c r="B158" s="89">
        <v>2</v>
      </c>
      <c r="C158" s="111">
        <v>0.0010001566988239465</v>
      </c>
      <c r="D158" s="89" t="s">
        <v>2665</v>
      </c>
      <c r="E158" s="89" t="b">
        <v>0</v>
      </c>
      <c r="F158" s="89" t="b">
        <v>0</v>
      </c>
      <c r="G158" s="89" t="b">
        <v>0</v>
      </c>
    </row>
    <row r="159" spans="1:7" ht="15">
      <c r="A159" s="85" t="s">
        <v>2618</v>
      </c>
      <c r="B159" s="89">
        <v>2</v>
      </c>
      <c r="C159" s="111">
        <v>0.0010001566988239465</v>
      </c>
      <c r="D159" s="89" t="s">
        <v>2665</v>
      </c>
      <c r="E159" s="89" t="b">
        <v>0</v>
      </c>
      <c r="F159" s="89" t="b">
        <v>0</v>
      </c>
      <c r="G159" s="89" t="b">
        <v>0</v>
      </c>
    </row>
    <row r="160" spans="1:7" ht="15">
      <c r="A160" s="85" t="s">
        <v>2619</v>
      </c>
      <c r="B160" s="89">
        <v>2</v>
      </c>
      <c r="C160" s="111">
        <v>0.0010001566988239465</v>
      </c>
      <c r="D160" s="89" t="s">
        <v>2665</v>
      </c>
      <c r="E160" s="89" t="b">
        <v>0</v>
      </c>
      <c r="F160" s="89" t="b">
        <v>0</v>
      </c>
      <c r="G160" s="89" t="b">
        <v>0</v>
      </c>
    </row>
    <row r="161" spans="1:7" ht="15">
      <c r="A161" s="85" t="s">
        <v>2620</v>
      </c>
      <c r="B161" s="89">
        <v>2</v>
      </c>
      <c r="C161" s="111">
        <v>0.0010001566988239465</v>
      </c>
      <c r="D161" s="89" t="s">
        <v>2665</v>
      </c>
      <c r="E161" s="89" t="b">
        <v>0</v>
      </c>
      <c r="F161" s="89" t="b">
        <v>0</v>
      </c>
      <c r="G161" s="89" t="b">
        <v>0</v>
      </c>
    </row>
    <row r="162" spans="1:7" ht="15">
      <c r="A162" s="85" t="s">
        <v>2621</v>
      </c>
      <c r="B162" s="89">
        <v>2</v>
      </c>
      <c r="C162" s="111">
        <v>0.0010001566988239465</v>
      </c>
      <c r="D162" s="89" t="s">
        <v>2665</v>
      </c>
      <c r="E162" s="89" t="b">
        <v>0</v>
      </c>
      <c r="F162" s="89" t="b">
        <v>0</v>
      </c>
      <c r="G162" s="89" t="b">
        <v>0</v>
      </c>
    </row>
    <row r="163" spans="1:7" ht="15">
      <c r="A163" s="85" t="s">
        <v>2622</v>
      </c>
      <c r="B163" s="89">
        <v>2</v>
      </c>
      <c r="C163" s="111">
        <v>0.0010001566988239465</v>
      </c>
      <c r="D163" s="89" t="s">
        <v>2665</v>
      </c>
      <c r="E163" s="89" t="b">
        <v>0</v>
      </c>
      <c r="F163" s="89" t="b">
        <v>0</v>
      </c>
      <c r="G163" s="89" t="b">
        <v>0</v>
      </c>
    </row>
    <row r="164" spans="1:7" ht="15">
      <c r="A164" s="85" t="s">
        <v>2623</v>
      </c>
      <c r="B164" s="89">
        <v>2</v>
      </c>
      <c r="C164" s="111">
        <v>0.0010001566988239465</v>
      </c>
      <c r="D164" s="89" t="s">
        <v>2665</v>
      </c>
      <c r="E164" s="89" t="b">
        <v>0</v>
      </c>
      <c r="F164" s="89" t="b">
        <v>0</v>
      </c>
      <c r="G164" s="89" t="b">
        <v>0</v>
      </c>
    </row>
    <row r="165" spans="1:7" ht="15">
      <c r="A165" s="85" t="s">
        <v>2624</v>
      </c>
      <c r="B165" s="89">
        <v>2</v>
      </c>
      <c r="C165" s="111">
        <v>0.0011414853352859095</v>
      </c>
      <c r="D165" s="89" t="s">
        <v>2665</v>
      </c>
      <c r="E165" s="89" t="b">
        <v>0</v>
      </c>
      <c r="F165" s="89" t="b">
        <v>0</v>
      </c>
      <c r="G165" s="89" t="b">
        <v>0</v>
      </c>
    </row>
    <row r="166" spans="1:7" ht="15">
      <c r="A166" s="85" t="s">
        <v>2625</v>
      </c>
      <c r="B166" s="89">
        <v>2</v>
      </c>
      <c r="C166" s="111">
        <v>0.0010001566988239465</v>
      </c>
      <c r="D166" s="89" t="s">
        <v>2665</v>
      </c>
      <c r="E166" s="89" t="b">
        <v>0</v>
      </c>
      <c r="F166" s="89" t="b">
        <v>0</v>
      </c>
      <c r="G166" s="89" t="b">
        <v>0</v>
      </c>
    </row>
    <row r="167" spans="1:7" ht="15">
      <c r="A167" s="85" t="s">
        <v>2626</v>
      </c>
      <c r="B167" s="89">
        <v>2</v>
      </c>
      <c r="C167" s="111">
        <v>0.0010001566988239465</v>
      </c>
      <c r="D167" s="89" t="s">
        <v>2665</v>
      </c>
      <c r="E167" s="89" t="b">
        <v>0</v>
      </c>
      <c r="F167" s="89" t="b">
        <v>0</v>
      </c>
      <c r="G167" s="89" t="b">
        <v>0</v>
      </c>
    </row>
    <row r="168" spans="1:7" ht="15">
      <c r="A168" s="85" t="s">
        <v>2627</v>
      </c>
      <c r="B168" s="89">
        <v>2</v>
      </c>
      <c r="C168" s="111">
        <v>0.0010001566988239465</v>
      </c>
      <c r="D168" s="89" t="s">
        <v>2665</v>
      </c>
      <c r="E168" s="89" t="b">
        <v>0</v>
      </c>
      <c r="F168" s="89" t="b">
        <v>0</v>
      </c>
      <c r="G168" s="89" t="b">
        <v>0</v>
      </c>
    </row>
    <row r="169" spans="1:7" ht="15">
      <c r="A169" s="85" t="s">
        <v>2628</v>
      </c>
      <c r="B169" s="89">
        <v>2</v>
      </c>
      <c r="C169" s="111">
        <v>0.0010001566988239465</v>
      </c>
      <c r="D169" s="89" t="s">
        <v>2665</v>
      </c>
      <c r="E169" s="89" t="b">
        <v>0</v>
      </c>
      <c r="F169" s="89" t="b">
        <v>0</v>
      </c>
      <c r="G169" s="89" t="b">
        <v>0</v>
      </c>
    </row>
    <row r="170" spans="1:7" ht="15">
      <c r="A170" s="85" t="s">
        <v>2629</v>
      </c>
      <c r="B170" s="89">
        <v>2</v>
      </c>
      <c r="C170" s="111">
        <v>0.0011414853352859095</v>
      </c>
      <c r="D170" s="89" t="s">
        <v>2665</v>
      </c>
      <c r="E170" s="89" t="b">
        <v>0</v>
      </c>
      <c r="F170" s="89" t="b">
        <v>0</v>
      </c>
      <c r="G170" s="89" t="b">
        <v>0</v>
      </c>
    </row>
    <row r="171" spans="1:7" ht="15">
      <c r="A171" s="85" t="s">
        <v>2630</v>
      </c>
      <c r="B171" s="89">
        <v>2</v>
      </c>
      <c r="C171" s="111">
        <v>0.0010001566988239465</v>
      </c>
      <c r="D171" s="89" t="s">
        <v>2665</v>
      </c>
      <c r="E171" s="89" t="b">
        <v>0</v>
      </c>
      <c r="F171" s="89" t="b">
        <v>0</v>
      </c>
      <c r="G171" s="89" t="b">
        <v>0</v>
      </c>
    </row>
    <row r="172" spans="1:7" ht="15">
      <c r="A172" s="85" t="s">
        <v>2631</v>
      </c>
      <c r="B172" s="89">
        <v>2</v>
      </c>
      <c r="C172" s="111">
        <v>0.0010001566988239465</v>
      </c>
      <c r="D172" s="89" t="s">
        <v>2665</v>
      </c>
      <c r="E172" s="89" t="b">
        <v>0</v>
      </c>
      <c r="F172" s="89" t="b">
        <v>0</v>
      </c>
      <c r="G172" s="89" t="b">
        <v>0</v>
      </c>
    </row>
    <row r="173" spans="1:7" ht="15">
      <c r="A173" s="85" t="s">
        <v>2632</v>
      </c>
      <c r="B173" s="89">
        <v>2</v>
      </c>
      <c r="C173" s="111">
        <v>0.0010001566988239465</v>
      </c>
      <c r="D173" s="89" t="s">
        <v>2665</v>
      </c>
      <c r="E173" s="89" t="b">
        <v>0</v>
      </c>
      <c r="F173" s="89" t="b">
        <v>0</v>
      </c>
      <c r="G173" s="89" t="b">
        <v>0</v>
      </c>
    </row>
    <row r="174" spans="1:7" ht="15">
      <c r="A174" s="85" t="s">
        <v>2633</v>
      </c>
      <c r="B174" s="89">
        <v>2</v>
      </c>
      <c r="C174" s="111">
        <v>0.0010001566988239465</v>
      </c>
      <c r="D174" s="89" t="s">
        <v>2665</v>
      </c>
      <c r="E174" s="89" t="b">
        <v>0</v>
      </c>
      <c r="F174" s="89" t="b">
        <v>0</v>
      </c>
      <c r="G174" s="89" t="b">
        <v>0</v>
      </c>
    </row>
    <row r="175" spans="1:7" ht="15">
      <c r="A175" s="85" t="s">
        <v>2634</v>
      </c>
      <c r="B175" s="89">
        <v>2</v>
      </c>
      <c r="C175" s="111">
        <v>0.0010001566988239465</v>
      </c>
      <c r="D175" s="89" t="s">
        <v>2665</v>
      </c>
      <c r="E175" s="89" t="b">
        <v>0</v>
      </c>
      <c r="F175" s="89" t="b">
        <v>0</v>
      </c>
      <c r="G175" s="89" t="b">
        <v>0</v>
      </c>
    </row>
    <row r="176" spans="1:7" ht="15">
      <c r="A176" s="85" t="s">
        <v>2635</v>
      </c>
      <c r="B176" s="89">
        <v>2</v>
      </c>
      <c r="C176" s="111">
        <v>0.0010001566988239465</v>
      </c>
      <c r="D176" s="89" t="s">
        <v>2665</v>
      </c>
      <c r="E176" s="89" t="b">
        <v>0</v>
      </c>
      <c r="F176" s="89" t="b">
        <v>0</v>
      </c>
      <c r="G176" s="89" t="b">
        <v>0</v>
      </c>
    </row>
    <row r="177" spans="1:7" ht="15">
      <c r="A177" s="85" t="s">
        <v>2636</v>
      </c>
      <c r="B177" s="89">
        <v>2</v>
      </c>
      <c r="C177" s="111">
        <v>0.0010001566988239465</v>
      </c>
      <c r="D177" s="89" t="s">
        <v>2665</v>
      </c>
      <c r="E177" s="89" t="b">
        <v>0</v>
      </c>
      <c r="F177" s="89" t="b">
        <v>0</v>
      </c>
      <c r="G177" s="89" t="b">
        <v>0</v>
      </c>
    </row>
    <row r="178" spans="1:7" ht="15">
      <c r="A178" s="85" t="s">
        <v>2637</v>
      </c>
      <c r="B178" s="89">
        <v>2</v>
      </c>
      <c r="C178" s="111">
        <v>0.0010001566988239465</v>
      </c>
      <c r="D178" s="89" t="s">
        <v>2665</v>
      </c>
      <c r="E178" s="89" t="b">
        <v>0</v>
      </c>
      <c r="F178" s="89" t="b">
        <v>0</v>
      </c>
      <c r="G178" s="89" t="b">
        <v>0</v>
      </c>
    </row>
    <row r="179" spans="1:7" ht="15">
      <c r="A179" s="85" t="s">
        <v>2638</v>
      </c>
      <c r="B179" s="89">
        <v>2</v>
      </c>
      <c r="C179" s="111">
        <v>0.0010001566988239465</v>
      </c>
      <c r="D179" s="89" t="s">
        <v>2665</v>
      </c>
      <c r="E179" s="89" t="b">
        <v>0</v>
      </c>
      <c r="F179" s="89" t="b">
        <v>0</v>
      </c>
      <c r="G179" s="89" t="b">
        <v>0</v>
      </c>
    </row>
    <row r="180" spans="1:7" ht="15">
      <c r="A180" s="85" t="s">
        <v>2639</v>
      </c>
      <c r="B180" s="89">
        <v>2</v>
      </c>
      <c r="C180" s="111">
        <v>0.0010001566988239465</v>
      </c>
      <c r="D180" s="89" t="s">
        <v>2665</v>
      </c>
      <c r="E180" s="89" t="b">
        <v>0</v>
      </c>
      <c r="F180" s="89" t="b">
        <v>0</v>
      </c>
      <c r="G180" s="89" t="b">
        <v>0</v>
      </c>
    </row>
    <row r="181" spans="1:7" ht="15">
      <c r="A181" s="85" t="s">
        <v>2640</v>
      </c>
      <c r="B181" s="89">
        <v>2</v>
      </c>
      <c r="C181" s="111">
        <v>0.0010001566988239465</v>
      </c>
      <c r="D181" s="89" t="s">
        <v>2665</v>
      </c>
      <c r="E181" s="89" t="b">
        <v>0</v>
      </c>
      <c r="F181" s="89" t="b">
        <v>0</v>
      </c>
      <c r="G181" s="89" t="b">
        <v>0</v>
      </c>
    </row>
    <row r="182" spans="1:7" ht="15">
      <c r="A182" s="85" t="s">
        <v>2641</v>
      </c>
      <c r="B182" s="89">
        <v>2</v>
      </c>
      <c r="C182" s="111">
        <v>0.0010001566988239465</v>
      </c>
      <c r="D182" s="89" t="s">
        <v>2665</v>
      </c>
      <c r="E182" s="89" t="b">
        <v>0</v>
      </c>
      <c r="F182" s="89" t="b">
        <v>0</v>
      </c>
      <c r="G182" s="89" t="b">
        <v>0</v>
      </c>
    </row>
    <row r="183" spans="1:7" ht="15">
      <c r="A183" s="85" t="s">
        <v>2642</v>
      </c>
      <c r="B183" s="89">
        <v>2</v>
      </c>
      <c r="C183" s="111">
        <v>0.0010001566988239465</v>
      </c>
      <c r="D183" s="89" t="s">
        <v>2665</v>
      </c>
      <c r="E183" s="89" t="b">
        <v>0</v>
      </c>
      <c r="F183" s="89" t="b">
        <v>0</v>
      </c>
      <c r="G183" s="89" t="b">
        <v>0</v>
      </c>
    </row>
    <row r="184" spans="1:7" ht="15">
      <c r="A184" s="85" t="s">
        <v>2643</v>
      </c>
      <c r="B184" s="89">
        <v>2</v>
      </c>
      <c r="C184" s="111">
        <v>0.0011414853352859095</v>
      </c>
      <c r="D184" s="89" t="s">
        <v>2665</v>
      </c>
      <c r="E184" s="89" t="b">
        <v>0</v>
      </c>
      <c r="F184" s="89" t="b">
        <v>0</v>
      </c>
      <c r="G184" s="89" t="b">
        <v>0</v>
      </c>
    </row>
    <row r="185" spans="1:7" ht="15">
      <c r="A185" s="85" t="s">
        <v>2644</v>
      </c>
      <c r="B185" s="89">
        <v>2</v>
      </c>
      <c r="C185" s="111">
        <v>0.0011414853352859095</v>
      </c>
      <c r="D185" s="89" t="s">
        <v>2665</v>
      </c>
      <c r="E185" s="89" t="b">
        <v>0</v>
      </c>
      <c r="F185" s="89" t="b">
        <v>0</v>
      </c>
      <c r="G185" s="89" t="b">
        <v>0</v>
      </c>
    </row>
    <row r="186" spans="1:7" ht="15">
      <c r="A186" s="85" t="s">
        <v>2645</v>
      </c>
      <c r="B186" s="89">
        <v>2</v>
      </c>
      <c r="C186" s="111">
        <v>0.0011414853352859095</v>
      </c>
      <c r="D186" s="89" t="s">
        <v>2665</v>
      </c>
      <c r="E186" s="89" t="b">
        <v>0</v>
      </c>
      <c r="F186" s="89" t="b">
        <v>0</v>
      </c>
      <c r="G186" s="89" t="b">
        <v>0</v>
      </c>
    </row>
    <row r="187" spans="1:7" ht="15">
      <c r="A187" s="85" t="s">
        <v>430</v>
      </c>
      <c r="B187" s="89">
        <v>2</v>
      </c>
      <c r="C187" s="111">
        <v>0.0010001566988239465</v>
      </c>
      <c r="D187" s="89" t="s">
        <v>2665</v>
      </c>
      <c r="E187" s="89" t="b">
        <v>0</v>
      </c>
      <c r="F187" s="89" t="b">
        <v>0</v>
      </c>
      <c r="G187" s="89" t="b">
        <v>0</v>
      </c>
    </row>
    <row r="188" spans="1:7" ht="15">
      <c r="A188" s="85" t="s">
        <v>2646</v>
      </c>
      <c r="B188" s="89">
        <v>2</v>
      </c>
      <c r="C188" s="111">
        <v>0.0010001566988239465</v>
      </c>
      <c r="D188" s="89" t="s">
        <v>2665</v>
      </c>
      <c r="E188" s="89" t="b">
        <v>0</v>
      </c>
      <c r="F188" s="89" t="b">
        <v>0</v>
      </c>
      <c r="G188" s="89" t="b">
        <v>0</v>
      </c>
    </row>
    <row r="189" spans="1:7" ht="15">
      <c r="A189" s="85" t="s">
        <v>2647</v>
      </c>
      <c r="B189" s="89">
        <v>2</v>
      </c>
      <c r="C189" s="111">
        <v>0.0010001566988239465</v>
      </c>
      <c r="D189" s="89" t="s">
        <v>2665</v>
      </c>
      <c r="E189" s="89" t="b">
        <v>0</v>
      </c>
      <c r="F189" s="89" t="b">
        <v>0</v>
      </c>
      <c r="G189" s="89" t="b">
        <v>0</v>
      </c>
    </row>
    <row r="190" spans="1:7" ht="15">
      <c r="A190" s="85" t="s">
        <v>2648</v>
      </c>
      <c r="B190" s="89">
        <v>2</v>
      </c>
      <c r="C190" s="111">
        <v>0.0010001566988239465</v>
      </c>
      <c r="D190" s="89" t="s">
        <v>2665</v>
      </c>
      <c r="E190" s="89" t="b">
        <v>0</v>
      </c>
      <c r="F190" s="89" t="b">
        <v>0</v>
      </c>
      <c r="G190" s="89" t="b">
        <v>0</v>
      </c>
    </row>
    <row r="191" spans="1:7" ht="15">
      <c r="A191" s="85" t="s">
        <v>2649</v>
      </c>
      <c r="B191" s="89">
        <v>2</v>
      </c>
      <c r="C191" s="111">
        <v>0.0010001566988239465</v>
      </c>
      <c r="D191" s="89" t="s">
        <v>2665</v>
      </c>
      <c r="E191" s="89" t="b">
        <v>0</v>
      </c>
      <c r="F191" s="89" t="b">
        <v>0</v>
      </c>
      <c r="G191" s="89" t="b">
        <v>0</v>
      </c>
    </row>
    <row r="192" spans="1:7" ht="15">
      <c r="A192" s="85" t="s">
        <v>2650</v>
      </c>
      <c r="B192" s="89">
        <v>2</v>
      </c>
      <c r="C192" s="111">
        <v>0.0010001566988239465</v>
      </c>
      <c r="D192" s="89" t="s">
        <v>2665</v>
      </c>
      <c r="E192" s="89" t="b">
        <v>0</v>
      </c>
      <c r="F192" s="89" t="b">
        <v>0</v>
      </c>
      <c r="G192" s="89" t="b">
        <v>0</v>
      </c>
    </row>
    <row r="193" spans="1:7" ht="15">
      <c r="A193" s="85" t="s">
        <v>2651</v>
      </c>
      <c r="B193" s="89">
        <v>2</v>
      </c>
      <c r="C193" s="111">
        <v>0.0010001566988239465</v>
      </c>
      <c r="D193" s="89" t="s">
        <v>2665</v>
      </c>
      <c r="E193" s="89" t="b">
        <v>0</v>
      </c>
      <c r="F193" s="89" t="b">
        <v>0</v>
      </c>
      <c r="G193" s="89" t="b">
        <v>0</v>
      </c>
    </row>
    <row r="194" spans="1:7" ht="15">
      <c r="A194" s="85" t="s">
        <v>2652</v>
      </c>
      <c r="B194" s="89">
        <v>2</v>
      </c>
      <c r="C194" s="111">
        <v>0.0010001566988239465</v>
      </c>
      <c r="D194" s="89" t="s">
        <v>2665</v>
      </c>
      <c r="E194" s="89" t="b">
        <v>0</v>
      </c>
      <c r="F194" s="89" t="b">
        <v>0</v>
      </c>
      <c r="G194" s="89" t="b">
        <v>0</v>
      </c>
    </row>
    <row r="195" spans="1:7" ht="15">
      <c r="A195" s="85" t="s">
        <v>2653</v>
      </c>
      <c r="B195" s="89">
        <v>2</v>
      </c>
      <c r="C195" s="111">
        <v>0.0010001566988239465</v>
      </c>
      <c r="D195" s="89" t="s">
        <v>2665</v>
      </c>
      <c r="E195" s="89" t="b">
        <v>0</v>
      </c>
      <c r="F195" s="89" t="b">
        <v>0</v>
      </c>
      <c r="G195" s="89" t="b">
        <v>0</v>
      </c>
    </row>
    <row r="196" spans="1:7" ht="15">
      <c r="A196" s="85" t="s">
        <v>2654</v>
      </c>
      <c r="B196" s="89">
        <v>2</v>
      </c>
      <c r="C196" s="111">
        <v>0.0010001566988239465</v>
      </c>
      <c r="D196" s="89" t="s">
        <v>2665</v>
      </c>
      <c r="E196" s="89" t="b">
        <v>0</v>
      </c>
      <c r="F196" s="89" t="b">
        <v>0</v>
      </c>
      <c r="G196" s="89" t="b">
        <v>0</v>
      </c>
    </row>
    <row r="197" spans="1:7" ht="15">
      <c r="A197" s="85" t="s">
        <v>2655</v>
      </c>
      <c r="B197" s="89">
        <v>2</v>
      </c>
      <c r="C197" s="111">
        <v>0.0010001566988239465</v>
      </c>
      <c r="D197" s="89" t="s">
        <v>2665</v>
      </c>
      <c r="E197" s="89" t="b">
        <v>0</v>
      </c>
      <c r="F197" s="89" t="b">
        <v>0</v>
      </c>
      <c r="G197" s="89" t="b">
        <v>0</v>
      </c>
    </row>
    <row r="198" spans="1:7" ht="15">
      <c r="A198" s="85" t="s">
        <v>2656</v>
      </c>
      <c r="B198" s="89">
        <v>2</v>
      </c>
      <c r="C198" s="111">
        <v>0.0010001566988239465</v>
      </c>
      <c r="D198" s="89" t="s">
        <v>2665</v>
      </c>
      <c r="E198" s="89" t="b">
        <v>0</v>
      </c>
      <c r="F198" s="89" t="b">
        <v>0</v>
      </c>
      <c r="G198" s="89" t="b">
        <v>0</v>
      </c>
    </row>
    <row r="199" spans="1:7" ht="15">
      <c r="A199" s="85" t="s">
        <v>2657</v>
      </c>
      <c r="B199" s="89">
        <v>2</v>
      </c>
      <c r="C199" s="111">
        <v>0.0010001566988239465</v>
      </c>
      <c r="D199" s="89" t="s">
        <v>2665</v>
      </c>
      <c r="E199" s="89" t="b">
        <v>0</v>
      </c>
      <c r="F199" s="89" t="b">
        <v>0</v>
      </c>
      <c r="G199" s="89" t="b">
        <v>0</v>
      </c>
    </row>
    <row r="200" spans="1:7" ht="15">
      <c r="A200" s="85" t="s">
        <v>2658</v>
      </c>
      <c r="B200" s="89">
        <v>2</v>
      </c>
      <c r="C200" s="111">
        <v>0.0011414853352859095</v>
      </c>
      <c r="D200" s="89" t="s">
        <v>2665</v>
      </c>
      <c r="E200" s="89" t="b">
        <v>0</v>
      </c>
      <c r="F200" s="89" t="b">
        <v>0</v>
      </c>
      <c r="G200" s="89" t="b">
        <v>0</v>
      </c>
    </row>
    <row r="201" spans="1:7" ht="15">
      <c r="A201" s="85" t="s">
        <v>2659</v>
      </c>
      <c r="B201" s="89">
        <v>2</v>
      </c>
      <c r="C201" s="111">
        <v>0.0011414853352859095</v>
      </c>
      <c r="D201" s="89" t="s">
        <v>2665</v>
      </c>
      <c r="E201" s="89" t="b">
        <v>0</v>
      </c>
      <c r="F201" s="89" t="b">
        <v>0</v>
      </c>
      <c r="G201" s="89" t="b">
        <v>0</v>
      </c>
    </row>
    <row r="202" spans="1:7" ht="15">
      <c r="A202" s="85" t="s">
        <v>591</v>
      </c>
      <c r="B202" s="89">
        <v>347</v>
      </c>
      <c r="C202" s="111">
        <v>0.00453285326392136</v>
      </c>
      <c r="D202" s="89" t="s">
        <v>2425</v>
      </c>
      <c r="E202" s="89" t="b">
        <v>0</v>
      </c>
      <c r="F202" s="89" t="b">
        <v>0</v>
      </c>
      <c r="G202" s="89" t="b">
        <v>0</v>
      </c>
    </row>
    <row r="203" spans="1:7" ht="15">
      <c r="A203" s="85" t="s">
        <v>2475</v>
      </c>
      <c r="B203" s="89">
        <v>172</v>
      </c>
      <c r="C203" s="111">
        <v>0.003427720837154525</v>
      </c>
      <c r="D203" s="89" t="s">
        <v>2425</v>
      </c>
      <c r="E203" s="89" t="b">
        <v>0</v>
      </c>
      <c r="F203" s="89" t="b">
        <v>0</v>
      </c>
      <c r="G203" s="89" t="b">
        <v>0</v>
      </c>
    </row>
    <row r="204" spans="1:7" ht="15">
      <c r="A204" s="85" t="s">
        <v>2474</v>
      </c>
      <c r="B204" s="89">
        <v>172</v>
      </c>
      <c r="C204" s="111">
        <v>0.003427720837154525</v>
      </c>
      <c r="D204" s="89" t="s">
        <v>2425</v>
      </c>
      <c r="E204" s="89" t="b">
        <v>0</v>
      </c>
      <c r="F204" s="89" t="b">
        <v>0</v>
      </c>
      <c r="G204" s="89" t="b">
        <v>0</v>
      </c>
    </row>
    <row r="205" spans="1:7" ht="15">
      <c r="A205" s="85" t="s">
        <v>2479</v>
      </c>
      <c r="B205" s="89">
        <v>86</v>
      </c>
      <c r="C205" s="111">
        <v>0.0017138604185772625</v>
      </c>
      <c r="D205" s="89" t="s">
        <v>2425</v>
      </c>
      <c r="E205" s="89" t="b">
        <v>0</v>
      </c>
      <c r="F205" s="89" t="b">
        <v>0</v>
      </c>
      <c r="G205" s="89" t="b">
        <v>0</v>
      </c>
    </row>
    <row r="206" spans="1:7" ht="15">
      <c r="A206" s="85" t="s">
        <v>2480</v>
      </c>
      <c r="B206" s="89">
        <v>86</v>
      </c>
      <c r="C206" s="111">
        <v>0.0017138604185772625</v>
      </c>
      <c r="D206" s="89" t="s">
        <v>2425</v>
      </c>
      <c r="E206" s="89" t="b">
        <v>0</v>
      </c>
      <c r="F206" s="89" t="b">
        <v>0</v>
      </c>
      <c r="G206" s="89" t="b">
        <v>0</v>
      </c>
    </row>
    <row r="207" spans="1:7" ht="15">
      <c r="A207" s="85" t="s">
        <v>2481</v>
      </c>
      <c r="B207" s="89">
        <v>86</v>
      </c>
      <c r="C207" s="111">
        <v>0.0017138604185772625</v>
      </c>
      <c r="D207" s="89" t="s">
        <v>2425</v>
      </c>
      <c r="E207" s="89" t="b">
        <v>0</v>
      </c>
      <c r="F207" s="89" t="b">
        <v>0</v>
      </c>
      <c r="G207" s="89" t="b">
        <v>0</v>
      </c>
    </row>
    <row r="208" spans="1:7" ht="15">
      <c r="A208" s="85" t="s">
        <v>2482</v>
      </c>
      <c r="B208" s="89">
        <v>86</v>
      </c>
      <c r="C208" s="111">
        <v>0.0017138604185772625</v>
      </c>
      <c r="D208" s="89" t="s">
        <v>2425</v>
      </c>
      <c r="E208" s="89" t="b">
        <v>0</v>
      </c>
      <c r="F208" s="89" t="b">
        <v>0</v>
      </c>
      <c r="G208" s="89" t="b">
        <v>0</v>
      </c>
    </row>
    <row r="209" spans="1:7" ht="15">
      <c r="A209" s="85" t="s">
        <v>2483</v>
      </c>
      <c r="B209" s="89">
        <v>86</v>
      </c>
      <c r="C209" s="111">
        <v>0.0017138604185772625</v>
      </c>
      <c r="D209" s="89" t="s">
        <v>2425</v>
      </c>
      <c r="E209" s="89" t="b">
        <v>0</v>
      </c>
      <c r="F209" s="89" t="b">
        <v>0</v>
      </c>
      <c r="G209" s="89" t="b">
        <v>0</v>
      </c>
    </row>
    <row r="210" spans="1:7" ht="15">
      <c r="A210" s="85" t="s">
        <v>2484</v>
      </c>
      <c r="B210" s="89">
        <v>86</v>
      </c>
      <c r="C210" s="111">
        <v>0.0017138604185772625</v>
      </c>
      <c r="D210" s="89" t="s">
        <v>2425</v>
      </c>
      <c r="E210" s="89" t="b">
        <v>0</v>
      </c>
      <c r="F210" s="89" t="b">
        <v>0</v>
      </c>
      <c r="G210" s="89" t="b">
        <v>0</v>
      </c>
    </row>
    <row r="211" spans="1:7" ht="15">
      <c r="A211" s="85" t="s">
        <v>2485</v>
      </c>
      <c r="B211" s="89">
        <v>86</v>
      </c>
      <c r="C211" s="111">
        <v>0.0017138604185772625</v>
      </c>
      <c r="D211" s="89" t="s">
        <v>2425</v>
      </c>
      <c r="E211" s="89" t="b">
        <v>0</v>
      </c>
      <c r="F211" s="89" t="b">
        <v>0</v>
      </c>
      <c r="G211" s="89" t="b">
        <v>0</v>
      </c>
    </row>
    <row r="212" spans="1:7" ht="15">
      <c r="A212" s="85" t="s">
        <v>2486</v>
      </c>
      <c r="B212" s="89">
        <v>86</v>
      </c>
      <c r="C212" s="111">
        <v>0.0017138604185772625</v>
      </c>
      <c r="D212" s="89" t="s">
        <v>2425</v>
      </c>
      <c r="E212" s="89" t="b">
        <v>0</v>
      </c>
      <c r="F212" s="89" t="b">
        <v>0</v>
      </c>
      <c r="G212" s="89" t="b">
        <v>0</v>
      </c>
    </row>
    <row r="213" spans="1:7" ht="15">
      <c r="A213" s="85" t="s">
        <v>2477</v>
      </c>
      <c r="B213" s="89">
        <v>86</v>
      </c>
      <c r="C213" s="111">
        <v>0.0017138604185772625</v>
      </c>
      <c r="D213" s="89" t="s">
        <v>2425</v>
      </c>
      <c r="E213" s="89" t="b">
        <v>0</v>
      </c>
      <c r="F213" s="89" t="b">
        <v>0</v>
      </c>
      <c r="G213" s="89" t="b">
        <v>0</v>
      </c>
    </row>
    <row r="214" spans="1:7" ht="15">
      <c r="A214" s="85" t="s">
        <v>2487</v>
      </c>
      <c r="B214" s="89">
        <v>86</v>
      </c>
      <c r="C214" s="111">
        <v>0.0017138604185772625</v>
      </c>
      <c r="D214" s="89" t="s">
        <v>2425</v>
      </c>
      <c r="E214" s="89" t="b">
        <v>0</v>
      </c>
      <c r="F214" s="89" t="b">
        <v>0</v>
      </c>
      <c r="G214" s="89" t="b">
        <v>0</v>
      </c>
    </row>
    <row r="215" spans="1:7" ht="15">
      <c r="A215" s="85" t="s">
        <v>2488</v>
      </c>
      <c r="B215" s="89">
        <v>86</v>
      </c>
      <c r="C215" s="111">
        <v>0.0017138604185772625</v>
      </c>
      <c r="D215" s="89" t="s">
        <v>2425</v>
      </c>
      <c r="E215" s="89" t="b">
        <v>0</v>
      </c>
      <c r="F215" s="89" t="b">
        <v>0</v>
      </c>
      <c r="G215" s="89" t="b">
        <v>0</v>
      </c>
    </row>
    <row r="216" spans="1:7" ht="15">
      <c r="A216" s="85" t="s">
        <v>2489</v>
      </c>
      <c r="B216" s="89">
        <v>86</v>
      </c>
      <c r="C216" s="111">
        <v>0.0017138604185772625</v>
      </c>
      <c r="D216" s="89" t="s">
        <v>2425</v>
      </c>
      <c r="E216" s="89" t="b">
        <v>0</v>
      </c>
      <c r="F216" s="89" t="b">
        <v>0</v>
      </c>
      <c r="G216" s="89" t="b">
        <v>0</v>
      </c>
    </row>
    <row r="217" spans="1:7" ht="15">
      <c r="A217" s="85" t="s">
        <v>2478</v>
      </c>
      <c r="B217" s="89">
        <v>86</v>
      </c>
      <c r="C217" s="111">
        <v>0.0017138604185772625</v>
      </c>
      <c r="D217" s="89" t="s">
        <v>2425</v>
      </c>
      <c r="E217" s="89" t="b">
        <v>0</v>
      </c>
      <c r="F217" s="89" t="b">
        <v>0</v>
      </c>
      <c r="G217" s="89" t="b">
        <v>0</v>
      </c>
    </row>
    <row r="218" spans="1:7" ht="15">
      <c r="A218" s="85" t="s">
        <v>2476</v>
      </c>
      <c r="B218" s="89">
        <v>86</v>
      </c>
      <c r="C218" s="111">
        <v>0.0017138604185772625</v>
      </c>
      <c r="D218" s="89" t="s">
        <v>2425</v>
      </c>
      <c r="E218" s="89" t="b">
        <v>0</v>
      </c>
      <c r="F218" s="89" t="b">
        <v>0</v>
      </c>
      <c r="G218" s="89" t="b">
        <v>0</v>
      </c>
    </row>
    <row r="219" spans="1:7" ht="15">
      <c r="A219" s="85" t="s">
        <v>2490</v>
      </c>
      <c r="B219" s="89">
        <v>86</v>
      </c>
      <c r="C219" s="111">
        <v>0.0017138604185772625</v>
      </c>
      <c r="D219" s="89" t="s">
        <v>2425</v>
      </c>
      <c r="E219" s="89" t="b">
        <v>0</v>
      </c>
      <c r="F219" s="89" t="b">
        <v>0</v>
      </c>
      <c r="G219" s="89" t="b">
        <v>0</v>
      </c>
    </row>
    <row r="220" spans="1:7" ht="15">
      <c r="A220" s="85" t="s">
        <v>2491</v>
      </c>
      <c r="B220" s="89">
        <v>86</v>
      </c>
      <c r="C220" s="111">
        <v>0.0017138604185772625</v>
      </c>
      <c r="D220" s="89" t="s">
        <v>2425</v>
      </c>
      <c r="E220" s="89" t="b">
        <v>0</v>
      </c>
      <c r="F220" s="89" t="b">
        <v>0</v>
      </c>
      <c r="G220" s="89" t="b">
        <v>0</v>
      </c>
    </row>
    <row r="221" spans="1:7" ht="15">
      <c r="A221" s="85" t="s">
        <v>479</v>
      </c>
      <c r="B221" s="89">
        <v>9</v>
      </c>
      <c r="C221" s="111">
        <v>0.004246809526346568</v>
      </c>
      <c r="D221" s="89" t="s">
        <v>2425</v>
      </c>
      <c r="E221" s="89" t="b">
        <v>0</v>
      </c>
      <c r="F221" s="89" t="b">
        <v>0</v>
      </c>
      <c r="G221" s="89" t="b">
        <v>0</v>
      </c>
    </row>
    <row r="222" spans="1:7" ht="15">
      <c r="A222" s="85" t="s">
        <v>2519</v>
      </c>
      <c r="B222" s="89">
        <v>6</v>
      </c>
      <c r="C222" s="111">
        <v>0.0033183191007059593</v>
      </c>
      <c r="D222" s="89" t="s">
        <v>2425</v>
      </c>
      <c r="E222" s="89" t="b">
        <v>0</v>
      </c>
      <c r="F222" s="89" t="b">
        <v>0</v>
      </c>
      <c r="G222" s="89" t="b">
        <v>0</v>
      </c>
    </row>
    <row r="223" spans="1:7" ht="15">
      <c r="A223" s="85" t="s">
        <v>2533</v>
      </c>
      <c r="B223" s="89">
        <v>4</v>
      </c>
      <c r="C223" s="111">
        <v>0.0025369545670094703</v>
      </c>
      <c r="D223" s="89" t="s">
        <v>2425</v>
      </c>
      <c r="E223" s="89" t="b">
        <v>0</v>
      </c>
      <c r="F223" s="89" t="b">
        <v>0</v>
      </c>
      <c r="G223" s="89" t="b">
        <v>0</v>
      </c>
    </row>
    <row r="224" spans="1:7" ht="15">
      <c r="A224" s="85" t="s">
        <v>2534</v>
      </c>
      <c r="B224" s="89">
        <v>4</v>
      </c>
      <c r="C224" s="111">
        <v>0.0025369545670094703</v>
      </c>
      <c r="D224" s="89" t="s">
        <v>2425</v>
      </c>
      <c r="E224" s="89" t="b">
        <v>0</v>
      </c>
      <c r="F224" s="89" t="b">
        <v>0</v>
      </c>
      <c r="G224" s="89" t="b">
        <v>0</v>
      </c>
    </row>
    <row r="225" spans="1:7" ht="15">
      <c r="A225" s="85" t="s">
        <v>2535</v>
      </c>
      <c r="B225" s="89">
        <v>4</v>
      </c>
      <c r="C225" s="111">
        <v>0.0025369545670094703</v>
      </c>
      <c r="D225" s="89" t="s">
        <v>2425</v>
      </c>
      <c r="E225" s="89" t="b">
        <v>0</v>
      </c>
      <c r="F225" s="89" t="b">
        <v>0</v>
      </c>
      <c r="G225" s="89" t="b">
        <v>0</v>
      </c>
    </row>
    <row r="226" spans="1:7" ht="15">
      <c r="A226" s="85" t="s">
        <v>2536</v>
      </c>
      <c r="B226" s="89">
        <v>4</v>
      </c>
      <c r="C226" s="111">
        <v>0.0025369545670094703</v>
      </c>
      <c r="D226" s="89" t="s">
        <v>2425</v>
      </c>
      <c r="E226" s="89" t="b">
        <v>0</v>
      </c>
      <c r="F226" s="89" t="b">
        <v>0</v>
      </c>
      <c r="G226" s="89" t="b">
        <v>0</v>
      </c>
    </row>
    <row r="227" spans="1:7" ht="15">
      <c r="A227" s="85" t="s">
        <v>2537</v>
      </c>
      <c r="B227" s="89">
        <v>4</v>
      </c>
      <c r="C227" s="111">
        <v>0.0025369545670094703</v>
      </c>
      <c r="D227" s="89" t="s">
        <v>2425</v>
      </c>
      <c r="E227" s="89" t="b">
        <v>0</v>
      </c>
      <c r="F227" s="89" t="b">
        <v>0</v>
      </c>
      <c r="G227" s="89" t="b">
        <v>0</v>
      </c>
    </row>
    <row r="228" spans="1:7" ht="15">
      <c r="A228" s="85" t="s">
        <v>2531</v>
      </c>
      <c r="B228" s="89">
        <v>4</v>
      </c>
      <c r="C228" s="111">
        <v>0.0025369545670094703</v>
      </c>
      <c r="D228" s="89" t="s">
        <v>2425</v>
      </c>
      <c r="E228" s="89" t="b">
        <v>0</v>
      </c>
      <c r="F228" s="89" t="b">
        <v>0</v>
      </c>
      <c r="G228" s="89" t="b">
        <v>0</v>
      </c>
    </row>
    <row r="229" spans="1:7" ht="15">
      <c r="A229" s="85" t="s">
        <v>2538</v>
      </c>
      <c r="B229" s="89">
        <v>4</v>
      </c>
      <c r="C229" s="111">
        <v>0.0025369545670094703</v>
      </c>
      <c r="D229" s="89" t="s">
        <v>2425</v>
      </c>
      <c r="E229" s="89" t="b">
        <v>0</v>
      </c>
      <c r="F229" s="89" t="b">
        <v>0</v>
      </c>
      <c r="G229" s="89" t="b">
        <v>0</v>
      </c>
    </row>
    <row r="230" spans="1:7" ht="15">
      <c r="A230" s="85" t="s">
        <v>2524</v>
      </c>
      <c r="B230" s="89">
        <v>4</v>
      </c>
      <c r="C230" s="111">
        <v>0.0025369545670094703</v>
      </c>
      <c r="D230" s="89" t="s">
        <v>2425</v>
      </c>
      <c r="E230" s="89" t="b">
        <v>0</v>
      </c>
      <c r="F230" s="89" t="b">
        <v>0</v>
      </c>
      <c r="G230" s="89" t="b">
        <v>0</v>
      </c>
    </row>
    <row r="231" spans="1:7" ht="15">
      <c r="A231" s="85" t="s">
        <v>2539</v>
      </c>
      <c r="B231" s="89">
        <v>4</v>
      </c>
      <c r="C231" s="111">
        <v>0.0025369545670094703</v>
      </c>
      <c r="D231" s="89" t="s">
        <v>2425</v>
      </c>
      <c r="E231" s="89" t="b">
        <v>0</v>
      </c>
      <c r="F231" s="89" t="b">
        <v>0</v>
      </c>
      <c r="G231" s="89" t="b">
        <v>0</v>
      </c>
    </row>
    <row r="232" spans="1:7" ht="15">
      <c r="A232" s="85" t="s">
        <v>2540</v>
      </c>
      <c r="B232" s="89">
        <v>4</v>
      </c>
      <c r="C232" s="111">
        <v>0.0025369545670094703</v>
      </c>
      <c r="D232" s="89" t="s">
        <v>2425</v>
      </c>
      <c r="E232" s="89" t="b">
        <v>0</v>
      </c>
      <c r="F232" s="89" t="b">
        <v>0</v>
      </c>
      <c r="G232" s="89" t="b">
        <v>0</v>
      </c>
    </row>
    <row r="233" spans="1:7" ht="15">
      <c r="A233" s="85" t="s">
        <v>2541</v>
      </c>
      <c r="B233" s="89">
        <v>4</v>
      </c>
      <c r="C233" s="111">
        <v>0.0025369545670094703</v>
      </c>
      <c r="D233" s="89" t="s">
        <v>2425</v>
      </c>
      <c r="E233" s="89" t="b">
        <v>0</v>
      </c>
      <c r="F233" s="89" t="b">
        <v>0</v>
      </c>
      <c r="G233" s="89" t="b">
        <v>0</v>
      </c>
    </row>
    <row r="234" spans="1:7" ht="15">
      <c r="A234" s="85" t="s">
        <v>2542</v>
      </c>
      <c r="B234" s="89">
        <v>4</v>
      </c>
      <c r="C234" s="111">
        <v>0.0025369545670094703</v>
      </c>
      <c r="D234" s="89" t="s">
        <v>2425</v>
      </c>
      <c r="E234" s="89" t="b">
        <v>0</v>
      </c>
      <c r="F234" s="89" t="b">
        <v>0</v>
      </c>
      <c r="G234" s="89" t="b">
        <v>0</v>
      </c>
    </row>
    <row r="235" spans="1:7" ht="15">
      <c r="A235" s="85" t="s">
        <v>2543</v>
      </c>
      <c r="B235" s="89">
        <v>4</v>
      </c>
      <c r="C235" s="111">
        <v>0.0025369545670094703</v>
      </c>
      <c r="D235" s="89" t="s">
        <v>2425</v>
      </c>
      <c r="E235" s="89" t="b">
        <v>0</v>
      </c>
      <c r="F235" s="89" t="b">
        <v>0</v>
      </c>
      <c r="G235" s="89" t="b">
        <v>0</v>
      </c>
    </row>
    <row r="236" spans="1:7" ht="15">
      <c r="A236" s="85" t="s">
        <v>2544</v>
      </c>
      <c r="B236" s="89">
        <v>4</v>
      </c>
      <c r="C236" s="111">
        <v>0.0025369545670094703</v>
      </c>
      <c r="D236" s="89" t="s">
        <v>2425</v>
      </c>
      <c r="E236" s="89" t="b">
        <v>0</v>
      </c>
      <c r="F236" s="89" t="b">
        <v>0</v>
      </c>
      <c r="G236" s="89" t="b">
        <v>0</v>
      </c>
    </row>
    <row r="237" spans="1:7" ht="15">
      <c r="A237" s="85" t="s">
        <v>591</v>
      </c>
      <c r="B237" s="89">
        <v>84</v>
      </c>
      <c r="C237" s="111">
        <v>0</v>
      </c>
      <c r="D237" s="89" t="s">
        <v>2426</v>
      </c>
      <c r="E237" s="89" t="b">
        <v>0</v>
      </c>
      <c r="F237" s="89" t="b">
        <v>0</v>
      </c>
      <c r="G237" s="89" t="b">
        <v>0</v>
      </c>
    </row>
    <row r="238" spans="1:7" ht="15">
      <c r="A238" s="85" t="s">
        <v>2474</v>
      </c>
      <c r="B238" s="89">
        <v>75</v>
      </c>
      <c r="C238" s="111">
        <v>0.0017777724053348143</v>
      </c>
      <c r="D238" s="89" t="s">
        <v>2426</v>
      </c>
      <c r="E238" s="89" t="b">
        <v>0</v>
      </c>
      <c r="F238" s="89" t="b">
        <v>0</v>
      </c>
      <c r="G238" s="89" t="b">
        <v>0</v>
      </c>
    </row>
    <row r="239" spans="1:7" ht="15">
      <c r="A239" s="85" t="s">
        <v>2494</v>
      </c>
      <c r="B239" s="89">
        <v>68</v>
      </c>
      <c r="C239" s="111">
        <v>0.00497440413880938</v>
      </c>
      <c r="D239" s="89" t="s">
        <v>2426</v>
      </c>
      <c r="E239" s="89" t="b">
        <v>0</v>
      </c>
      <c r="F239" s="89" t="b">
        <v>0</v>
      </c>
      <c r="G239" s="89" t="b">
        <v>0</v>
      </c>
    </row>
    <row r="240" spans="1:7" ht="15">
      <c r="A240" s="85" t="s">
        <v>2492</v>
      </c>
      <c r="B240" s="89">
        <v>68</v>
      </c>
      <c r="C240" s="111">
        <v>0.00497440413880938</v>
      </c>
      <c r="D240" s="89" t="s">
        <v>2426</v>
      </c>
      <c r="E240" s="89" t="b">
        <v>0</v>
      </c>
      <c r="F240" s="89" t="b">
        <v>0</v>
      </c>
      <c r="G240" s="89" t="b">
        <v>0</v>
      </c>
    </row>
    <row r="241" spans="1:7" ht="15">
      <c r="A241" s="85" t="s">
        <v>2495</v>
      </c>
      <c r="B241" s="89">
        <v>68</v>
      </c>
      <c r="C241" s="111">
        <v>0.00497440413880938</v>
      </c>
      <c r="D241" s="89" t="s">
        <v>2426</v>
      </c>
      <c r="E241" s="89" t="b">
        <v>0</v>
      </c>
      <c r="F241" s="89" t="b">
        <v>0</v>
      </c>
      <c r="G241" s="89" t="b">
        <v>0</v>
      </c>
    </row>
    <row r="242" spans="1:7" ht="15">
      <c r="A242" s="85" t="s">
        <v>2493</v>
      </c>
      <c r="B242" s="89">
        <v>68</v>
      </c>
      <c r="C242" s="111">
        <v>0.00497440413880938</v>
      </c>
      <c r="D242" s="89" t="s">
        <v>2426</v>
      </c>
      <c r="E242" s="89" t="b">
        <v>0</v>
      </c>
      <c r="F242" s="89" t="b">
        <v>0</v>
      </c>
      <c r="G242" s="89" t="b">
        <v>0</v>
      </c>
    </row>
    <row r="243" spans="1:7" ht="15">
      <c r="A243" s="85" t="s">
        <v>2475</v>
      </c>
      <c r="B243" s="89">
        <v>6</v>
      </c>
      <c r="C243" s="111">
        <v>0.016638770498143194</v>
      </c>
      <c r="D243" s="89" t="s">
        <v>2426</v>
      </c>
      <c r="E243" s="89" t="b">
        <v>0</v>
      </c>
      <c r="F243" s="89" t="b">
        <v>0</v>
      </c>
      <c r="G243" s="89" t="b">
        <v>0</v>
      </c>
    </row>
    <row r="244" spans="1:7" ht="15">
      <c r="A244" s="85" t="s">
        <v>2479</v>
      </c>
      <c r="B244" s="89">
        <v>3</v>
      </c>
      <c r="C244" s="111">
        <v>0.008319385249071597</v>
      </c>
      <c r="D244" s="89" t="s">
        <v>2426</v>
      </c>
      <c r="E244" s="89" t="b">
        <v>0</v>
      </c>
      <c r="F244" s="89" t="b">
        <v>0</v>
      </c>
      <c r="G244" s="89" t="b">
        <v>0</v>
      </c>
    </row>
    <row r="245" spans="1:7" ht="15">
      <c r="A245" s="85" t="s">
        <v>2480</v>
      </c>
      <c r="B245" s="89">
        <v>3</v>
      </c>
      <c r="C245" s="111">
        <v>0.008319385249071597</v>
      </c>
      <c r="D245" s="89" t="s">
        <v>2426</v>
      </c>
      <c r="E245" s="89" t="b">
        <v>0</v>
      </c>
      <c r="F245" s="89" t="b">
        <v>0</v>
      </c>
      <c r="G245" s="89" t="b">
        <v>0</v>
      </c>
    </row>
    <row r="246" spans="1:7" ht="15">
      <c r="A246" s="85" t="s">
        <v>2481</v>
      </c>
      <c r="B246" s="89">
        <v>3</v>
      </c>
      <c r="C246" s="111">
        <v>0.008319385249071597</v>
      </c>
      <c r="D246" s="89" t="s">
        <v>2426</v>
      </c>
      <c r="E246" s="89" t="b">
        <v>0</v>
      </c>
      <c r="F246" s="89" t="b">
        <v>0</v>
      </c>
      <c r="G246" s="89" t="b">
        <v>0</v>
      </c>
    </row>
    <row r="247" spans="1:7" ht="15">
      <c r="A247" s="85" t="s">
        <v>2482</v>
      </c>
      <c r="B247" s="89">
        <v>3</v>
      </c>
      <c r="C247" s="111">
        <v>0.008319385249071597</v>
      </c>
      <c r="D247" s="89" t="s">
        <v>2426</v>
      </c>
      <c r="E247" s="89" t="b">
        <v>0</v>
      </c>
      <c r="F247" s="89" t="b">
        <v>0</v>
      </c>
      <c r="G247" s="89" t="b">
        <v>0</v>
      </c>
    </row>
    <row r="248" spans="1:7" ht="15">
      <c r="A248" s="85" t="s">
        <v>2483</v>
      </c>
      <c r="B248" s="89">
        <v>3</v>
      </c>
      <c r="C248" s="111">
        <v>0.008319385249071597</v>
      </c>
      <c r="D248" s="89" t="s">
        <v>2426</v>
      </c>
      <c r="E248" s="89" t="b">
        <v>0</v>
      </c>
      <c r="F248" s="89" t="b">
        <v>0</v>
      </c>
      <c r="G248" s="89" t="b">
        <v>0</v>
      </c>
    </row>
    <row r="249" spans="1:7" ht="15">
      <c r="A249" s="85" t="s">
        <v>2484</v>
      </c>
      <c r="B249" s="89">
        <v>3</v>
      </c>
      <c r="C249" s="111">
        <v>0.008319385249071597</v>
      </c>
      <c r="D249" s="89" t="s">
        <v>2426</v>
      </c>
      <c r="E249" s="89" t="b">
        <v>0</v>
      </c>
      <c r="F249" s="89" t="b">
        <v>0</v>
      </c>
      <c r="G249" s="89" t="b">
        <v>0</v>
      </c>
    </row>
    <row r="250" spans="1:7" ht="15">
      <c r="A250" s="85" t="s">
        <v>2485</v>
      </c>
      <c r="B250" s="89">
        <v>3</v>
      </c>
      <c r="C250" s="111">
        <v>0.008319385249071597</v>
      </c>
      <c r="D250" s="89" t="s">
        <v>2426</v>
      </c>
      <c r="E250" s="89" t="b">
        <v>0</v>
      </c>
      <c r="F250" s="89" t="b">
        <v>0</v>
      </c>
      <c r="G250" s="89" t="b">
        <v>0</v>
      </c>
    </row>
    <row r="251" spans="1:7" ht="15">
      <c r="A251" s="85" t="s">
        <v>2486</v>
      </c>
      <c r="B251" s="89">
        <v>3</v>
      </c>
      <c r="C251" s="111">
        <v>0.008319385249071597</v>
      </c>
      <c r="D251" s="89" t="s">
        <v>2426</v>
      </c>
      <c r="E251" s="89" t="b">
        <v>0</v>
      </c>
      <c r="F251" s="89" t="b">
        <v>0</v>
      </c>
      <c r="G251" s="89" t="b">
        <v>0</v>
      </c>
    </row>
    <row r="252" spans="1:7" ht="15">
      <c r="A252" s="85" t="s">
        <v>2477</v>
      </c>
      <c r="B252" s="89">
        <v>3</v>
      </c>
      <c r="C252" s="111">
        <v>0.008319385249071597</v>
      </c>
      <c r="D252" s="89" t="s">
        <v>2426</v>
      </c>
      <c r="E252" s="89" t="b">
        <v>0</v>
      </c>
      <c r="F252" s="89" t="b">
        <v>0</v>
      </c>
      <c r="G252" s="89" t="b">
        <v>0</v>
      </c>
    </row>
    <row r="253" spans="1:7" ht="15">
      <c r="A253" s="85" t="s">
        <v>2487</v>
      </c>
      <c r="B253" s="89">
        <v>3</v>
      </c>
      <c r="C253" s="111">
        <v>0.008319385249071597</v>
      </c>
      <c r="D253" s="89" t="s">
        <v>2426</v>
      </c>
      <c r="E253" s="89" t="b">
        <v>0</v>
      </c>
      <c r="F253" s="89" t="b">
        <v>0</v>
      </c>
      <c r="G253" s="89" t="b">
        <v>0</v>
      </c>
    </row>
    <row r="254" spans="1:7" ht="15">
      <c r="A254" s="85" t="s">
        <v>2488</v>
      </c>
      <c r="B254" s="89">
        <v>3</v>
      </c>
      <c r="C254" s="111">
        <v>0.008319385249071597</v>
      </c>
      <c r="D254" s="89" t="s">
        <v>2426</v>
      </c>
      <c r="E254" s="89" t="b">
        <v>0</v>
      </c>
      <c r="F254" s="89" t="b">
        <v>0</v>
      </c>
      <c r="G254" s="89" t="b">
        <v>0</v>
      </c>
    </row>
    <row r="255" spans="1:7" ht="15">
      <c r="A255" s="85" t="s">
        <v>2489</v>
      </c>
      <c r="B255" s="89">
        <v>3</v>
      </c>
      <c r="C255" s="111">
        <v>0.008319385249071597</v>
      </c>
      <c r="D255" s="89" t="s">
        <v>2426</v>
      </c>
      <c r="E255" s="89" t="b">
        <v>0</v>
      </c>
      <c r="F255" s="89" t="b">
        <v>0</v>
      </c>
      <c r="G255" s="89" t="b">
        <v>0</v>
      </c>
    </row>
    <row r="256" spans="1:7" ht="15">
      <c r="A256" s="85" t="s">
        <v>2478</v>
      </c>
      <c r="B256" s="89">
        <v>3</v>
      </c>
      <c r="C256" s="111">
        <v>0.008319385249071597</v>
      </c>
      <c r="D256" s="89" t="s">
        <v>2426</v>
      </c>
      <c r="E256" s="89" t="b">
        <v>0</v>
      </c>
      <c r="F256" s="89" t="b">
        <v>0</v>
      </c>
      <c r="G256" s="89" t="b">
        <v>0</v>
      </c>
    </row>
    <row r="257" spans="1:7" ht="15">
      <c r="A257" s="85" t="s">
        <v>2476</v>
      </c>
      <c r="B257" s="89">
        <v>3</v>
      </c>
      <c r="C257" s="111">
        <v>0.008319385249071597</v>
      </c>
      <c r="D257" s="89" t="s">
        <v>2426</v>
      </c>
      <c r="E257" s="89" t="b">
        <v>0</v>
      </c>
      <c r="F257" s="89" t="b">
        <v>0</v>
      </c>
      <c r="G257" s="89" t="b">
        <v>0</v>
      </c>
    </row>
    <row r="258" spans="1:7" ht="15">
      <c r="A258" s="85" t="s">
        <v>2490</v>
      </c>
      <c r="B258" s="89">
        <v>3</v>
      </c>
      <c r="C258" s="111">
        <v>0.008319385249071597</v>
      </c>
      <c r="D258" s="89" t="s">
        <v>2426</v>
      </c>
      <c r="E258" s="89" t="b">
        <v>0</v>
      </c>
      <c r="F258" s="89" t="b">
        <v>0</v>
      </c>
      <c r="G258" s="89" t="b">
        <v>0</v>
      </c>
    </row>
    <row r="259" spans="1:7" ht="15">
      <c r="A259" s="85" t="s">
        <v>2491</v>
      </c>
      <c r="B259" s="89">
        <v>3</v>
      </c>
      <c r="C259" s="111">
        <v>0.008319385249071597</v>
      </c>
      <c r="D259" s="89" t="s">
        <v>2426</v>
      </c>
      <c r="E259" s="89" t="b">
        <v>0</v>
      </c>
      <c r="F259" s="89" t="b">
        <v>0</v>
      </c>
      <c r="G259" s="89" t="b">
        <v>0</v>
      </c>
    </row>
    <row r="260" spans="1:7" ht="15">
      <c r="A260" s="85" t="s">
        <v>430</v>
      </c>
      <c r="B260" s="89">
        <v>2</v>
      </c>
      <c r="C260" s="111">
        <v>0.006247815633733047</v>
      </c>
      <c r="D260" s="89" t="s">
        <v>2426</v>
      </c>
      <c r="E260" s="89" t="b">
        <v>0</v>
      </c>
      <c r="F260" s="89" t="b">
        <v>0</v>
      </c>
      <c r="G260" s="89" t="b">
        <v>0</v>
      </c>
    </row>
    <row r="261" spans="1:7" ht="15">
      <c r="A261" s="85" t="s">
        <v>591</v>
      </c>
      <c r="B261" s="89">
        <v>28</v>
      </c>
      <c r="C261" s="111">
        <v>0.009576773506011065</v>
      </c>
      <c r="D261" s="89" t="s">
        <v>2427</v>
      </c>
      <c r="E261" s="89" t="b">
        <v>0</v>
      </c>
      <c r="F261" s="89" t="b">
        <v>0</v>
      </c>
      <c r="G261" s="89" t="b">
        <v>0</v>
      </c>
    </row>
    <row r="262" spans="1:7" ht="15">
      <c r="A262" s="85" t="s">
        <v>2474</v>
      </c>
      <c r="B262" s="89">
        <v>19</v>
      </c>
      <c r="C262" s="111">
        <v>0.014324337614030581</v>
      </c>
      <c r="D262" s="89" t="s">
        <v>2427</v>
      </c>
      <c r="E262" s="89" t="b">
        <v>0</v>
      </c>
      <c r="F262" s="89" t="b">
        <v>0</v>
      </c>
      <c r="G262" s="89" t="b">
        <v>0</v>
      </c>
    </row>
    <row r="263" spans="1:7" ht="15">
      <c r="A263" s="85" t="s">
        <v>2519</v>
      </c>
      <c r="B263" s="89">
        <v>9</v>
      </c>
      <c r="C263" s="111">
        <v>0.012334002079573731</v>
      </c>
      <c r="D263" s="89" t="s">
        <v>2427</v>
      </c>
      <c r="E263" s="89" t="b">
        <v>0</v>
      </c>
      <c r="F263" s="89" t="b">
        <v>0</v>
      </c>
      <c r="G263" s="89" t="b">
        <v>0</v>
      </c>
    </row>
    <row r="264" spans="1:7" ht="15">
      <c r="A264" s="85" t="s">
        <v>2496</v>
      </c>
      <c r="B264" s="89">
        <v>7</v>
      </c>
      <c r="C264" s="111">
        <v>0.011298495063324034</v>
      </c>
      <c r="D264" s="89" t="s">
        <v>2427</v>
      </c>
      <c r="E264" s="89" t="b">
        <v>0</v>
      </c>
      <c r="F264" s="89" t="b">
        <v>0</v>
      </c>
      <c r="G264" s="89" t="b">
        <v>0</v>
      </c>
    </row>
    <row r="265" spans="1:7" ht="15">
      <c r="A265" s="85" t="s">
        <v>2520</v>
      </c>
      <c r="B265" s="89">
        <v>3</v>
      </c>
      <c r="C265" s="111">
        <v>0.007306342428665173</v>
      </c>
      <c r="D265" s="89" t="s">
        <v>2427</v>
      </c>
      <c r="E265" s="89" t="b">
        <v>0</v>
      </c>
      <c r="F265" s="89" t="b">
        <v>0</v>
      </c>
      <c r="G265" s="89" t="b">
        <v>0</v>
      </c>
    </row>
    <row r="266" spans="1:7" ht="15">
      <c r="A266" s="85" t="s">
        <v>2548</v>
      </c>
      <c r="B266" s="89">
        <v>3</v>
      </c>
      <c r="C266" s="111">
        <v>0.007306342428665173</v>
      </c>
      <c r="D266" s="89" t="s">
        <v>2427</v>
      </c>
      <c r="E266" s="89" t="b">
        <v>0</v>
      </c>
      <c r="F266" s="89" t="b">
        <v>0</v>
      </c>
      <c r="G266" s="89" t="b">
        <v>0</v>
      </c>
    </row>
    <row r="267" spans="1:7" ht="15">
      <c r="A267" s="85" t="s">
        <v>2549</v>
      </c>
      <c r="B267" s="89">
        <v>3</v>
      </c>
      <c r="C267" s="111">
        <v>0.007306342428665173</v>
      </c>
      <c r="D267" s="89" t="s">
        <v>2427</v>
      </c>
      <c r="E267" s="89" t="b">
        <v>0</v>
      </c>
      <c r="F267" s="89" t="b">
        <v>0</v>
      </c>
      <c r="G267" s="89" t="b">
        <v>0</v>
      </c>
    </row>
    <row r="268" spans="1:7" ht="15">
      <c r="A268" s="85" t="s">
        <v>2647</v>
      </c>
      <c r="B268" s="89">
        <v>2</v>
      </c>
      <c r="C268" s="111">
        <v>0.005657016644656311</v>
      </c>
      <c r="D268" s="89" t="s">
        <v>2427</v>
      </c>
      <c r="E268" s="89" t="b">
        <v>0</v>
      </c>
      <c r="F268" s="89" t="b">
        <v>0</v>
      </c>
      <c r="G268" s="89" t="b">
        <v>0</v>
      </c>
    </row>
    <row r="269" spans="1:7" ht="15">
      <c r="A269" s="85" t="s">
        <v>2648</v>
      </c>
      <c r="B269" s="89">
        <v>2</v>
      </c>
      <c r="C269" s="111">
        <v>0.005657016644656311</v>
      </c>
      <c r="D269" s="89" t="s">
        <v>2427</v>
      </c>
      <c r="E269" s="89" t="b">
        <v>0</v>
      </c>
      <c r="F269" s="89" t="b">
        <v>0</v>
      </c>
      <c r="G269" s="89" t="b">
        <v>0</v>
      </c>
    </row>
    <row r="270" spans="1:7" ht="15">
      <c r="A270" s="85" t="s">
        <v>2649</v>
      </c>
      <c r="B270" s="89">
        <v>2</v>
      </c>
      <c r="C270" s="111">
        <v>0.005657016644656311</v>
      </c>
      <c r="D270" s="89" t="s">
        <v>2427</v>
      </c>
      <c r="E270" s="89" t="b">
        <v>0</v>
      </c>
      <c r="F270" s="89" t="b">
        <v>0</v>
      </c>
      <c r="G270" s="89" t="b">
        <v>0</v>
      </c>
    </row>
    <row r="271" spans="1:7" ht="15">
      <c r="A271" s="85" t="s">
        <v>2650</v>
      </c>
      <c r="B271" s="89">
        <v>2</v>
      </c>
      <c r="C271" s="111">
        <v>0.005657016644656311</v>
      </c>
      <c r="D271" s="89" t="s">
        <v>2427</v>
      </c>
      <c r="E271" s="89" t="b">
        <v>0</v>
      </c>
      <c r="F271" s="89" t="b">
        <v>0</v>
      </c>
      <c r="G271" s="89" t="b">
        <v>0</v>
      </c>
    </row>
    <row r="272" spans="1:7" ht="15">
      <c r="A272" s="85" t="s">
        <v>2651</v>
      </c>
      <c r="B272" s="89">
        <v>2</v>
      </c>
      <c r="C272" s="111">
        <v>0.005657016644656311</v>
      </c>
      <c r="D272" s="89" t="s">
        <v>2427</v>
      </c>
      <c r="E272" s="89" t="b">
        <v>0</v>
      </c>
      <c r="F272" s="89" t="b">
        <v>0</v>
      </c>
      <c r="G272" s="89" t="b">
        <v>0</v>
      </c>
    </row>
    <row r="273" spans="1:7" ht="15">
      <c r="A273" s="85" t="s">
        <v>2652</v>
      </c>
      <c r="B273" s="89">
        <v>2</v>
      </c>
      <c r="C273" s="111">
        <v>0.005657016644656311</v>
      </c>
      <c r="D273" s="89" t="s">
        <v>2427</v>
      </c>
      <c r="E273" s="89" t="b">
        <v>0</v>
      </c>
      <c r="F273" s="89" t="b">
        <v>0</v>
      </c>
      <c r="G273" s="89" t="b">
        <v>0</v>
      </c>
    </row>
    <row r="274" spans="1:7" ht="15">
      <c r="A274" s="85" t="s">
        <v>2653</v>
      </c>
      <c r="B274" s="89">
        <v>2</v>
      </c>
      <c r="C274" s="111">
        <v>0.005657016644656311</v>
      </c>
      <c r="D274" s="89" t="s">
        <v>2427</v>
      </c>
      <c r="E274" s="89" t="b">
        <v>0</v>
      </c>
      <c r="F274" s="89" t="b">
        <v>0</v>
      </c>
      <c r="G274" s="89" t="b">
        <v>0</v>
      </c>
    </row>
    <row r="275" spans="1:7" ht="15">
      <c r="A275" s="85" t="s">
        <v>2654</v>
      </c>
      <c r="B275" s="89">
        <v>2</v>
      </c>
      <c r="C275" s="111">
        <v>0.005657016644656311</v>
      </c>
      <c r="D275" s="89" t="s">
        <v>2427</v>
      </c>
      <c r="E275" s="89" t="b">
        <v>0</v>
      </c>
      <c r="F275" s="89" t="b">
        <v>0</v>
      </c>
      <c r="G275" s="89" t="b">
        <v>0</v>
      </c>
    </row>
    <row r="276" spans="1:7" ht="15">
      <c r="A276" s="85" t="s">
        <v>2655</v>
      </c>
      <c r="B276" s="89">
        <v>2</v>
      </c>
      <c r="C276" s="111">
        <v>0.005657016644656311</v>
      </c>
      <c r="D276" s="89" t="s">
        <v>2427</v>
      </c>
      <c r="E276" s="89" t="b">
        <v>0</v>
      </c>
      <c r="F276" s="89" t="b">
        <v>0</v>
      </c>
      <c r="G276" s="89" t="b">
        <v>0</v>
      </c>
    </row>
    <row r="277" spans="1:7" ht="15">
      <c r="A277" s="85" t="s">
        <v>2656</v>
      </c>
      <c r="B277" s="89">
        <v>2</v>
      </c>
      <c r="C277" s="111">
        <v>0.005657016644656311</v>
      </c>
      <c r="D277" s="89" t="s">
        <v>2427</v>
      </c>
      <c r="E277" s="89" t="b">
        <v>0</v>
      </c>
      <c r="F277" s="89" t="b">
        <v>0</v>
      </c>
      <c r="G277" s="89" t="b">
        <v>0</v>
      </c>
    </row>
    <row r="278" spans="1:7" ht="15">
      <c r="A278" s="85" t="s">
        <v>2657</v>
      </c>
      <c r="B278" s="89">
        <v>2</v>
      </c>
      <c r="C278" s="111">
        <v>0.005657016644656311</v>
      </c>
      <c r="D278" s="89" t="s">
        <v>2427</v>
      </c>
      <c r="E278" s="89" t="b">
        <v>0</v>
      </c>
      <c r="F278" s="89" t="b">
        <v>0</v>
      </c>
      <c r="G278" s="89" t="b">
        <v>0</v>
      </c>
    </row>
    <row r="279" spans="1:7" ht="15">
      <c r="A279" s="85" t="s">
        <v>2566</v>
      </c>
      <c r="B279" s="89">
        <v>2</v>
      </c>
      <c r="C279" s="111">
        <v>0.005657016644656311</v>
      </c>
      <c r="D279" s="89" t="s">
        <v>2427</v>
      </c>
      <c r="E279" s="89" t="b">
        <v>0</v>
      </c>
      <c r="F279" s="89" t="b">
        <v>0</v>
      </c>
      <c r="G279" s="89" t="b">
        <v>0</v>
      </c>
    </row>
    <row r="280" spans="1:7" ht="15">
      <c r="A280" s="85" t="s">
        <v>2641</v>
      </c>
      <c r="B280" s="89">
        <v>2</v>
      </c>
      <c r="C280" s="111">
        <v>0.005657016644656311</v>
      </c>
      <c r="D280" s="89" t="s">
        <v>2427</v>
      </c>
      <c r="E280" s="89" t="b">
        <v>0</v>
      </c>
      <c r="F280" s="89" t="b">
        <v>0</v>
      </c>
      <c r="G280" s="89" t="b">
        <v>0</v>
      </c>
    </row>
    <row r="281" spans="1:7" ht="15">
      <c r="A281" s="85" t="s">
        <v>2645</v>
      </c>
      <c r="B281" s="89">
        <v>2</v>
      </c>
      <c r="C281" s="111">
        <v>0.007000900553870513</v>
      </c>
      <c r="D281" s="89" t="s">
        <v>2427</v>
      </c>
      <c r="E281" s="89" t="b">
        <v>0</v>
      </c>
      <c r="F281" s="89" t="b">
        <v>0</v>
      </c>
      <c r="G281" s="89" t="b">
        <v>0</v>
      </c>
    </row>
    <row r="282" spans="1:7" ht="15">
      <c r="A282" s="85" t="s">
        <v>2569</v>
      </c>
      <c r="B282" s="89">
        <v>2</v>
      </c>
      <c r="C282" s="111">
        <v>0.005657016644656311</v>
      </c>
      <c r="D282" s="89" t="s">
        <v>2427</v>
      </c>
      <c r="E282" s="89" t="b">
        <v>0</v>
      </c>
      <c r="F282" s="89" t="b">
        <v>0</v>
      </c>
      <c r="G282" s="89" t="b">
        <v>0</v>
      </c>
    </row>
    <row r="283" spans="1:7" ht="15">
      <c r="A283" s="85" t="s">
        <v>2572</v>
      </c>
      <c r="B283" s="89">
        <v>2</v>
      </c>
      <c r="C283" s="111">
        <v>0.005657016644656311</v>
      </c>
      <c r="D283" s="89" t="s">
        <v>2427</v>
      </c>
      <c r="E283" s="89" t="b">
        <v>0</v>
      </c>
      <c r="F283" s="89" t="b">
        <v>0</v>
      </c>
      <c r="G283" s="89" t="b">
        <v>0</v>
      </c>
    </row>
    <row r="284" spans="1:7" ht="15">
      <c r="A284" s="85" t="s">
        <v>2573</v>
      </c>
      <c r="B284" s="89">
        <v>2</v>
      </c>
      <c r="C284" s="111">
        <v>0.005657016644656311</v>
      </c>
      <c r="D284" s="89" t="s">
        <v>2427</v>
      </c>
      <c r="E284" s="89" t="b">
        <v>0</v>
      </c>
      <c r="F284" s="89" t="b">
        <v>0</v>
      </c>
      <c r="G284" s="89" t="b">
        <v>0</v>
      </c>
    </row>
    <row r="285" spans="1:7" ht="15">
      <c r="A285" s="85" t="s">
        <v>2565</v>
      </c>
      <c r="B285" s="89">
        <v>2</v>
      </c>
      <c r="C285" s="111">
        <v>0.005657016644656311</v>
      </c>
      <c r="D285" s="89" t="s">
        <v>2427</v>
      </c>
      <c r="E285" s="89" t="b">
        <v>0</v>
      </c>
      <c r="F285" s="89" t="b">
        <v>0</v>
      </c>
      <c r="G285" s="89" t="b">
        <v>0</v>
      </c>
    </row>
    <row r="286" spans="1:7" ht="15">
      <c r="A286" s="85" t="s">
        <v>2623</v>
      </c>
      <c r="B286" s="89">
        <v>2</v>
      </c>
      <c r="C286" s="111">
        <v>0.005657016644656311</v>
      </c>
      <c r="D286" s="89" t="s">
        <v>2427</v>
      </c>
      <c r="E286" s="89" t="b">
        <v>0</v>
      </c>
      <c r="F286" s="89" t="b">
        <v>0</v>
      </c>
      <c r="G286" s="89" t="b">
        <v>0</v>
      </c>
    </row>
    <row r="287" spans="1:7" ht="15">
      <c r="A287" s="85" t="s">
        <v>2643</v>
      </c>
      <c r="B287" s="89">
        <v>2</v>
      </c>
      <c r="C287" s="111">
        <v>0.007000900553870513</v>
      </c>
      <c r="D287" s="89" t="s">
        <v>2427</v>
      </c>
      <c r="E287" s="89" t="b">
        <v>0</v>
      </c>
      <c r="F287" s="89" t="b">
        <v>0</v>
      </c>
      <c r="G287" s="89" t="b">
        <v>0</v>
      </c>
    </row>
    <row r="288" spans="1:7" ht="15">
      <c r="A288" s="85" t="s">
        <v>2644</v>
      </c>
      <c r="B288" s="89">
        <v>2</v>
      </c>
      <c r="C288" s="111">
        <v>0.007000900553870513</v>
      </c>
      <c r="D288" s="89" t="s">
        <v>2427</v>
      </c>
      <c r="E288" s="89" t="b">
        <v>0</v>
      </c>
      <c r="F288" s="89" t="b">
        <v>0</v>
      </c>
      <c r="G288" s="89" t="b">
        <v>0</v>
      </c>
    </row>
    <row r="289" spans="1:7" ht="15">
      <c r="A289" s="85" t="s">
        <v>2522</v>
      </c>
      <c r="B289" s="89">
        <v>2</v>
      </c>
      <c r="C289" s="111">
        <v>0.005657016644656311</v>
      </c>
      <c r="D289" s="89" t="s">
        <v>2427</v>
      </c>
      <c r="E289" s="89" t="b">
        <v>0</v>
      </c>
      <c r="F289" s="89" t="b">
        <v>0</v>
      </c>
      <c r="G289" s="89" t="b">
        <v>0</v>
      </c>
    </row>
    <row r="290" spans="1:7" ht="15">
      <c r="A290" s="85" t="s">
        <v>2630</v>
      </c>
      <c r="B290" s="89">
        <v>2</v>
      </c>
      <c r="C290" s="111">
        <v>0.005657016644656311</v>
      </c>
      <c r="D290" s="89" t="s">
        <v>2427</v>
      </c>
      <c r="E290" s="89" t="b">
        <v>0</v>
      </c>
      <c r="F290" s="89" t="b">
        <v>0</v>
      </c>
      <c r="G290" s="89" t="b">
        <v>0</v>
      </c>
    </row>
    <row r="291" spans="1:7" ht="15">
      <c r="A291" s="85" t="s">
        <v>2521</v>
      </c>
      <c r="B291" s="89">
        <v>2</v>
      </c>
      <c r="C291" s="111">
        <v>0.005657016644656311</v>
      </c>
      <c r="D291" s="89" t="s">
        <v>2427</v>
      </c>
      <c r="E291" s="89" t="b">
        <v>0</v>
      </c>
      <c r="F291" s="89" t="b">
        <v>0</v>
      </c>
      <c r="G291" s="89" t="b">
        <v>0</v>
      </c>
    </row>
    <row r="292" spans="1:7" ht="15">
      <c r="A292" s="85" t="s">
        <v>2523</v>
      </c>
      <c r="B292" s="89">
        <v>2</v>
      </c>
      <c r="C292" s="111">
        <v>0.005657016644656311</v>
      </c>
      <c r="D292" s="89" t="s">
        <v>2427</v>
      </c>
      <c r="E292" s="89" t="b">
        <v>0</v>
      </c>
      <c r="F292" s="89" t="b">
        <v>0</v>
      </c>
      <c r="G292" s="89" t="b">
        <v>0</v>
      </c>
    </row>
    <row r="293" spans="1:7" ht="15">
      <c r="A293" s="85" t="s">
        <v>2629</v>
      </c>
      <c r="B293" s="89">
        <v>2</v>
      </c>
      <c r="C293" s="111">
        <v>0.007000900553870513</v>
      </c>
      <c r="D293" s="89" t="s">
        <v>2427</v>
      </c>
      <c r="E293" s="89" t="b">
        <v>0</v>
      </c>
      <c r="F293" s="89" t="b">
        <v>0</v>
      </c>
      <c r="G293" s="89" t="b">
        <v>0</v>
      </c>
    </row>
    <row r="294" spans="1:7" ht="15">
      <c r="A294" s="85" t="s">
        <v>2578</v>
      </c>
      <c r="B294" s="89">
        <v>2</v>
      </c>
      <c r="C294" s="111">
        <v>0.005657016644656311</v>
      </c>
      <c r="D294" s="89" t="s">
        <v>2427</v>
      </c>
      <c r="E294" s="89" t="b">
        <v>0</v>
      </c>
      <c r="F294" s="89" t="b">
        <v>0</v>
      </c>
      <c r="G294" s="89" t="b">
        <v>0</v>
      </c>
    </row>
    <row r="295" spans="1:7" ht="15">
      <c r="A295" s="85" t="s">
        <v>2580</v>
      </c>
      <c r="B295" s="89">
        <v>2</v>
      </c>
      <c r="C295" s="111">
        <v>0.005657016644656311</v>
      </c>
      <c r="D295" s="89" t="s">
        <v>2427</v>
      </c>
      <c r="E295" s="89" t="b">
        <v>0</v>
      </c>
      <c r="F295" s="89" t="b">
        <v>0</v>
      </c>
      <c r="G295" s="89" t="b">
        <v>0</v>
      </c>
    </row>
    <row r="296" spans="1:7" ht="15">
      <c r="A296" s="85" t="s">
        <v>2615</v>
      </c>
      <c r="B296" s="89">
        <v>2</v>
      </c>
      <c r="C296" s="111">
        <v>0.005657016644656311</v>
      </c>
      <c r="D296" s="89" t="s">
        <v>2427</v>
      </c>
      <c r="E296" s="89" t="b">
        <v>0</v>
      </c>
      <c r="F296" s="89" t="b">
        <v>0</v>
      </c>
      <c r="G296" s="89" t="b">
        <v>0</v>
      </c>
    </row>
    <row r="297" spans="1:7" ht="15">
      <c r="A297" s="85" t="s">
        <v>2616</v>
      </c>
      <c r="B297" s="89">
        <v>2</v>
      </c>
      <c r="C297" s="111">
        <v>0.005657016644656311</v>
      </c>
      <c r="D297" s="89" t="s">
        <v>2427</v>
      </c>
      <c r="E297" s="89" t="b">
        <v>0</v>
      </c>
      <c r="F297" s="89" t="b">
        <v>0</v>
      </c>
      <c r="G297" s="89" t="b">
        <v>0</v>
      </c>
    </row>
    <row r="298" spans="1:7" ht="15">
      <c r="A298" s="85" t="s">
        <v>2617</v>
      </c>
      <c r="B298" s="89">
        <v>2</v>
      </c>
      <c r="C298" s="111">
        <v>0.005657016644656311</v>
      </c>
      <c r="D298" s="89" t="s">
        <v>2427</v>
      </c>
      <c r="E298" s="89" t="b">
        <v>0</v>
      </c>
      <c r="F298" s="89" t="b">
        <v>0</v>
      </c>
      <c r="G298" s="89" t="b">
        <v>0</v>
      </c>
    </row>
    <row r="299" spans="1:7" ht="15">
      <c r="A299" s="85" t="s">
        <v>2618</v>
      </c>
      <c r="B299" s="89">
        <v>2</v>
      </c>
      <c r="C299" s="111">
        <v>0.005657016644656311</v>
      </c>
      <c r="D299" s="89" t="s">
        <v>2427</v>
      </c>
      <c r="E299" s="89" t="b">
        <v>0</v>
      </c>
      <c r="F299" s="89" t="b">
        <v>0</v>
      </c>
      <c r="G299" s="89" t="b">
        <v>0</v>
      </c>
    </row>
    <row r="300" spans="1:7" ht="15">
      <c r="A300" s="85" t="s">
        <v>2619</v>
      </c>
      <c r="B300" s="89">
        <v>2</v>
      </c>
      <c r="C300" s="111">
        <v>0.005657016644656311</v>
      </c>
      <c r="D300" s="89" t="s">
        <v>2427</v>
      </c>
      <c r="E300" s="89" t="b">
        <v>0</v>
      </c>
      <c r="F300" s="89" t="b">
        <v>0</v>
      </c>
      <c r="G300" s="89" t="b">
        <v>0</v>
      </c>
    </row>
    <row r="301" spans="1:7" ht="15">
      <c r="A301" s="85" t="s">
        <v>2620</v>
      </c>
      <c r="B301" s="89">
        <v>2</v>
      </c>
      <c r="C301" s="111">
        <v>0.005657016644656311</v>
      </c>
      <c r="D301" s="89" t="s">
        <v>2427</v>
      </c>
      <c r="E301" s="89" t="b">
        <v>0</v>
      </c>
      <c r="F301" s="89" t="b">
        <v>0</v>
      </c>
      <c r="G301" s="89" t="b">
        <v>0</v>
      </c>
    </row>
    <row r="302" spans="1:7" ht="15">
      <c r="A302" s="85" t="s">
        <v>2621</v>
      </c>
      <c r="B302" s="89">
        <v>2</v>
      </c>
      <c r="C302" s="111">
        <v>0.005657016644656311</v>
      </c>
      <c r="D302" s="89" t="s">
        <v>2427</v>
      </c>
      <c r="E302" s="89" t="b">
        <v>0</v>
      </c>
      <c r="F302" s="89" t="b">
        <v>0</v>
      </c>
      <c r="G302" s="89" t="b">
        <v>0</v>
      </c>
    </row>
    <row r="303" spans="1:7" ht="15">
      <c r="A303" s="85" t="s">
        <v>2622</v>
      </c>
      <c r="B303" s="89">
        <v>2</v>
      </c>
      <c r="C303" s="111">
        <v>0.005657016644656311</v>
      </c>
      <c r="D303" s="89" t="s">
        <v>2427</v>
      </c>
      <c r="E303" s="89" t="b">
        <v>0</v>
      </c>
      <c r="F303" s="89" t="b">
        <v>0</v>
      </c>
      <c r="G303" s="89" t="b">
        <v>0</v>
      </c>
    </row>
    <row r="304" spans="1:7" ht="15">
      <c r="A304" s="85" t="s">
        <v>2612</v>
      </c>
      <c r="B304" s="89">
        <v>2</v>
      </c>
      <c r="C304" s="111">
        <v>0.007000900553870513</v>
      </c>
      <c r="D304" s="89" t="s">
        <v>2427</v>
      </c>
      <c r="E304" s="89" t="b">
        <v>0</v>
      </c>
      <c r="F304" s="89" t="b">
        <v>0</v>
      </c>
      <c r="G304" s="89" t="b">
        <v>0</v>
      </c>
    </row>
    <row r="305" spans="1:7" ht="15">
      <c r="A305" s="85" t="s">
        <v>2610</v>
      </c>
      <c r="B305" s="89">
        <v>2</v>
      </c>
      <c r="C305" s="111">
        <v>0.007000900553870513</v>
      </c>
      <c r="D305" s="89" t="s">
        <v>2427</v>
      </c>
      <c r="E305" s="89" t="b">
        <v>0</v>
      </c>
      <c r="F305" s="89" t="b">
        <v>0</v>
      </c>
      <c r="G305" s="89" t="b">
        <v>0</v>
      </c>
    </row>
    <row r="306" spans="1:7" ht="15">
      <c r="A306" s="85" t="s">
        <v>2570</v>
      </c>
      <c r="B306" s="89">
        <v>2</v>
      </c>
      <c r="C306" s="111">
        <v>0.005657016644656311</v>
      </c>
      <c r="D306" s="89" t="s">
        <v>2427</v>
      </c>
      <c r="E306" s="89" t="b">
        <v>0</v>
      </c>
      <c r="F306" s="89" t="b">
        <v>0</v>
      </c>
      <c r="G306" s="89" t="b">
        <v>0</v>
      </c>
    </row>
    <row r="307" spans="1:7" ht="15">
      <c r="A307" s="85" t="s">
        <v>2575</v>
      </c>
      <c r="B307" s="89">
        <v>2</v>
      </c>
      <c r="C307" s="111">
        <v>0.005657016644656311</v>
      </c>
      <c r="D307" s="89" t="s">
        <v>2427</v>
      </c>
      <c r="E307" s="89" t="b">
        <v>0</v>
      </c>
      <c r="F307" s="89" t="b">
        <v>0</v>
      </c>
      <c r="G307" s="89" t="b">
        <v>0</v>
      </c>
    </row>
    <row r="308" spans="1:7" ht="15">
      <c r="A308" s="85" t="s">
        <v>2568</v>
      </c>
      <c r="B308" s="89">
        <v>2</v>
      </c>
      <c r="C308" s="111">
        <v>0.005657016644656311</v>
      </c>
      <c r="D308" s="89" t="s">
        <v>2427</v>
      </c>
      <c r="E308" s="89" t="b">
        <v>0</v>
      </c>
      <c r="F308" s="89" t="b">
        <v>0</v>
      </c>
      <c r="G308" s="89" t="b">
        <v>0</v>
      </c>
    </row>
    <row r="309" spans="1:7" ht="15">
      <c r="A309" s="85" t="s">
        <v>2564</v>
      </c>
      <c r="B309" s="89">
        <v>2</v>
      </c>
      <c r="C309" s="111">
        <v>0.007000900553870513</v>
      </c>
      <c r="D309" s="89" t="s">
        <v>2427</v>
      </c>
      <c r="E309" s="89" t="b">
        <v>0</v>
      </c>
      <c r="F309" s="89" t="b">
        <v>0</v>
      </c>
      <c r="G309" s="89" t="b">
        <v>0</v>
      </c>
    </row>
    <row r="310" spans="1:7" ht="15">
      <c r="A310" s="85" t="s">
        <v>591</v>
      </c>
      <c r="B310" s="89">
        <v>32</v>
      </c>
      <c r="C310" s="111">
        <v>0.0006341106571502074</v>
      </c>
      <c r="D310" s="89" t="s">
        <v>2428</v>
      </c>
      <c r="E310" s="89" t="b">
        <v>0</v>
      </c>
      <c r="F310" s="89" t="b">
        <v>0</v>
      </c>
      <c r="G310" s="89" t="b">
        <v>0</v>
      </c>
    </row>
    <row r="311" spans="1:7" ht="15">
      <c r="A311" s="85" t="s">
        <v>2474</v>
      </c>
      <c r="B311" s="89">
        <v>29</v>
      </c>
      <c r="C311" s="111">
        <v>0.0011694932408423324</v>
      </c>
      <c r="D311" s="89" t="s">
        <v>2428</v>
      </c>
      <c r="E311" s="89" t="b">
        <v>0</v>
      </c>
      <c r="F311" s="89" t="b">
        <v>0</v>
      </c>
      <c r="G311" s="89" t="b">
        <v>0</v>
      </c>
    </row>
    <row r="312" spans="1:7" ht="15">
      <c r="A312" s="85" t="s">
        <v>2477</v>
      </c>
      <c r="B312" s="89">
        <v>26</v>
      </c>
      <c r="C312" s="111">
        <v>0.002174758513418513</v>
      </c>
      <c r="D312" s="89" t="s">
        <v>2428</v>
      </c>
      <c r="E312" s="89" t="b">
        <v>0</v>
      </c>
      <c r="F312" s="89" t="b">
        <v>0</v>
      </c>
      <c r="G312" s="89" t="b">
        <v>0</v>
      </c>
    </row>
    <row r="313" spans="1:7" ht="15">
      <c r="A313" s="85" t="s">
        <v>2478</v>
      </c>
      <c r="B313" s="89">
        <v>26</v>
      </c>
      <c r="C313" s="111">
        <v>0.002174758513418513</v>
      </c>
      <c r="D313" s="89" t="s">
        <v>2428</v>
      </c>
      <c r="E313" s="89" t="b">
        <v>0</v>
      </c>
      <c r="F313" s="89" t="b">
        <v>0</v>
      </c>
      <c r="G313" s="89" t="b">
        <v>0</v>
      </c>
    </row>
    <row r="314" spans="1:7" ht="15">
      <c r="A314" s="85" t="s">
        <v>2476</v>
      </c>
      <c r="B314" s="89">
        <v>26</v>
      </c>
      <c r="C314" s="111">
        <v>0.002174758513418513</v>
      </c>
      <c r="D314" s="89" t="s">
        <v>2428</v>
      </c>
      <c r="E314" s="89" t="b">
        <v>0</v>
      </c>
      <c r="F314" s="89" t="b">
        <v>0</v>
      </c>
      <c r="G314" s="89" t="b">
        <v>0</v>
      </c>
    </row>
    <row r="315" spans="1:7" ht="15">
      <c r="A315" s="85" t="s">
        <v>2496</v>
      </c>
      <c r="B315" s="89">
        <v>26</v>
      </c>
      <c r="C315" s="111">
        <v>0.002174758513418513</v>
      </c>
      <c r="D315" s="89" t="s">
        <v>2428</v>
      </c>
      <c r="E315" s="89" t="b">
        <v>0</v>
      </c>
      <c r="F315" s="89" t="b">
        <v>0</v>
      </c>
      <c r="G315" s="89" t="b">
        <v>0</v>
      </c>
    </row>
    <row r="316" spans="1:7" ht="15">
      <c r="A316" s="85" t="s">
        <v>2497</v>
      </c>
      <c r="B316" s="89">
        <v>25</v>
      </c>
      <c r="C316" s="111">
        <v>0.002664241118695317</v>
      </c>
      <c r="D316" s="89" t="s">
        <v>2428</v>
      </c>
      <c r="E316" s="89" t="b">
        <v>0</v>
      </c>
      <c r="F316" s="89" t="b">
        <v>0</v>
      </c>
      <c r="G316" s="89" t="b">
        <v>0</v>
      </c>
    </row>
    <row r="317" spans="1:7" ht="15">
      <c r="A317" s="85" t="s">
        <v>2500</v>
      </c>
      <c r="B317" s="89">
        <v>25</v>
      </c>
      <c r="C317" s="111">
        <v>0.002664241118695317</v>
      </c>
      <c r="D317" s="89" t="s">
        <v>2428</v>
      </c>
      <c r="E317" s="89" t="b">
        <v>0</v>
      </c>
      <c r="F317" s="89" t="b">
        <v>0</v>
      </c>
      <c r="G317" s="89" t="b">
        <v>0</v>
      </c>
    </row>
    <row r="318" spans="1:7" ht="15">
      <c r="A318" s="85" t="s">
        <v>2498</v>
      </c>
      <c r="B318" s="89">
        <v>25</v>
      </c>
      <c r="C318" s="111">
        <v>0.002664241118695317</v>
      </c>
      <c r="D318" s="89" t="s">
        <v>2428</v>
      </c>
      <c r="E318" s="89" t="b">
        <v>0</v>
      </c>
      <c r="F318" s="89" t="b">
        <v>0</v>
      </c>
      <c r="G318" s="89" t="b">
        <v>0</v>
      </c>
    </row>
    <row r="319" spans="1:7" ht="15">
      <c r="A319" s="85" t="s">
        <v>2501</v>
      </c>
      <c r="B319" s="89">
        <v>25</v>
      </c>
      <c r="C319" s="111">
        <v>0.002664241118695317</v>
      </c>
      <c r="D319" s="89" t="s">
        <v>2428</v>
      </c>
      <c r="E319" s="89" t="b">
        <v>0</v>
      </c>
      <c r="F319" s="89" t="b">
        <v>0</v>
      </c>
      <c r="G319" s="89" t="b">
        <v>0</v>
      </c>
    </row>
    <row r="320" spans="1:7" ht="15">
      <c r="A320" s="85" t="s">
        <v>2502</v>
      </c>
      <c r="B320" s="89">
        <v>25</v>
      </c>
      <c r="C320" s="111">
        <v>0.002664241118695317</v>
      </c>
      <c r="D320" s="89" t="s">
        <v>2428</v>
      </c>
      <c r="E320" s="89" t="b">
        <v>0</v>
      </c>
      <c r="F320" s="89" t="b">
        <v>0</v>
      </c>
      <c r="G320" s="89" t="b">
        <v>0</v>
      </c>
    </row>
    <row r="321" spans="1:7" ht="15">
      <c r="A321" s="85" t="s">
        <v>2503</v>
      </c>
      <c r="B321" s="89">
        <v>25</v>
      </c>
      <c r="C321" s="111">
        <v>0.002664241118695317</v>
      </c>
      <c r="D321" s="89" t="s">
        <v>2428</v>
      </c>
      <c r="E321" s="89" t="b">
        <v>0</v>
      </c>
      <c r="F321" s="89" t="b">
        <v>0</v>
      </c>
      <c r="G321" s="89" t="b">
        <v>0</v>
      </c>
    </row>
    <row r="322" spans="1:7" ht="15">
      <c r="A322" s="85" t="s">
        <v>2504</v>
      </c>
      <c r="B322" s="89">
        <v>25</v>
      </c>
      <c r="C322" s="111">
        <v>0.002664241118695317</v>
      </c>
      <c r="D322" s="89" t="s">
        <v>2428</v>
      </c>
      <c r="E322" s="89" t="b">
        <v>0</v>
      </c>
      <c r="F322" s="89" t="b">
        <v>0</v>
      </c>
      <c r="G322" s="89" t="b">
        <v>0</v>
      </c>
    </row>
    <row r="323" spans="1:7" ht="15">
      <c r="A323" s="85" t="s">
        <v>2505</v>
      </c>
      <c r="B323" s="89">
        <v>25</v>
      </c>
      <c r="C323" s="111">
        <v>0.002664241118695317</v>
      </c>
      <c r="D323" s="89" t="s">
        <v>2428</v>
      </c>
      <c r="E323" s="89" t="b">
        <v>0</v>
      </c>
      <c r="F323" s="89" t="b">
        <v>0</v>
      </c>
      <c r="G323" s="89" t="b">
        <v>0</v>
      </c>
    </row>
    <row r="324" spans="1:7" ht="15">
      <c r="A324" s="85" t="s">
        <v>2499</v>
      </c>
      <c r="B324" s="89">
        <v>25</v>
      </c>
      <c r="C324" s="111">
        <v>0.002664241118695317</v>
      </c>
      <c r="D324" s="89" t="s">
        <v>2428</v>
      </c>
      <c r="E324" s="89" t="b">
        <v>0</v>
      </c>
      <c r="F324" s="89" t="b">
        <v>0</v>
      </c>
      <c r="G324" s="89" t="b">
        <v>0</v>
      </c>
    </row>
    <row r="325" spans="1:7" ht="15">
      <c r="A325" s="85" t="s">
        <v>2506</v>
      </c>
      <c r="B325" s="89">
        <v>25</v>
      </c>
      <c r="C325" s="111">
        <v>0.002664241118695317</v>
      </c>
      <c r="D325" s="89" t="s">
        <v>2428</v>
      </c>
      <c r="E325" s="89" t="b">
        <v>0</v>
      </c>
      <c r="F325" s="89" t="b">
        <v>0</v>
      </c>
      <c r="G325" s="89" t="b">
        <v>0</v>
      </c>
    </row>
    <row r="326" spans="1:7" ht="15">
      <c r="A326" s="85" t="s">
        <v>2507</v>
      </c>
      <c r="B326" s="89">
        <v>25</v>
      </c>
      <c r="C326" s="111">
        <v>0.002664241118695317</v>
      </c>
      <c r="D326" s="89" t="s">
        <v>2428</v>
      </c>
      <c r="E326" s="89" t="b">
        <v>0</v>
      </c>
      <c r="F326" s="89" t="b">
        <v>0</v>
      </c>
      <c r="G326" s="89" t="b">
        <v>0</v>
      </c>
    </row>
    <row r="327" spans="1:7" ht="15">
      <c r="A327" s="85" t="s">
        <v>2508</v>
      </c>
      <c r="B327" s="89">
        <v>25</v>
      </c>
      <c r="C327" s="111">
        <v>0.002664241118695317</v>
      </c>
      <c r="D327" s="89" t="s">
        <v>2428</v>
      </c>
      <c r="E327" s="89" t="b">
        <v>0</v>
      </c>
      <c r="F327" s="89" t="b">
        <v>0</v>
      </c>
      <c r="G327" s="89" t="b">
        <v>0</v>
      </c>
    </row>
    <row r="328" spans="1:7" ht="15">
      <c r="A328" s="85" t="s">
        <v>2509</v>
      </c>
      <c r="B328" s="89">
        <v>25</v>
      </c>
      <c r="C328" s="111">
        <v>0.002664241118695317</v>
      </c>
      <c r="D328" s="89" t="s">
        <v>2428</v>
      </c>
      <c r="E328" s="89" t="b">
        <v>0</v>
      </c>
      <c r="F328" s="89" t="b">
        <v>0</v>
      </c>
      <c r="G328" s="89" t="b">
        <v>0</v>
      </c>
    </row>
    <row r="329" spans="1:7" ht="15">
      <c r="A329" s="85" t="s">
        <v>2510</v>
      </c>
      <c r="B329" s="89">
        <v>25</v>
      </c>
      <c r="C329" s="111">
        <v>0.002664241118695317</v>
      </c>
      <c r="D329" s="89" t="s">
        <v>2428</v>
      </c>
      <c r="E329" s="89" t="b">
        <v>0</v>
      </c>
      <c r="F329" s="89" t="b">
        <v>0</v>
      </c>
      <c r="G329" s="89" t="b">
        <v>0</v>
      </c>
    </row>
    <row r="330" spans="1:7" ht="15">
      <c r="A330" s="85" t="s">
        <v>2511</v>
      </c>
      <c r="B330" s="89">
        <v>25</v>
      </c>
      <c r="C330" s="111">
        <v>0.002664241118695317</v>
      </c>
      <c r="D330" s="89" t="s">
        <v>2428</v>
      </c>
      <c r="E330" s="89" t="b">
        <v>0</v>
      </c>
      <c r="F330" s="89" t="b">
        <v>0</v>
      </c>
      <c r="G330" s="89" t="b">
        <v>0</v>
      </c>
    </row>
    <row r="331" spans="1:7" ht="15">
      <c r="A331" s="85" t="s">
        <v>2512</v>
      </c>
      <c r="B331" s="89">
        <v>25</v>
      </c>
      <c r="C331" s="111">
        <v>0.002664241118695317</v>
      </c>
      <c r="D331" s="89" t="s">
        <v>2428</v>
      </c>
      <c r="E331" s="89" t="b">
        <v>0</v>
      </c>
      <c r="F331" s="89" t="b">
        <v>0</v>
      </c>
      <c r="G331" s="89" t="b">
        <v>0</v>
      </c>
    </row>
    <row r="332" spans="1:7" ht="15">
      <c r="A332" s="85" t="s">
        <v>2513</v>
      </c>
      <c r="B332" s="89">
        <v>25</v>
      </c>
      <c r="C332" s="111">
        <v>0.002664241118695317</v>
      </c>
      <c r="D332" s="89" t="s">
        <v>2428</v>
      </c>
      <c r="E332" s="89" t="b">
        <v>0</v>
      </c>
      <c r="F332" s="89" t="b">
        <v>0</v>
      </c>
      <c r="G332" s="89" t="b">
        <v>0</v>
      </c>
    </row>
    <row r="333" spans="1:7" ht="15">
      <c r="A333" s="85" t="s">
        <v>2514</v>
      </c>
      <c r="B333" s="89">
        <v>25</v>
      </c>
      <c r="C333" s="111">
        <v>0.002664241118695317</v>
      </c>
      <c r="D333" s="89" t="s">
        <v>2428</v>
      </c>
      <c r="E333" s="89" t="b">
        <v>0</v>
      </c>
      <c r="F333" s="89" t="b">
        <v>0</v>
      </c>
      <c r="G333" s="89" t="b">
        <v>0</v>
      </c>
    </row>
    <row r="334" spans="1:7" ht="15">
      <c r="A334" s="85" t="s">
        <v>2515</v>
      </c>
      <c r="B334" s="89">
        <v>25</v>
      </c>
      <c r="C334" s="111">
        <v>0.002664241118695317</v>
      </c>
      <c r="D334" s="89" t="s">
        <v>2428</v>
      </c>
      <c r="E334" s="89" t="b">
        <v>0</v>
      </c>
      <c r="F334" s="89" t="b">
        <v>0</v>
      </c>
      <c r="G334" s="89" t="b">
        <v>0</v>
      </c>
    </row>
    <row r="335" spans="1:7" ht="15">
      <c r="A335" s="85" t="s">
        <v>2516</v>
      </c>
      <c r="B335" s="89">
        <v>25</v>
      </c>
      <c r="C335" s="111">
        <v>0.002664241118695317</v>
      </c>
      <c r="D335" s="89" t="s">
        <v>2428</v>
      </c>
      <c r="E335" s="89" t="b">
        <v>0</v>
      </c>
      <c r="F335" s="89" t="b">
        <v>0</v>
      </c>
      <c r="G335" s="89" t="b">
        <v>0</v>
      </c>
    </row>
    <row r="336" spans="1:7" ht="15">
      <c r="A336" s="85" t="s">
        <v>2517</v>
      </c>
      <c r="B336" s="89">
        <v>25</v>
      </c>
      <c r="C336" s="111">
        <v>0.002664241118695317</v>
      </c>
      <c r="D336" s="89" t="s">
        <v>2428</v>
      </c>
      <c r="E336" s="89" t="b">
        <v>0</v>
      </c>
      <c r="F336" s="89" t="b">
        <v>0</v>
      </c>
      <c r="G336" s="89" t="b">
        <v>0</v>
      </c>
    </row>
    <row r="337" spans="1:7" ht="15">
      <c r="A337" s="85" t="s">
        <v>2518</v>
      </c>
      <c r="B337" s="89">
        <v>25</v>
      </c>
      <c r="C337" s="111">
        <v>0.002664241118695317</v>
      </c>
      <c r="D337" s="89" t="s">
        <v>2428</v>
      </c>
      <c r="E337" s="89" t="b">
        <v>0</v>
      </c>
      <c r="F337" s="89" t="b">
        <v>0</v>
      </c>
      <c r="G337" s="89" t="b">
        <v>0</v>
      </c>
    </row>
    <row r="338" spans="1:7" ht="15">
      <c r="A338" s="85" t="s">
        <v>483</v>
      </c>
      <c r="B338" s="89">
        <v>2</v>
      </c>
      <c r="C338" s="111">
        <v>0.0031657907377003534</v>
      </c>
      <c r="D338" s="89" t="s">
        <v>2428</v>
      </c>
      <c r="E338" s="89" t="b">
        <v>0</v>
      </c>
      <c r="F338" s="89" t="b">
        <v>0</v>
      </c>
      <c r="G338" s="89" t="b">
        <v>0</v>
      </c>
    </row>
    <row r="339" spans="1:7" ht="15">
      <c r="A339" s="85" t="s">
        <v>479</v>
      </c>
      <c r="B339" s="89">
        <v>2</v>
      </c>
      <c r="C339" s="111">
        <v>0.0031657907377003534</v>
      </c>
      <c r="D339" s="89" t="s">
        <v>2428</v>
      </c>
      <c r="E339" s="89" t="b">
        <v>0</v>
      </c>
      <c r="F339" s="89" t="b">
        <v>0</v>
      </c>
      <c r="G339" s="89" t="b">
        <v>0</v>
      </c>
    </row>
    <row r="340" spans="1:7" ht="15">
      <c r="A340" s="85" t="s">
        <v>2475</v>
      </c>
      <c r="B340" s="89">
        <v>2</v>
      </c>
      <c r="C340" s="111">
        <v>0.0039761002818833446</v>
      </c>
      <c r="D340" s="89" t="s">
        <v>2428</v>
      </c>
      <c r="E340" s="89" t="b">
        <v>0</v>
      </c>
      <c r="F340" s="89" t="b">
        <v>0</v>
      </c>
      <c r="G340" s="89" t="b">
        <v>0</v>
      </c>
    </row>
    <row r="341" spans="1:7" ht="15">
      <c r="A341" s="85" t="s">
        <v>2526</v>
      </c>
      <c r="B341" s="89">
        <v>5</v>
      </c>
      <c r="C341" s="111">
        <v>0</v>
      </c>
      <c r="D341" s="89" t="s">
        <v>2429</v>
      </c>
      <c r="E341" s="89" t="b">
        <v>0</v>
      </c>
      <c r="F341" s="89" t="b">
        <v>0</v>
      </c>
      <c r="G341" s="89" t="b">
        <v>0</v>
      </c>
    </row>
    <row r="342" spans="1:7" ht="15">
      <c r="A342" s="85" t="s">
        <v>2522</v>
      </c>
      <c r="B342" s="89">
        <v>5</v>
      </c>
      <c r="C342" s="111">
        <v>0</v>
      </c>
      <c r="D342" s="89" t="s">
        <v>2429</v>
      </c>
      <c r="E342" s="89" t="b">
        <v>0</v>
      </c>
      <c r="F342" s="89" t="b">
        <v>0</v>
      </c>
      <c r="G342" s="89" t="b">
        <v>0</v>
      </c>
    </row>
    <row r="343" spans="1:7" ht="15">
      <c r="A343" s="85" t="s">
        <v>591</v>
      </c>
      <c r="B343" s="89">
        <v>5</v>
      </c>
      <c r="C343" s="111">
        <v>0</v>
      </c>
      <c r="D343" s="89" t="s">
        <v>2429</v>
      </c>
      <c r="E343" s="89" t="b">
        <v>0</v>
      </c>
      <c r="F343" s="89" t="b">
        <v>0</v>
      </c>
      <c r="G343" s="89" t="b">
        <v>0</v>
      </c>
    </row>
    <row r="344" spans="1:7" ht="15">
      <c r="A344" s="85" t="s">
        <v>2474</v>
      </c>
      <c r="B344" s="89">
        <v>5</v>
      </c>
      <c r="C344" s="111">
        <v>0</v>
      </c>
      <c r="D344" s="89" t="s">
        <v>2429</v>
      </c>
      <c r="E344" s="89" t="b">
        <v>0</v>
      </c>
      <c r="F344" s="89" t="b">
        <v>0</v>
      </c>
      <c r="G344" s="89" t="b">
        <v>0</v>
      </c>
    </row>
    <row r="345" spans="1:7" ht="15">
      <c r="A345" s="85" t="s">
        <v>2520</v>
      </c>
      <c r="B345" s="89">
        <v>5</v>
      </c>
      <c r="C345" s="111">
        <v>0</v>
      </c>
      <c r="D345" s="89" t="s">
        <v>2429</v>
      </c>
      <c r="E345" s="89" t="b">
        <v>0</v>
      </c>
      <c r="F345" s="89" t="b">
        <v>0</v>
      </c>
      <c r="G345" s="89" t="b">
        <v>0</v>
      </c>
    </row>
    <row r="346" spans="1:7" ht="15">
      <c r="A346" s="85" t="s">
        <v>2527</v>
      </c>
      <c r="B346" s="89">
        <v>5</v>
      </c>
      <c r="C346" s="111">
        <v>0</v>
      </c>
      <c r="D346" s="89" t="s">
        <v>2429</v>
      </c>
      <c r="E346" s="89" t="b">
        <v>0</v>
      </c>
      <c r="F346" s="89" t="b">
        <v>0</v>
      </c>
      <c r="G346" s="89" t="b">
        <v>0</v>
      </c>
    </row>
    <row r="347" spans="1:7" ht="15">
      <c r="A347" s="85" t="s">
        <v>2476</v>
      </c>
      <c r="B347" s="89">
        <v>5</v>
      </c>
      <c r="C347" s="111">
        <v>0</v>
      </c>
      <c r="D347" s="89" t="s">
        <v>2429</v>
      </c>
      <c r="E347" s="89" t="b">
        <v>0</v>
      </c>
      <c r="F347" s="89" t="b">
        <v>0</v>
      </c>
      <c r="G347" s="89" t="b">
        <v>0</v>
      </c>
    </row>
    <row r="348" spans="1:7" ht="15">
      <c r="A348" s="85" t="s">
        <v>2532</v>
      </c>
      <c r="B348" s="89">
        <v>5</v>
      </c>
      <c r="C348" s="111">
        <v>0</v>
      </c>
      <c r="D348" s="89" t="s">
        <v>2429</v>
      </c>
      <c r="E348" s="89" t="b">
        <v>0</v>
      </c>
      <c r="F348" s="89" t="b">
        <v>0</v>
      </c>
      <c r="G348" s="89" t="b">
        <v>0</v>
      </c>
    </row>
    <row r="349" spans="1:7" ht="15">
      <c r="A349" s="85" t="s">
        <v>2521</v>
      </c>
      <c r="B349" s="89">
        <v>5</v>
      </c>
      <c r="C349" s="111">
        <v>0</v>
      </c>
      <c r="D349" s="89" t="s">
        <v>2429</v>
      </c>
      <c r="E349" s="89" t="b">
        <v>0</v>
      </c>
      <c r="F349" s="89" t="b">
        <v>0</v>
      </c>
      <c r="G349" s="89" t="b">
        <v>0</v>
      </c>
    </row>
    <row r="350" spans="1:7" ht="15">
      <c r="A350" s="85" t="s">
        <v>2523</v>
      </c>
      <c r="B350" s="89">
        <v>5</v>
      </c>
      <c r="C350" s="111">
        <v>0</v>
      </c>
      <c r="D350" s="89" t="s">
        <v>2429</v>
      </c>
      <c r="E350" s="89" t="b">
        <v>0</v>
      </c>
      <c r="F350" s="89" t="b">
        <v>0</v>
      </c>
      <c r="G350" s="89" t="b">
        <v>0</v>
      </c>
    </row>
    <row r="351" spans="1:7" ht="15">
      <c r="A351" s="85" t="s">
        <v>2528</v>
      </c>
      <c r="B351" s="89">
        <v>5</v>
      </c>
      <c r="C351" s="111">
        <v>0</v>
      </c>
      <c r="D351" s="89" t="s">
        <v>2429</v>
      </c>
      <c r="E351" s="89" t="b">
        <v>0</v>
      </c>
      <c r="F351" s="89" t="b">
        <v>0</v>
      </c>
      <c r="G351" s="89" t="b">
        <v>0</v>
      </c>
    </row>
    <row r="352" spans="1:7" ht="15">
      <c r="A352" s="85" t="s">
        <v>2529</v>
      </c>
      <c r="B352" s="89">
        <v>5</v>
      </c>
      <c r="C352" s="111">
        <v>0</v>
      </c>
      <c r="D352" s="89" t="s">
        <v>2429</v>
      </c>
      <c r="E352" s="89" t="b">
        <v>0</v>
      </c>
      <c r="F352" s="89" t="b">
        <v>0</v>
      </c>
      <c r="G352" s="89" t="b">
        <v>0</v>
      </c>
    </row>
    <row r="353" spans="1:7" ht="15">
      <c r="A353" s="85" t="s">
        <v>2530</v>
      </c>
      <c r="B353" s="89">
        <v>5</v>
      </c>
      <c r="C353" s="111">
        <v>0</v>
      </c>
      <c r="D353" s="89" t="s">
        <v>2429</v>
      </c>
      <c r="E353" s="89" t="b">
        <v>0</v>
      </c>
      <c r="F353" s="89" t="b">
        <v>0</v>
      </c>
      <c r="G353" s="89" t="b">
        <v>0</v>
      </c>
    </row>
    <row r="354" spans="1:7" ht="15">
      <c r="A354" s="85" t="s">
        <v>495</v>
      </c>
      <c r="B354" s="89">
        <v>3</v>
      </c>
      <c r="C354" s="111">
        <v>0</v>
      </c>
      <c r="D354" s="89" t="s">
        <v>2430</v>
      </c>
      <c r="E354" s="89" t="b">
        <v>0</v>
      </c>
      <c r="F354" s="89" t="b">
        <v>0</v>
      </c>
      <c r="G354" s="89" t="b">
        <v>0</v>
      </c>
    </row>
    <row r="355" spans="1:7" ht="15">
      <c r="A355" s="85" t="s">
        <v>591</v>
      </c>
      <c r="B355" s="89">
        <v>3</v>
      </c>
      <c r="C355" s="111">
        <v>0</v>
      </c>
      <c r="D355" s="89" t="s">
        <v>2430</v>
      </c>
      <c r="E355" s="89" t="b">
        <v>0</v>
      </c>
      <c r="F355" s="89" t="b">
        <v>0</v>
      </c>
      <c r="G355" s="89" t="b">
        <v>0</v>
      </c>
    </row>
    <row r="356" spans="1:7" ht="15">
      <c r="A356" s="85" t="s">
        <v>2600</v>
      </c>
      <c r="B356" s="89">
        <v>2</v>
      </c>
      <c r="C356" s="111">
        <v>0.02446775665229038</v>
      </c>
      <c r="D356" s="89" t="s">
        <v>2430</v>
      </c>
      <c r="E356" s="89" t="b">
        <v>0</v>
      </c>
      <c r="F356" s="89" t="b">
        <v>0</v>
      </c>
      <c r="G356" s="89" t="b">
        <v>0</v>
      </c>
    </row>
    <row r="357" spans="1:7" ht="15">
      <c r="A357" s="85" t="s">
        <v>2602</v>
      </c>
      <c r="B357" s="89">
        <v>2</v>
      </c>
      <c r="C357" s="111">
        <v>0.02446775665229038</v>
      </c>
      <c r="D357" s="89" t="s">
        <v>2430</v>
      </c>
      <c r="E357" s="89" t="b">
        <v>0</v>
      </c>
      <c r="F357" s="89" t="b">
        <v>0</v>
      </c>
      <c r="G357" s="89" t="b">
        <v>0</v>
      </c>
    </row>
    <row r="358" spans="1:7" ht="15">
      <c r="A358" s="85" t="s">
        <v>2603</v>
      </c>
      <c r="B358" s="89">
        <v>2</v>
      </c>
      <c r="C358" s="111">
        <v>0.02446775665229038</v>
      </c>
      <c r="D358" s="89" t="s">
        <v>2430</v>
      </c>
      <c r="E358" s="89" t="b">
        <v>0</v>
      </c>
      <c r="F358" s="89" t="b">
        <v>0</v>
      </c>
      <c r="G358" s="89" t="b">
        <v>0</v>
      </c>
    </row>
    <row r="359" spans="1:7" ht="15">
      <c r="A359" s="85" t="s">
        <v>2474</v>
      </c>
      <c r="B359" s="89">
        <v>2</v>
      </c>
      <c r="C359" s="111">
        <v>0.009030320977214422</v>
      </c>
      <c r="D359" s="89" t="s">
        <v>2430</v>
      </c>
      <c r="E359" s="89" t="b">
        <v>0</v>
      </c>
      <c r="F359" s="89" t="b">
        <v>0</v>
      </c>
      <c r="G359" s="89" t="b">
        <v>0</v>
      </c>
    </row>
    <row r="360" spans="1:7" ht="15">
      <c r="A360" s="85" t="s">
        <v>2624</v>
      </c>
      <c r="B360" s="89">
        <v>2</v>
      </c>
      <c r="C360" s="111">
        <v>0.02446775665229038</v>
      </c>
      <c r="D360" s="89" t="s">
        <v>2430</v>
      </c>
      <c r="E360" s="89" t="b">
        <v>0</v>
      </c>
      <c r="F360" s="89" t="b">
        <v>0</v>
      </c>
      <c r="G360" s="89" t="b">
        <v>0</v>
      </c>
    </row>
    <row r="361" spans="1:7" ht="15">
      <c r="A361" s="85" t="s">
        <v>2552</v>
      </c>
      <c r="B361" s="89">
        <v>3</v>
      </c>
      <c r="C361" s="111">
        <v>0</v>
      </c>
      <c r="D361" s="89" t="s">
        <v>2431</v>
      </c>
      <c r="E361" s="89" t="b">
        <v>0</v>
      </c>
      <c r="F361" s="89" t="b">
        <v>0</v>
      </c>
      <c r="G361" s="89" t="b">
        <v>0</v>
      </c>
    </row>
    <row r="362" spans="1:7" ht="15">
      <c r="A362" s="85" t="s">
        <v>2553</v>
      </c>
      <c r="B362" s="89">
        <v>3</v>
      </c>
      <c r="C362" s="111">
        <v>0</v>
      </c>
      <c r="D362" s="89" t="s">
        <v>2431</v>
      </c>
      <c r="E362" s="89" t="b">
        <v>0</v>
      </c>
      <c r="F362" s="89" t="b">
        <v>0</v>
      </c>
      <c r="G362" s="89" t="b">
        <v>0</v>
      </c>
    </row>
    <row r="363" spans="1:7" ht="15">
      <c r="A363" s="85" t="s">
        <v>2554</v>
      </c>
      <c r="B363" s="89">
        <v>3</v>
      </c>
      <c r="C363" s="111">
        <v>0</v>
      </c>
      <c r="D363" s="89" t="s">
        <v>2431</v>
      </c>
      <c r="E363" s="89" t="b">
        <v>0</v>
      </c>
      <c r="F363" s="89" t="b">
        <v>0</v>
      </c>
      <c r="G363" s="89" t="b">
        <v>0</v>
      </c>
    </row>
    <row r="364" spans="1:7" ht="15">
      <c r="A364" s="85" t="s">
        <v>2555</v>
      </c>
      <c r="B364" s="89">
        <v>3</v>
      </c>
      <c r="C364" s="111">
        <v>0</v>
      </c>
      <c r="D364" s="89" t="s">
        <v>2431</v>
      </c>
      <c r="E364" s="89" t="b">
        <v>0</v>
      </c>
      <c r="F364" s="89" t="b">
        <v>0</v>
      </c>
      <c r="G364" s="89" t="b">
        <v>0</v>
      </c>
    </row>
    <row r="365" spans="1:7" ht="15">
      <c r="A365" s="85" t="s">
        <v>2556</v>
      </c>
      <c r="B365" s="89">
        <v>3</v>
      </c>
      <c r="C365" s="111">
        <v>0</v>
      </c>
      <c r="D365" s="89" t="s">
        <v>2431</v>
      </c>
      <c r="E365" s="89" t="b">
        <v>0</v>
      </c>
      <c r="F365" s="89" t="b">
        <v>0</v>
      </c>
      <c r="G365" s="89" t="b">
        <v>0</v>
      </c>
    </row>
    <row r="366" spans="1:7" ht="15">
      <c r="A366" s="85" t="s">
        <v>2557</v>
      </c>
      <c r="B366" s="89">
        <v>3</v>
      </c>
      <c r="C366" s="111">
        <v>0</v>
      </c>
      <c r="D366" s="89" t="s">
        <v>2431</v>
      </c>
      <c r="E366" s="89" t="b">
        <v>0</v>
      </c>
      <c r="F366" s="89" t="b">
        <v>0</v>
      </c>
      <c r="G366" s="89" t="b">
        <v>0</v>
      </c>
    </row>
    <row r="367" spans="1:7" ht="15">
      <c r="A367" s="85" t="s">
        <v>2558</v>
      </c>
      <c r="B367" s="89">
        <v>3</v>
      </c>
      <c r="C367" s="111">
        <v>0</v>
      </c>
      <c r="D367" s="89" t="s">
        <v>2431</v>
      </c>
      <c r="E367" s="89" t="b">
        <v>0</v>
      </c>
      <c r="F367" s="89" t="b">
        <v>0</v>
      </c>
      <c r="G367" s="89" t="b">
        <v>0</v>
      </c>
    </row>
    <row r="368" spans="1:7" ht="15">
      <c r="A368" s="85" t="s">
        <v>2519</v>
      </c>
      <c r="B368" s="89">
        <v>3</v>
      </c>
      <c r="C368" s="111">
        <v>0</v>
      </c>
      <c r="D368" s="89" t="s">
        <v>2431</v>
      </c>
      <c r="E368" s="89" t="b">
        <v>0</v>
      </c>
      <c r="F368" s="89" t="b">
        <v>0</v>
      </c>
      <c r="G368" s="89" t="b">
        <v>0</v>
      </c>
    </row>
    <row r="369" spans="1:7" ht="15">
      <c r="A369" s="85" t="s">
        <v>2559</v>
      </c>
      <c r="B369" s="89">
        <v>3</v>
      </c>
      <c r="C369" s="111">
        <v>0</v>
      </c>
      <c r="D369" s="89" t="s">
        <v>2431</v>
      </c>
      <c r="E369" s="89" t="b">
        <v>0</v>
      </c>
      <c r="F369" s="89" t="b">
        <v>0</v>
      </c>
      <c r="G369" s="89" t="b">
        <v>0</v>
      </c>
    </row>
    <row r="370" spans="1:7" ht="15">
      <c r="A370" s="85" t="s">
        <v>2560</v>
      </c>
      <c r="B370" s="89">
        <v>3</v>
      </c>
      <c r="C370" s="111">
        <v>0</v>
      </c>
      <c r="D370" s="89" t="s">
        <v>2431</v>
      </c>
      <c r="E370" s="89" t="b">
        <v>0</v>
      </c>
      <c r="F370" s="89" t="b">
        <v>0</v>
      </c>
      <c r="G370" s="89" t="b">
        <v>0</v>
      </c>
    </row>
    <row r="371" spans="1:7" ht="15">
      <c r="A371" s="85" t="s">
        <v>2561</v>
      </c>
      <c r="B371" s="89">
        <v>3</v>
      </c>
      <c r="C371" s="111">
        <v>0</v>
      </c>
      <c r="D371" s="89" t="s">
        <v>2431</v>
      </c>
      <c r="E371" s="89" t="b">
        <v>0</v>
      </c>
      <c r="F371" s="89" t="b">
        <v>0</v>
      </c>
      <c r="G371" s="89" t="b">
        <v>0</v>
      </c>
    </row>
    <row r="372" spans="1:7" ht="15">
      <c r="A372" s="85" t="s">
        <v>2562</v>
      </c>
      <c r="B372" s="89">
        <v>3</v>
      </c>
      <c r="C372" s="111">
        <v>0</v>
      </c>
      <c r="D372" s="89" t="s">
        <v>2431</v>
      </c>
      <c r="E372" s="89" t="b">
        <v>0</v>
      </c>
      <c r="F372" s="89" t="b">
        <v>0</v>
      </c>
      <c r="G372" s="89" t="b">
        <v>0</v>
      </c>
    </row>
    <row r="373" spans="1:7" ht="15">
      <c r="A373" s="85" t="s">
        <v>2563</v>
      </c>
      <c r="B373" s="89">
        <v>3</v>
      </c>
      <c r="C373" s="111">
        <v>0</v>
      </c>
      <c r="D373" s="89" t="s">
        <v>2431</v>
      </c>
      <c r="E373" s="89" t="b">
        <v>0</v>
      </c>
      <c r="F373" s="89" t="b">
        <v>0</v>
      </c>
      <c r="G373" s="89" t="b">
        <v>0</v>
      </c>
    </row>
    <row r="374" spans="1:7" ht="15">
      <c r="A374" s="85" t="s">
        <v>2545</v>
      </c>
      <c r="B374" s="89">
        <v>3</v>
      </c>
      <c r="C374" s="111">
        <v>0</v>
      </c>
      <c r="D374" s="89" t="s">
        <v>2431</v>
      </c>
      <c r="E374" s="89" t="b">
        <v>0</v>
      </c>
      <c r="F374" s="89" t="b">
        <v>0</v>
      </c>
      <c r="G374" s="89" t="b">
        <v>0</v>
      </c>
    </row>
    <row r="375" spans="1:7" ht="15">
      <c r="A375" s="85" t="s">
        <v>490</v>
      </c>
      <c r="B375" s="89">
        <v>3</v>
      </c>
      <c r="C375" s="111">
        <v>0</v>
      </c>
      <c r="D375" s="89" t="s">
        <v>2431</v>
      </c>
      <c r="E375" s="89" t="b">
        <v>0</v>
      </c>
      <c r="F375" s="89" t="b">
        <v>0</v>
      </c>
      <c r="G375" s="89" t="b">
        <v>0</v>
      </c>
    </row>
    <row r="376" spans="1:7" ht="15">
      <c r="A376" s="85" t="s">
        <v>2659</v>
      </c>
      <c r="B376" s="89">
        <v>2</v>
      </c>
      <c r="C376" s="111">
        <v>0</v>
      </c>
      <c r="D376" s="89" t="s">
        <v>2432</v>
      </c>
      <c r="E376" s="89" t="b">
        <v>0</v>
      </c>
      <c r="F376" s="89" t="b">
        <v>0</v>
      </c>
      <c r="G376" s="89" t="b">
        <v>0</v>
      </c>
    </row>
    <row r="377" spans="1:7" ht="15">
      <c r="A377" s="85" t="s">
        <v>591</v>
      </c>
      <c r="B377" s="89">
        <v>5</v>
      </c>
      <c r="C377" s="111">
        <v>0</v>
      </c>
      <c r="D377" s="89" t="s">
        <v>2434</v>
      </c>
      <c r="E377" s="89" t="b">
        <v>0</v>
      </c>
      <c r="F377" s="89" t="b">
        <v>0</v>
      </c>
      <c r="G377" s="89" t="b">
        <v>0</v>
      </c>
    </row>
    <row r="378" spans="1:7" ht="15">
      <c r="A378" s="85" t="s">
        <v>2475</v>
      </c>
      <c r="B378" s="89">
        <v>2</v>
      </c>
      <c r="C378" s="111">
        <v>0.01720171403794178</v>
      </c>
      <c r="D378" s="89" t="s">
        <v>2434</v>
      </c>
      <c r="E378" s="89" t="b">
        <v>0</v>
      </c>
      <c r="F378" s="89" t="b">
        <v>0</v>
      </c>
      <c r="G378" s="89" t="b">
        <v>0</v>
      </c>
    </row>
    <row r="379" spans="1:7" ht="15">
      <c r="A379" s="85" t="s">
        <v>2474</v>
      </c>
      <c r="B379" s="89">
        <v>2</v>
      </c>
      <c r="C379" s="111">
        <v>0.01720171403794178</v>
      </c>
      <c r="D379" s="89" t="s">
        <v>2434</v>
      </c>
      <c r="E379" s="89" t="b">
        <v>0</v>
      </c>
      <c r="F379" s="89" t="b">
        <v>0</v>
      </c>
      <c r="G379" s="89" t="b">
        <v>0</v>
      </c>
    </row>
    <row r="380" spans="1:7" ht="15">
      <c r="A380" s="85" t="s">
        <v>2582</v>
      </c>
      <c r="B380" s="89">
        <v>2</v>
      </c>
      <c r="C380" s="111">
        <v>0</v>
      </c>
      <c r="D380" s="89" t="s">
        <v>2435</v>
      </c>
      <c r="E380" s="89" t="b">
        <v>0</v>
      </c>
      <c r="F380" s="89" t="b">
        <v>0</v>
      </c>
      <c r="G380" s="89" t="b">
        <v>0</v>
      </c>
    </row>
    <row r="381" spans="1:7" ht="15">
      <c r="A381" s="85" t="s">
        <v>2525</v>
      </c>
      <c r="B381" s="89">
        <v>6</v>
      </c>
      <c r="C381" s="111">
        <v>0</v>
      </c>
      <c r="D381" s="89" t="s">
        <v>2436</v>
      </c>
      <c r="E381" s="89" t="b">
        <v>0</v>
      </c>
      <c r="F381" s="89" t="b">
        <v>0</v>
      </c>
      <c r="G381" s="89" t="b">
        <v>0</v>
      </c>
    </row>
    <row r="382" spans="1:7" ht="15">
      <c r="A382" s="85" t="s">
        <v>2496</v>
      </c>
      <c r="B382" s="89">
        <v>2</v>
      </c>
      <c r="C382" s="111">
        <v>0</v>
      </c>
      <c r="D382" s="89" t="s">
        <v>2436</v>
      </c>
      <c r="E382" s="89" t="b">
        <v>0</v>
      </c>
      <c r="F382" s="89" t="b">
        <v>0</v>
      </c>
      <c r="G382" s="89" t="b">
        <v>0</v>
      </c>
    </row>
    <row r="383" spans="1:7" ht="15">
      <c r="A383" s="85" t="s">
        <v>2583</v>
      </c>
      <c r="B383" s="89">
        <v>2</v>
      </c>
      <c r="C383" s="111">
        <v>0</v>
      </c>
      <c r="D383" s="89" t="s">
        <v>2436</v>
      </c>
      <c r="E383" s="89" t="b">
        <v>0</v>
      </c>
      <c r="F383" s="89" t="b">
        <v>0</v>
      </c>
      <c r="G383" s="89" t="b">
        <v>0</v>
      </c>
    </row>
    <row r="384" spans="1:7" ht="15">
      <c r="A384" s="85" t="s">
        <v>2584</v>
      </c>
      <c r="B384" s="89">
        <v>2</v>
      </c>
      <c r="C384" s="111">
        <v>0</v>
      </c>
      <c r="D384" s="89" t="s">
        <v>2436</v>
      </c>
      <c r="E384" s="89" t="b">
        <v>0</v>
      </c>
      <c r="F384" s="89" t="b">
        <v>0</v>
      </c>
      <c r="G384" s="89" t="b">
        <v>0</v>
      </c>
    </row>
    <row r="385" spans="1:7" ht="15">
      <c r="A385" s="85" t="s">
        <v>2585</v>
      </c>
      <c r="B385" s="89">
        <v>2</v>
      </c>
      <c r="C385" s="111">
        <v>0</v>
      </c>
      <c r="D385" s="89" t="s">
        <v>2436</v>
      </c>
      <c r="E385" s="89" t="b">
        <v>0</v>
      </c>
      <c r="F385" s="89" t="b">
        <v>0</v>
      </c>
      <c r="G385" s="89" t="b">
        <v>0</v>
      </c>
    </row>
    <row r="386" spans="1:7" ht="15">
      <c r="A386" s="85" t="s">
        <v>2586</v>
      </c>
      <c r="B386" s="89">
        <v>2</v>
      </c>
      <c r="C386" s="111">
        <v>0</v>
      </c>
      <c r="D386" s="89" t="s">
        <v>2436</v>
      </c>
      <c r="E386" s="89" t="b">
        <v>0</v>
      </c>
      <c r="F386" s="89" t="b">
        <v>0</v>
      </c>
      <c r="G386" s="89" t="b">
        <v>0</v>
      </c>
    </row>
    <row r="387" spans="1:7" ht="15">
      <c r="A387" s="85" t="s">
        <v>2587</v>
      </c>
      <c r="B387" s="89">
        <v>2</v>
      </c>
      <c r="C387" s="111">
        <v>0</v>
      </c>
      <c r="D387" s="89" t="s">
        <v>2436</v>
      </c>
      <c r="E387" s="89" t="b">
        <v>0</v>
      </c>
      <c r="F387" s="89" t="b">
        <v>0</v>
      </c>
      <c r="G387" s="89" t="b">
        <v>0</v>
      </c>
    </row>
    <row r="388" spans="1:7" ht="15">
      <c r="A388" s="85" t="s">
        <v>2588</v>
      </c>
      <c r="B388" s="89">
        <v>2</v>
      </c>
      <c r="C388" s="111">
        <v>0</v>
      </c>
      <c r="D388" s="89" t="s">
        <v>2436</v>
      </c>
      <c r="E388" s="89" t="b">
        <v>0</v>
      </c>
      <c r="F388" s="89" t="b">
        <v>0</v>
      </c>
      <c r="G388" s="89" t="b">
        <v>0</v>
      </c>
    </row>
    <row r="389" spans="1:7" ht="15">
      <c r="A389" s="85" t="s">
        <v>2589</v>
      </c>
      <c r="B389" s="89">
        <v>2</v>
      </c>
      <c r="C389" s="111">
        <v>0</v>
      </c>
      <c r="D389" s="89" t="s">
        <v>2436</v>
      </c>
      <c r="E389" s="89" t="b">
        <v>0</v>
      </c>
      <c r="F389" s="89" t="b">
        <v>0</v>
      </c>
      <c r="G389" s="89" t="b">
        <v>0</v>
      </c>
    </row>
    <row r="390" spans="1:7" ht="15">
      <c r="A390" s="85" t="s">
        <v>2590</v>
      </c>
      <c r="B390" s="89">
        <v>2</v>
      </c>
      <c r="C390" s="111">
        <v>0</v>
      </c>
      <c r="D390" s="89" t="s">
        <v>2436</v>
      </c>
      <c r="E390" s="89" t="b">
        <v>0</v>
      </c>
      <c r="F390" s="89" t="b">
        <v>0</v>
      </c>
      <c r="G390" s="89" t="b">
        <v>0</v>
      </c>
    </row>
    <row r="391" spans="1:7" ht="15">
      <c r="A391" s="85" t="s">
        <v>2550</v>
      </c>
      <c r="B391" s="89">
        <v>2</v>
      </c>
      <c r="C391" s="111">
        <v>0</v>
      </c>
      <c r="D391" s="89" t="s">
        <v>2436</v>
      </c>
      <c r="E391" s="89" t="b">
        <v>0</v>
      </c>
      <c r="F391" s="89" t="b">
        <v>0</v>
      </c>
      <c r="G391" s="89" t="b">
        <v>0</v>
      </c>
    </row>
    <row r="392" spans="1:7" ht="15">
      <c r="A392" s="85" t="s">
        <v>2591</v>
      </c>
      <c r="B392" s="89">
        <v>2</v>
      </c>
      <c r="C392" s="111">
        <v>0</v>
      </c>
      <c r="D392" s="89" t="s">
        <v>2436</v>
      </c>
      <c r="E392" s="89" t="b">
        <v>0</v>
      </c>
      <c r="F392" s="89" t="b">
        <v>0</v>
      </c>
      <c r="G392" s="89" t="b">
        <v>0</v>
      </c>
    </row>
    <row r="393" spans="1:7" ht="15">
      <c r="A393" s="85" t="s">
        <v>2592</v>
      </c>
      <c r="B393" s="89">
        <v>2</v>
      </c>
      <c r="C393" s="111">
        <v>0</v>
      </c>
      <c r="D393" s="89" t="s">
        <v>2436</v>
      </c>
      <c r="E393" s="89" t="b">
        <v>0</v>
      </c>
      <c r="F393" s="89" t="b">
        <v>0</v>
      </c>
      <c r="G393" s="89" t="b">
        <v>0</v>
      </c>
    </row>
    <row r="394" spans="1:7" ht="15">
      <c r="A394" s="85" t="s">
        <v>2593</v>
      </c>
      <c r="B394" s="89">
        <v>2</v>
      </c>
      <c r="C394" s="111">
        <v>0</v>
      </c>
      <c r="D394" s="89" t="s">
        <v>2436</v>
      </c>
      <c r="E394" s="89" t="b">
        <v>0</v>
      </c>
      <c r="F394" s="89" t="b">
        <v>0</v>
      </c>
      <c r="G394" s="89" t="b">
        <v>0</v>
      </c>
    </row>
    <row r="395" spans="1:7" ht="15">
      <c r="A395" s="85" t="s">
        <v>2594</v>
      </c>
      <c r="B395" s="89">
        <v>2</v>
      </c>
      <c r="C395" s="111">
        <v>0</v>
      </c>
      <c r="D395" s="89" t="s">
        <v>2436</v>
      </c>
      <c r="E395" s="89" t="b">
        <v>0</v>
      </c>
      <c r="F395" s="89" t="b">
        <v>0</v>
      </c>
      <c r="G395" s="89" t="b">
        <v>0</v>
      </c>
    </row>
    <row r="396" spans="1:7" ht="15">
      <c r="A396" s="85" t="s">
        <v>2595</v>
      </c>
      <c r="B396" s="89">
        <v>2</v>
      </c>
      <c r="C396" s="111">
        <v>0</v>
      </c>
      <c r="D396" s="89" t="s">
        <v>2436</v>
      </c>
      <c r="E396" s="89" t="b">
        <v>0</v>
      </c>
      <c r="F396" s="89" t="b">
        <v>0</v>
      </c>
      <c r="G396" s="89" t="b">
        <v>0</v>
      </c>
    </row>
    <row r="397" spans="1:7" ht="15">
      <c r="A397" s="85" t="s">
        <v>2596</v>
      </c>
      <c r="B397" s="89">
        <v>2</v>
      </c>
      <c r="C397" s="111">
        <v>0</v>
      </c>
      <c r="D397" s="89" t="s">
        <v>2436</v>
      </c>
      <c r="E397" s="89" t="b">
        <v>0</v>
      </c>
      <c r="F397" s="89" t="b">
        <v>0</v>
      </c>
      <c r="G397" s="89" t="b">
        <v>0</v>
      </c>
    </row>
    <row r="398" spans="1:7" ht="15">
      <c r="A398" s="85" t="s">
        <v>2597</v>
      </c>
      <c r="B398" s="89">
        <v>2</v>
      </c>
      <c r="C398" s="111">
        <v>0</v>
      </c>
      <c r="D398" s="89" t="s">
        <v>2436</v>
      </c>
      <c r="E398" s="89" t="b">
        <v>0</v>
      </c>
      <c r="F398" s="89" t="b">
        <v>0</v>
      </c>
      <c r="G398" s="89" t="b">
        <v>0</v>
      </c>
    </row>
    <row r="399" spans="1:7" ht="15">
      <c r="A399" s="85" t="s">
        <v>2598</v>
      </c>
      <c r="B399" s="89">
        <v>2</v>
      </c>
      <c r="C399" s="111">
        <v>0</v>
      </c>
      <c r="D399" s="89" t="s">
        <v>2436</v>
      </c>
      <c r="E399" s="89" t="b">
        <v>0</v>
      </c>
      <c r="F399" s="89" t="b">
        <v>0</v>
      </c>
      <c r="G399" s="89" t="b">
        <v>0</v>
      </c>
    </row>
    <row r="400" spans="1:7" ht="15">
      <c r="A400" s="85" t="s">
        <v>2599</v>
      </c>
      <c r="B400" s="89">
        <v>2</v>
      </c>
      <c r="C400" s="111">
        <v>0</v>
      </c>
      <c r="D400" s="89" t="s">
        <v>2436</v>
      </c>
      <c r="E400" s="89" t="b">
        <v>0</v>
      </c>
      <c r="F400" s="89" t="b">
        <v>0</v>
      </c>
      <c r="G400" s="89" t="b">
        <v>0</v>
      </c>
    </row>
    <row r="401" spans="1:7" ht="15">
      <c r="A401" s="85" t="s">
        <v>2604</v>
      </c>
      <c r="B401" s="89">
        <v>2</v>
      </c>
      <c r="C401" s="111">
        <v>0</v>
      </c>
      <c r="D401" s="89" t="s">
        <v>2437</v>
      </c>
      <c r="E401" s="89" t="b">
        <v>0</v>
      </c>
      <c r="F401" s="89" t="b">
        <v>0</v>
      </c>
      <c r="G401" s="89" t="b">
        <v>0</v>
      </c>
    </row>
    <row r="402" spans="1:7" ht="15">
      <c r="A402" s="85" t="s">
        <v>2605</v>
      </c>
      <c r="B402" s="89">
        <v>2</v>
      </c>
      <c r="C402" s="111">
        <v>0</v>
      </c>
      <c r="D402" s="89" t="s">
        <v>2437</v>
      </c>
      <c r="E402" s="89" t="b">
        <v>0</v>
      </c>
      <c r="F402" s="89" t="b">
        <v>0</v>
      </c>
      <c r="G402" s="89" t="b">
        <v>0</v>
      </c>
    </row>
    <row r="403" spans="1:7" ht="15">
      <c r="A403" s="85" t="s">
        <v>2606</v>
      </c>
      <c r="B403" s="89">
        <v>2</v>
      </c>
      <c r="C403" s="111">
        <v>0</v>
      </c>
      <c r="D403" s="89" t="s">
        <v>2437</v>
      </c>
      <c r="E403" s="89" t="b">
        <v>0</v>
      </c>
      <c r="F403" s="89" t="b">
        <v>0</v>
      </c>
      <c r="G403" s="89" t="b">
        <v>0</v>
      </c>
    </row>
    <row r="404" spans="1:7" ht="15">
      <c r="A404" s="85" t="s">
        <v>2607</v>
      </c>
      <c r="B404" s="89">
        <v>2</v>
      </c>
      <c r="C404" s="111">
        <v>0</v>
      </c>
      <c r="D404" s="89" t="s">
        <v>2437</v>
      </c>
      <c r="E404" s="89" t="b">
        <v>0</v>
      </c>
      <c r="F404" s="89" t="b">
        <v>0</v>
      </c>
      <c r="G404" s="89" t="b">
        <v>0</v>
      </c>
    </row>
    <row r="405" spans="1:7" ht="15">
      <c r="A405" s="85" t="s">
        <v>2547</v>
      </c>
      <c r="B405" s="89">
        <v>2</v>
      </c>
      <c r="C405" s="111">
        <v>0</v>
      </c>
      <c r="D405" s="89" t="s">
        <v>2437</v>
      </c>
      <c r="E405" s="89" t="b">
        <v>0</v>
      </c>
      <c r="F405" s="89" t="b">
        <v>0</v>
      </c>
      <c r="G405" s="89" t="b">
        <v>0</v>
      </c>
    </row>
    <row r="406" spans="1:7" ht="15">
      <c r="A406" s="85" t="s">
        <v>591</v>
      </c>
      <c r="B406" s="89">
        <v>2</v>
      </c>
      <c r="C406" s="111">
        <v>0</v>
      </c>
      <c r="D406" s="89" t="s">
        <v>2437</v>
      </c>
      <c r="E406" s="89" t="b">
        <v>0</v>
      </c>
      <c r="F406" s="89" t="b">
        <v>0</v>
      </c>
      <c r="G406" s="89" t="b">
        <v>0</v>
      </c>
    </row>
    <row r="407" spans="1:7" ht="15">
      <c r="A407" s="85" t="s">
        <v>2474</v>
      </c>
      <c r="B407" s="89">
        <v>2</v>
      </c>
      <c r="C407" s="111">
        <v>0</v>
      </c>
      <c r="D407" s="89" t="s">
        <v>2437</v>
      </c>
      <c r="E407" s="89" t="b">
        <v>0</v>
      </c>
      <c r="F407" s="89" t="b">
        <v>0</v>
      </c>
      <c r="G407" s="89" t="b">
        <v>0</v>
      </c>
    </row>
    <row r="408" spans="1:7" ht="15">
      <c r="A408" s="85" t="s">
        <v>2608</v>
      </c>
      <c r="B408" s="89">
        <v>2</v>
      </c>
      <c r="C408" s="111">
        <v>0</v>
      </c>
      <c r="D408" s="89" t="s">
        <v>2437</v>
      </c>
      <c r="E408" s="89" t="b">
        <v>0</v>
      </c>
      <c r="F408" s="89" t="b">
        <v>0</v>
      </c>
      <c r="G408" s="89" t="b">
        <v>0</v>
      </c>
    </row>
    <row r="409" spans="1:7" ht="15">
      <c r="A409" s="85" t="s">
        <v>591</v>
      </c>
      <c r="B409" s="89">
        <v>2</v>
      </c>
      <c r="C409" s="111">
        <v>0</v>
      </c>
      <c r="D409" s="89" t="s">
        <v>2439</v>
      </c>
      <c r="E409" s="89" t="b">
        <v>0</v>
      </c>
      <c r="F409" s="89" t="b">
        <v>0</v>
      </c>
      <c r="G409" s="89" t="b">
        <v>0</v>
      </c>
    </row>
    <row r="410" spans="1:7" ht="15">
      <c r="A410" s="85" t="s">
        <v>2474</v>
      </c>
      <c r="B410" s="89">
        <v>2</v>
      </c>
      <c r="C410" s="111">
        <v>0</v>
      </c>
      <c r="D410" s="89" t="s">
        <v>2439</v>
      </c>
      <c r="E410" s="89" t="b">
        <v>0</v>
      </c>
      <c r="F410" s="89" t="b">
        <v>0</v>
      </c>
      <c r="G410" s="89" t="b">
        <v>0</v>
      </c>
    </row>
    <row r="411" spans="1:7" ht="15">
      <c r="A411" s="85" t="s">
        <v>2551</v>
      </c>
      <c r="B411" s="89">
        <v>2</v>
      </c>
      <c r="C411" s="111">
        <v>0</v>
      </c>
      <c r="D411" s="89" t="s">
        <v>2439</v>
      </c>
      <c r="E411" s="89" t="b">
        <v>0</v>
      </c>
      <c r="F411" s="89" t="b">
        <v>0</v>
      </c>
      <c r="G411" s="89" t="b">
        <v>0</v>
      </c>
    </row>
    <row r="412" spans="1:7" ht="15">
      <c r="A412" s="85" t="s">
        <v>2625</v>
      </c>
      <c r="B412" s="89">
        <v>2</v>
      </c>
      <c r="C412" s="111">
        <v>0</v>
      </c>
      <c r="D412" s="89" t="s">
        <v>2439</v>
      </c>
      <c r="E412" s="89" t="b">
        <v>0</v>
      </c>
      <c r="F412" s="89" t="b">
        <v>0</v>
      </c>
      <c r="G412" s="89" t="b">
        <v>0</v>
      </c>
    </row>
    <row r="413" spans="1:7" ht="15">
      <c r="A413" s="85" t="s">
        <v>2626</v>
      </c>
      <c r="B413" s="89">
        <v>2</v>
      </c>
      <c r="C413" s="111">
        <v>0</v>
      </c>
      <c r="D413" s="89" t="s">
        <v>2439</v>
      </c>
      <c r="E413" s="89" t="b">
        <v>0</v>
      </c>
      <c r="F413" s="89" t="b">
        <v>0</v>
      </c>
      <c r="G413" s="89" t="b">
        <v>0</v>
      </c>
    </row>
    <row r="414" spans="1:7" ht="15">
      <c r="A414" s="85" t="s">
        <v>591</v>
      </c>
      <c r="B414" s="89">
        <v>2</v>
      </c>
      <c r="C414" s="111">
        <v>0</v>
      </c>
      <c r="D414" s="89" t="s">
        <v>2440</v>
      </c>
      <c r="E414" s="89" t="b">
        <v>0</v>
      </c>
      <c r="F414" s="89" t="b">
        <v>0</v>
      </c>
      <c r="G414" s="89" t="b">
        <v>0</v>
      </c>
    </row>
    <row r="415" spans="1:7" ht="15">
      <c r="A415" s="85" t="s">
        <v>2474</v>
      </c>
      <c r="B415" s="89">
        <v>2</v>
      </c>
      <c r="C415" s="111">
        <v>0</v>
      </c>
      <c r="D415" s="89" t="s">
        <v>2440</v>
      </c>
      <c r="E415" s="89" t="b">
        <v>0</v>
      </c>
      <c r="F415" s="89" t="b">
        <v>0</v>
      </c>
      <c r="G415" s="89" t="b">
        <v>0</v>
      </c>
    </row>
    <row r="416" spans="1:7" ht="15">
      <c r="A416" s="85" t="s">
        <v>2627</v>
      </c>
      <c r="B416" s="89">
        <v>2</v>
      </c>
      <c r="C416" s="111">
        <v>0</v>
      </c>
      <c r="D416" s="89" t="s">
        <v>2440</v>
      </c>
      <c r="E416" s="89" t="b">
        <v>0</v>
      </c>
      <c r="F416" s="89" t="b">
        <v>0</v>
      </c>
      <c r="G416" s="89" t="b">
        <v>0</v>
      </c>
    </row>
    <row r="417" spans="1:7" ht="15">
      <c r="A417" s="85" t="s">
        <v>2628</v>
      </c>
      <c r="B417" s="89">
        <v>2</v>
      </c>
      <c r="C417" s="111">
        <v>0</v>
      </c>
      <c r="D417" s="89" t="s">
        <v>2440</v>
      </c>
      <c r="E417" s="89" t="b">
        <v>0</v>
      </c>
      <c r="F417" s="89" t="b">
        <v>0</v>
      </c>
      <c r="G417" s="89" t="b">
        <v>0</v>
      </c>
    </row>
    <row r="418" spans="1:7" ht="15">
      <c r="A418" s="85" t="s">
        <v>2631</v>
      </c>
      <c r="B418" s="89">
        <v>2</v>
      </c>
      <c r="C418" s="111">
        <v>0</v>
      </c>
      <c r="D418" s="89" t="s">
        <v>2442</v>
      </c>
      <c r="E418" s="89" t="b">
        <v>0</v>
      </c>
      <c r="F418" s="89" t="b">
        <v>0</v>
      </c>
      <c r="G418" s="89" t="b">
        <v>0</v>
      </c>
    </row>
    <row r="419" spans="1:7" ht="15">
      <c r="A419" s="85" t="s">
        <v>2632</v>
      </c>
      <c r="B419" s="89">
        <v>2</v>
      </c>
      <c r="C419" s="111">
        <v>0</v>
      </c>
      <c r="D419" s="89" t="s">
        <v>2442</v>
      </c>
      <c r="E419" s="89" t="b">
        <v>0</v>
      </c>
      <c r="F419" s="89" t="b">
        <v>0</v>
      </c>
      <c r="G419" s="89" t="b">
        <v>0</v>
      </c>
    </row>
    <row r="420" spans="1:7" ht="15">
      <c r="A420" s="85" t="s">
        <v>2546</v>
      </c>
      <c r="B420" s="89">
        <v>2</v>
      </c>
      <c r="C420" s="111">
        <v>0</v>
      </c>
      <c r="D420" s="89" t="s">
        <v>2442</v>
      </c>
      <c r="E420" s="89" t="b">
        <v>0</v>
      </c>
      <c r="F420" s="89" t="b">
        <v>0</v>
      </c>
      <c r="G420" s="89" t="b">
        <v>0</v>
      </c>
    </row>
    <row r="421" spans="1:7" ht="15">
      <c r="A421" s="85" t="s">
        <v>2633</v>
      </c>
      <c r="B421" s="89">
        <v>2</v>
      </c>
      <c r="C421" s="111">
        <v>0</v>
      </c>
      <c r="D421" s="89" t="s">
        <v>2442</v>
      </c>
      <c r="E421" s="89" t="b">
        <v>0</v>
      </c>
      <c r="F421" s="89" t="b">
        <v>0</v>
      </c>
      <c r="G421" s="89" t="b">
        <v>0</v>
      </c>
    </row>
    <row r="422" spans="1:7" ht="15">
      <c r="A422" s="85" t="s">
        <v>2634</v>
      </c>
      <c r="B422" s="89">
        <v>2</v>
      </c>
      <c r="C422" s="111">
        <v>0</v>
      </c>
      <c r="D422" s="89" t="s">
        <v>2442</v>
      </c>
      <c r="E422" s="89" t="b">
        <v>0</v>
      </c>
      <c r="F422" s="89" t="b">
        <v>0</v>
      </c>
      <c r="G422" s="89" t="b">
        <v>0</v>
      </c>
    </row>
    <row r="423" spans="1:7" ht="15">
      <c r="A423" s="85" t="s">
        <v>2635</v>
      </c>
      <c r="B423" s="89">
        <v>2</v>
      </c>
      <c r="C423" s="111">
        <v>0</v>
      </c>
      <c r="D423" s="89" t="s">
        <v>2442</v>
      </c>
      <c r="E423" s="89" t="b">
        <v>0</v>
      </c>
      <c r="F423" s="89" t="b">
        <v>0</v>
      </c>
      <c r="G423" s="89" t="b">
        <v>0</v>
      </c>
    </row>
    <row r="424" spans="1:7" ht="15">
      <c r="A424" s="85" t="s">
        <v>2636</v>
      </c>
      <c r="B424" s="89">
        <v>2</v>
      </c>
      <c r="C424" s="111">
        <v>0</v>
      </c>
      <c r="D424" s="89" t="s">
        <v>2442</v>
      </c>
      <c r="E424" s="89" t="b">
        <v>0</v>
      </c>
      <c r="F424" s="89" t="b">
        <v>0</v>
      </c>
      <c r="G424" s="89" t="b">
        <v>0</v>
      </c>
    </row>
    <row r="425" spans="1:7" ht="15">
      <c r="A425" s="85" t="s">
        <v>2637</v>
      </c>
      <c r="B425" s="89">
        <v>2</v>
      </c>
      <c r="C425" s="111">
        <v>0</v>
      </c>
      <c r="D425" s="89" t="s">
        <v>2442</v>
      </c>
      <c r="E425" s="89" t="b">
        <v>0</v>
      </c>
      <c r="F425" s="89" t="b">
        <v>0</v>
      </c>
      <c r="G425" s="89" t="b">
        <v>0</v>
      </c>
    </row>
    <row r="426" spans="1:7" ht="15">
      <c r="A426" s="85" t="s">
        <v>2638</v>
      </c>
      <c r="B426" s="89">
        <v>2</v>
      </c>
      <c r="C426" s="111">
        <v>0</v>
      </c>
      <c r="D426" s="89" t="s">
        <v>2442</v>
      </c>
      <c r="E426" s="89" t="b">
        <v>0</v>
      </c>
      <c r="F426" s="89" t="b">
        <v>0</v>
      </c>
      <c r="G426" s="89" t="b">
        <v>0</v>
      </c>
    </row>
    <row r="427" spans="1:7" ht="15">
      <c r="A427" s="85" t="s">
        <v>2639</v>
      </c>
      <c r="B427" s="89">
        <v>2</v>
      </c>
      <c r="C427" s="111">
        <v>0</v>
      </c>
      <c r="D427" s="89" t="s">
        <v>2442</v>
      </c>
      <c r="E427" s="89" t="b">
        <v>0</v>
      </c>
      <c r="F427" s="89" t="b">
        <v>0</v>
      </c>
      <c r="G427" s="89" t="b">
        <v>0</v>
      </c>
    </row>
    <row r="428" spans="1:7" ht="15">
      <c r="A428" s="85" t="s">
        <v>2640</v>
      </c>
      <c r="B428" s="89">
        <v>2</v>
      </c>
      <c r="C428" s="111">
        <v>0</v>
      </c>
      <c r="D428" s="89" t="s">
        <v>2442</v>
      </c>
      <c r="E428" s="89" t="b">
        <v>0</v>
      </c>
      <c r="F428" s="89" t="b">
        <v>0</v>
      </c>
      <c r="G428" s="89" t="b">
        <v>0</v>
      </c>
    </row>
    <row r="429" spans="1:7" ht="15">
      <c r="A429" s="85" t="s">
        <v>2658</v>
      </c>
      <c r="B429" s="89">
        <v>2</v>
      </c>
      <c r="C429" s="111">
        <v>0</v>
      </c>
      <c r="D429" s="89" t="s">
        <v>2447</v>
      </c>
      <c r="E429" s="89" t="b">
        <v>0</v>
      </c>
      <c r="F429" s="89" t="b">
        <v>0</v>
      </c>
      <c r="G42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C0F7-995E-4181-8DE7-D0AC8B06F721}">
  <dimension ref="A1:L35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2669</v>
      </c>
      <c r="B1" s="13" t="s">
        <v>2670</v>
      </c>
      <c r="C1" s="13" t="s">
        <v>2660</v>
      </c>
      <c r="D1" s="13" t="s">
        <v>2664</v>
      </c>
      <c r="E1" s="13" t="s">
        <v>2671</v>
      </c>
      <c r="F1" s="13" t="s">
        <v>144</v>
      </c>
      <c r="G1" s="13" t="s">
        <v>2672</v>
      </c>
      <c r="H1" s="13" t="s">
        <v>2673</v>
      </c>
      <c r="I1" s="13" t="s">
        <v>2674</v>
      </c>
      <c r="J1" s="13" t="s">
        <v>2675</v>
      </c>
      <c r="K1" s="13" t="s">
        <v>2676</v>
      </c>
      <c r="L1" s="13" t="s">
        <v>2677</v>
      </c>
    </row>
    <row r="2" spans="1:12" ht="15">
      <c r="A2" s="89" t="s">
        <v>591</v>
      </c>
      <c r="B2" s="89" t="s">
        <v>2474</v>
      </c>
      <c r="C2" s="89">
        <v>311</v>
      </c>
      <c r="D2" s="111">
        <v>0.00663756125309114</v>
      </c>
      <c r="E2" s="111">
        <v>0.8822944356296132</v>
      </c>
      <c r="F2" s="89" t="s">
        <v>2665</v>
      </c>
      <c r="G2" s="89" t="b">
        <v>0</v>
      </c>
      <c r="H2" s="89" t="b">
        <v>0</v>
      </c>
      <c r="I2" s="89" t="b">
        <v>0</v>
      </c>
      <c r="J2" s="89" t="b">
        <v>0</v>
      </c>
      <c r="K2" s="89" t="b">
        <v>0</v>
      </c>
      <c r="L2" s="89" t="b">
        <v>0</v>
      </c>
    </row>
    <row r="3" spans="1:12" ht="15">
      <c r="A3" s="85" t="s">
        <v>2478</v>
      </c>
      <c r="B3" s="89" t="s">
        <v>2476</v>
      </c>
      <c r="C3" s="89">
        <v>116</v>
      </c>
      <c r="D3" s="111">
        <v>0.00999086147702347</v>
      </c>
      <c r="E3" s="111">
        <v>1.514721897109275</v>
      </c>
      <c r="F3" s="89" t="s">
        <v>2665</v>
      </c>
      <c r="G3" s="89" t="b">
        <v>0</v>
      </c>
      <c r="H3" s="89" t="b">
        <v>0</v>
      </c>
      <c r="I3" s="89" t="b">
        <v>0</v>
      </c>
      <c r="J3" s="89" t="b">
        <v>0</v>
      </c>
      <c r="K3" s="89" t="b">
        <v>0</v>
      </c>
      <c r="L3" s="89" t="b">
        <v>0</v>
      </c>
    </row>
    <row r="4" spans="1:12" ht="15">
      <c r="A4" s="85" t="s">
        <v>2479</v>
      </c>
      <c r="B4" s="89" t="s">
        <v>2480</v>
      </c>
      <c r="C4" s="89">
        <v>91</v>
      </c>
      <c r="D4" s="111">
        <v>0.01008951545475313</v>
      </c>
      <c r="E4" s="111">
        <v>1.6420403354629296</v>
      </c>
      <c r="F4" s="89" t="s">
        <v>2665</v>
      </c>
      <c r="G4" s="89" t="b">
        <v>0</v>
      </c>
      <c r="H4" s="89" t="b">
        <v>0</v>
      </c>
      <c r="I4" s="89" t="b">
        <v>0</v>
      </c>
      <c r="J4" s="89" t="b">
        <v>0</v>
      </c>
      <c r="K4" s="89" t="b">
        <v>0</v>
      </c>
      <c r="L4" s="89" t="b">
        <v>0</v>
      </c>
    </row>
    <row r="5" spans="1:12" ht="15">
      <c r="A5" s="85" t="s">
        <v>2480</v>
      </c>
      <c r="B5" s="89" t="s">
        <v>2481</v>
      </c>
      <c r="C5" s="89">
        <v>91</v>
      </c>
      <c r="D5" s="111">
        <v>0.01008951545475313</v>
      </c>
      <c r="E5" s="111">
        <v>1.6420403354629296</v>
      </c>
      <c r="F5" s="89" t="s">
        <v>2665</v>
      </c>
      <c r="G5" s="89" t="b">
        <v>0</v>
      </c>
      <c r="H5" s="89" t="b">
        <v>0</v>
      </c>
      <c r="I5" s="89" t="b">
        <v>0</v>
      </c>
      <c r="J5" s="89" t="b">
        <v>0</v>
      </c>
      <c r="K5" s="89" t="b">
        <v>0</v>
      </c>
      <c r="L5" s="89" t="b">
        <v>0</v>
      </c>
    </row>
    <row r="6" spans="1:12" ht="15">
      <c r="A6" s="85" t="s">
        <v>2481</v>
      </c>
      <c r="B6" s="89" t="s">
        <v>2475</v>
      </c>
      <c r="C6" s="89">
        <v>91</v>
      </c>
      <c r="D6" s="111">
        <v>0.01008951545475313</v>
      </c>
      <c r="E6" s="111">
        <v>1.3410103397989483</v>
      </c>
      <c r="F6" s="89" t="s">
        <v>2665</v>
      </c>
      <c r="G6" s="89" t="b">
        <v>0</v>
      </c>
      <c r="H6" s="89" t="b">
        <v>0</v>
      </c>
      <c r="I6" s="89" t="b">
        <v>0</v>
      </c>
      <c r="J6" s="89" t="b">
        <v>0</v>
      </c>
      <c r="K6" s="89" t="b">
        <v>0</v>
      </c>
      <c r="L6" s="89" t="b">
        <v>0</v>
      </c>
    </row>
    <row r="7" spans="1:12" ht="15">
      <c r="A7" s="85" t="s">
        <v>2475</v>
      </c>
      <c r="B7" s="89" t="s">
        <v>2482</v>
      </c>
      <c r="C7" s="89">
        <v>91</v>
      </c>
      <c r="D7" s="111">
        <v>0.01008951545475313</v>
      </c>
      <c r="E7" s="111">
        <v>1.3410103397989483</v>
      </c>
      <c r="F7" s="89" t="s">
        <v>2665</v>
      </c>
      <c r="G7" s="89" t="b">
        <v>0</v>
      </c>
      <c r="H7" s="89" t="b">
        <v>0</v>
      </c>
      <c r="I7" s="89" t="b">
        <v>0</v>
      </c>
      <c r="J7" s="89" t="b">
        <v>0</v>
      </c>
      <c r="K7" s="89" t="b">
        <v>0</v>
      </c>
      <c r="L7" s="89" t="b">
        <v>0</v>
      </c>
    </row>
    <row r="8" spans="1:12" ht="15">
      <c r="A8" s="85" t="s">
        <v>2482</v>
      </c>
      <c r="B8" s="89" t="s">
        <v>2483</v>
      </c>
      <c r="C8" s="89">
        <v>91</v>
      </c>
      <c r="D8" s="111">
        <v>0.01008951545475313</v>
      </c>
      <c r="E8" s="111">
        <v>1.6420403354629296</v>
      </c>
      <c r="F8" s="89" t="s">
        <v>2665</v>
      </c>
      <c r="G8" s="89" t="b">
        <v>0</v>
      </c>
      <c r="H8" s="89" t="b">
        <v>0</v>
      </c>
      <c r="I8" s="89" t="b">
        <v>0</v>
      </c>
      <c r="J8" s="89" t="b">
        <v>0</v>
      </c>
      <c r="K8" s="89" t="b">
        <v>0</v>
      </c>
      <c r="L8" s="89" t="b">
        <v>0</v>
      </c>
    </row>
    <row r="9" spans="1:12" ht="15">
      <c r="A9" s="85" t="s">
        <v>2483</v>
      </c>
      <c r="B9" s="89" t="s">
        <v>2484</v>
      </c>
      <c r="C9" s="89">
        <v>91</v>
      </c>
      <c r="D9" s="111">
        <v>0.01008951545475313</v>
      </c>
      <c r="E9" s="111">
        <v>1.6420403354629296</v>
      </c>
      <c r="F9" s="89" t="s">
        <v>2665</v>
      </c>
      <c r="G9" s="89" t="b">
        <v>0</v>
      </c>
      <c r="H9" s="89" t="b">
        <v>0</v>
      </c>
      <c r="I9" s="89" t="b">
        <v>0</v>
      </c>
      <c r="J9" s="89" t="b">
        <v>0</v>
      </c>
      <c r="K9" s="89" t="b">
        <v>0</v>
      </c>
      <c r="L9" s="89" t="b">
        <v>0</v>
      </c>
    </row>
    <row r="10" spans="1:12" ht="15">
      <c r="A10" s="85" t="s">
        <v>2484</v>
      </c>
      <c r="B10" s="89" t="s">
        <v>2485</v>
      </c>
      <c r="C10" s="89">
        <v>91</v>
      </c>
      <c r="D10" s="111">
        <v>0.01008951545475313</v>
      </c>
      <c r="E10" s="111">
        <v>1.6420403354629296</v>
      </c>
      <c r="F10" s="89" t="s">
        <v>2665</v>
      </c>
      <c r="G10" s="89" t="b">
        <v>0</v>
      </c>
      <c r="H10" s="89" t="b">
        <v>0</v>
      </c>
      <c r="I10" s="89" t="b">
        <v>0</v>
      </c>
      <c r="J10" s="89" t="b">
        <v>0</v>
      </c>
      <c r="K10" s="89" t="b">
        <v>0</v>
      </c>
      <c r="L10" s="89" t="b">
        <v>0</v>
      </c>
    </row>
    <row r="11" spans="1:12" ht="15">
      <c r="A11" s="85" t="s">
        <v>2485</v>
      </c>
      <c r="B11" s="89" t="s">
        <v>2486</v>
      </c>
      <c r="C11" s="89">
        <v>91</v>
      </c>
      <c r="D11" s="111">
        <v>0.01008951545475313</v>
      </c>
      <c r="E11" s="111">
        <v>1.6420403354629296</v>
      </c>
      <c r="F11" s="89" t="s">
        <v>2665</v>
      </c>
      <c r="G11" s="89" t="b">
        <v>0</v>
      </c>
      <c r="H11" s="89" t="b">
        <v>0</v>
      </c>
      <c r="I11" s="89" t="b">
        <v>0</v>
      </c>
      <c r="J11" s="89" t="b">
        <v>0</v>
      </c>
      <c r="K11" s="89" t="b">
        <v>0</v>
      </c>
      <c r="L11" s="89" t="b">
        <v>0</v>
      </c>
    </row>
    <row r="12" spans="1:12" ht="15">
      <c r="A12" s="85" t="s">
        <v>2486</v>
      </c>
      <c r="B12" s="89" t="s">
        <v>591</v>
      </c>
      <c r="C12" s="89">
        <v>91</v>
      </c>
      <c r="D12" s="111">
        <v>0.01008951545475313</v>
      </c>
      <c r="E12" s="111">
        <v>0.9566431383161846</v>
      </c>
      <c r="F12" s="89" t="s">
        <v>2665</v>
      </c>
      <c r="G12" s="89" t="b">
        <v>0</v>
      </c>
      <c r="H12" s="89" t="b">
        <v>0</v>
      </c>
      <c r="I12" s="89" t="b">
        <v>0</v>
      </c>
      <c r="J12" s="89" t="b">
        <v>0</v>
      </c>
      <c r="K12" s="89" t="b">
        <v>0</v>
      </c>
      <c r="L12" s="89" t="b">
        <v>0</v>
      </c>
    </row>
    <row r="13" spans="1:12" ht="15">
      <c r="A13" s="85" t="s">
        <v>2474</v>
      </c>
      <c r="B13" s="89" t="s">
        <v>2477</v>
      </c>
      <c r="C13" s="89">
        <v>91</v>
      </c>
      <c r="D13" s="111">
        <v>0.01008951545475313</v>
      </c>
      <c r="E13" s="111">
        <v>1.1572086372735935</v>
      </c>
      <c r="F13" s="89" t="s">
        <v>2665</v>
      </c>
      <c r="G13" s="89" t="b">
        <v>0</v>
      </c>
      <c r="H13" s="89" t="b">
        <v>0</v>
      </c>
      <c r="I13" s="89" t="b">
        <v>0</v>
      </c>
      <c r="J13" s="89" t="b">
        <v>0</v>
      </c>
      <c r="K13" s="89" t="b">
        <v>0</v>
      </c>
      <c r="L13" s="89" t="b">
        <v>0</v>
      </c>
    </row>
    <row r="14" spans="1:12" ht="15">
      <c r="A14" s="85" t="s">
        <v>2477</v>
      </c>
      <c r="B14" s="89" t="s">
        <v>591</v>
      </c>
      <c r="C14" s="89">
        <v>91</v>
      </c>
      <c r="D14" s="111">
        <v>0.01008951545475313</v>
      </c>
      <c r="E14" s="111">
        <v>0.8512265414103598</v>
      </c>
      <c r="F14" s="89" t="s">
        <v>2665</v>
      </c>
      <c r="G14" s="89" t="b">
        <v>0</v>
      </c>
      <c r="H14" s="89" t="b">
        <v>0</v>
      </c>
      <c r="I14" s="89" t="b">
        <v>0</v>
      </c>
      <c r="J14" s="89" t="b">
        <v>0</v>
      </c>
      <c r="K14" s="89" t="b">
        <v>0</v>
      </c>
      <c r="L14" s="89" t="b">
        <v>0</v>
      </c>
    </row>
    <row r="15" spans="1:12" ht="15">
      <c r="A15" s="85" t="s">
        <v>591</v>
      </c>
      <c r="B15" s="89" t="s">
        <v>2487</v>
      </c>
      <c r="C15" s="89">
        <v>91</v>
      </c>
      <c r="D15" s="111">
        <v>0.01008951545475313</v>
      </c>
      <c r="E15" s="111">
        <v>0.8850783841492241</v>
      </c>
      <c r="F15" s="89" t="s">
        <v>2665</v>
      </c>
      <c r="G15" s="89" t="b">
        <v>0</v>
      </c>
      <c r="H15" s="89" t="b">
        <v>0</v>
      </c>
      <c r="I15" s="89" t="b">
        <v>0</v>
      </c>
      <c r="J15" s="89" t="b">
        <v>0</v>
      </c>
      <c r="K15" s="89" t="b">
        <v>0</v>
      </c>
      <c r="L15" s="89" t="b">
        <v>0</v>
      </c>
    </row>
    <row r="16" spans="1:12" ht="15">
      <c r="A16" s="85" t="s">
        <v>2487</v>
      </c>
      <c r="B16" s="89" t="s">
        <v>2488</v>
      </c>
      <c r="C16" s="89">
        <v>91</v>
      </c>
      <c r="D16" s="111">
        <v>0.01008951545475313</v>
      </c>
      <c r="E16" s="111">
        <v>1.6420403354629296</v>
      </c>
      <c r="F16" s="89" t="s">
        <v>2665</v>
      </c>
      <c r="G16" s="89" t="b">
        <v>0</v>
      </c>
      <c r="H16" s="89" t="b">
        <v>0</v>
      </c>
      <c r="I16" s="89" t="b">
        <v>0</v>
      </c>
      <c r="J16" s="89" t="b">
        <v>0</v>
      </c>
      <c r="K16" s="89" t="b">
        <v>0</v>
      </c>
      <c r="L16" s="89" t="b">
        <v>0</v>
      </c>
    </row>
    <row r="17" spans="1:12" ht="15">
      <c r="A17" s="85" t="s">
        <v>2488</v>
      </c>
      <c r="B17" s="89" t="s">
        <v>2489</v>
      </c>
      <c r="C17" s="89">
        <v>91</v>
      </c>
      <c r="D17" s="111">
        <v>0.01008951545475313</v>
      </c>
      <c r="E17" s="111">
        <v>1.6420403354629296</v>
      </c>
      <c r="F17" s="89" t="s">
        <v>2665</v>
      </c>
      <c r="G17" s="89" t="b">
        <v>0</v>
      </c>
      <c r="H17" s="89" t="b">
        <v>0</v>
      </c>
      <c r="I17" s="89" t="b">
        <v>0</v>
      </c>
      <c r="J17" s="89" t="b">
        <v>0</v>
      </c>
      <c r="K17" s="89" t="b">
        <v>0</v>
      </c>
      <c r="L17" s="89" t="b">
        <v>0</v>
      </c>
    </row>
    <row r="18" spans="1:12" ht="15">
      <c r="A18" s="85" t="s">
        <v>2489</v>
      </c>
      <c r="B18" s="89" t="s">
        <v>2478</v>
      </c>
      <c r="C18" s="89">
        <v>91</v>
      </c>
      <c r="D18" s="111">
        <v>0.01008951545475313</v>
      </c>
      <c r="E18" s="111">
        <v>1.5366237385571049</v>
      </c>
      <c r="F18" s="89" t="s">
        <v>2665</v>
      </c>
      <c r="G18" s="89" t="b">
        <v>0</v>
      </c>
      <c r="H18" s="89" t="b">
        <v>0</v>
      </c>
      <c r="I18" s="89" t="b">
        <v>0</v>
      </c>
      <c r="J18" s="89" t="b">
        <v>0</v>
      </c>
      <c r="K18" s="89" t="b">
        <v>0</v>
      </c>
      <c r="L18" s="89" t="b">
        <v>0</v>
      </c>
    </row>
    <row r="19" spans="1:12" ht="15">
      <c r="A19" s="85" t="s">
        <v>2476</v>
      </c>
      <c r="B19" s="89" t="s">
        <v>591</v>
      </c>
      <c r="C19" s="89">
        <v>91</v>
      </c>
      <c r="D19" s="111">
        <v>0.01008951545475313</v>
      </c>
      <c r="E19" s="111">
        <v>0.82932469996253</v>
      </c>
      <c r="F19" s="89" t="s">
        <v>2665</v>
      </c>
      <c r="G19" s="89" t="b">
        <v>0</v>
      </c>
      <c r="H19" s="89" t="b">
        <v>0</v>
      </c>
      <c r="I19" s="89" t="b">
        <v>0</v>
      </c>
      <c r="J19" s="89" t="b">
        <v>0</v>
      </c>
      <c r="K19" s="89" t="b">
        <v>0</v>
      </c>
      <c r="L19" s="89" t="b">
        <v>0</v>
      </c>
    </row>
    <row r="20" spans="1:12" ht="15">
      <c r="A20" s="85" t="s">
        <v>591</v>
      </c>
      <c r="B20" s="89" t="s">
        <v>2475</v>
      </c>
      <c r="C20" s="89">
        <v>91</v>
      </c>
      <c r="D20" s="111">
        <v>0.01008951545475313</v>
      </c>
      <c r="E20" s="111">
        <v>0.5840483884852429</v>
      </c>
      <c r="F20" s="89" t="s">
        <v>2665</v>
      </c>
      <c r="G20" s="89" t="b">
        <v>0</v>
      </c>
      <c r="H20" s="89" t="b">
        <v>0</v>
      </c>
      <c r="I20" s="89" t="b">
        <v>0</v>
      </c>
      <c r="J20" s="89" t="b">
        <v>0</v>
      </c>
      <c r="K20" s="89" t="b">
        <v>0</v>
      </c>
      <c r="L20" s="89" t="b">
        <v>0</v>
      </c>
    </row>
    <row r="21" spans="1:12" ht="15">
      <c r="A21" s="85" t="s">
        <v>2475</v>
      </c>
      <c r="B21" s="89" t="s">
        <v>2490</v>
      </c>
      <c r="C21" s="89">
        <v>91</v>
      </c>
      <c r="D21" s="111">
        <v>0.01008951545475313</v>
      </c>
      <c r="E21" s="111">
        <v>1.3410103397989483</v>
      </c>
      <c r="F21" s="89" t="s">
        <v>2665</v>
      </c>
      <c r="G21" s="89" t="b">
        <v>0</v>
      </c>
      <c r="H21" s="89" t="b">
        <v>0</v>
      </c>
      <c r="I21" s="89" t="b">
        <v>0</v>
      </c>
      <c r="J21" s="89" t="b">
        <v>0</v>
      </c>
      <c r="K21" s="89" t="b">
        <v>0</v>
      </c>
      <c r="L21" s="89" t="b">
        <v>0</v>
      </c>
    </row>
    <row r="22" spans="1:12" ht="15">
      <c r="A22" s="85" t="s">
        <v>2490</v>
      </c>
      <c r="B22" s="89" t="s">
        <v>2491</v>
      </c>
      <c r="C22" s="89">
        <v>91</v>
      </c>
      <c r="D22" s="111">
        <v>0.01008951545475313</v>
      </c>
      <c r="E22" s="111">
        <v>1.6420403354629296</v>
      </c>
      <c r="F22" s="89" t="s">
        <v>2665</v>
      </c>
      <c r="G22" s="89" t="b">
        <v>0</v>
      </c>
      <c r="H22" s="89" t="b">
        <v>0</v>
      </c>
      <c r="I22" s="89" t="b">
        <v>0</v>
      </c>
      <c r="J22" s="89" t="b">
        <v>0</v>
      </c>
      <c r="K22" s="89" t="b">
        <v>0</v>
      </c>
      <c r="L22" s="89" t="b">
        <v>0</v>
      </c>
    </row>
    <row r="23" spans="1:12" ht="15">
      <c r="A23" s="85" t="s">
        <v>2491</v>
      </c>
      <c r="B23" s="89" t="s">
        <v>591</v>
      </c>
      <c r="C23" s="89">
        <v>91</v>
      </c>
      <c r="D23" s="111">
        <v>0.01008951545475313</v>
      </c>
      <c r="E23" s="111">
        <v>0.9566431383161846</v>
      </c>
      <c r="F23" s="89" t="s">
        <v>2665</v>
      </c>
      <c r="G23" s="89" t="b">
        <v>0</v>
      </c>
      <c r="H23" s="89" t="b">
        <v>0</v>
      </c>
      <c r="I23" s="89" t="b">
        <v>0</v>
      </c>
      <c r="J23" s="89" t="b">
        <v>0</v>
      </c>
      <c r="K23" s="89" t="b">
        <v>0</v>
      </c>
      <c r="L23" s="89" t="b">
        <v>0</v>
      </c>
    </row>
    <row r="24" spans="1:12" ht="15">
      <c r="A24" s="85" t="s">
        <v>2474</v>
      </c>
      <c r="B24" s="89" t="s">
        <v>2494</v>
      </c>
      <c r="C24" s="89">
        <v>68</v>
      </c>
      <c r="D24" s="111">
        <v>0.009559185422250486</v>
      </c>
      <c r="E24" s="111">
        <v>1.2626252341794184</v>
      </c>
      <c r="F24" s="89" t="s">
        <v>2665</v>
      </c>
      <c r="G24" s="89" t="b">
        <v>0</v>
      </c>
      <c r="H24" s="89" t="b">
        <v>0</v>
      </c>
      <c r="I24" s="89" t="b">
        <v>0</v>
      </c>
      <c r="J24" s="89" t="b">
        <v>0</v>
      </c>
      <c r="K24" s="89" t="b">
        <v>0</v>
      </c>
      <c r="L24" s="89" t="b">
        <v>0</v>
      </c>
    </row>
    <row r="25" spans="1:12" ht="15">
      <c r="A25" s="85" t="s">
        <v>2494</v>
      </c>
      <c r="B25" s="89" t="s">
        <v>2492</v>
      </c>
      <c r="C25" s="89">
        <v>68</v>
      </c>
      <c r="D25" s="111">
        <v>0.009559185422250486</v>
      </c>
      <c r="E25" s="111">
        <v>1.7622326370467678</v>
      </c>
      <c r="F25" s="89" t="s">
        <v>2665</v>
      </c>
      <c r="G25" s="89" t="b">
        <v>0</v>
      </c>
      <c r="H25" s="89" t="b">
        <v>0</v>
      </c>
      <c r="I25" s="89" t="b">
        <v>0</v>
      </c>
      <c r="J25" s="89" t="b">
        <v>0</v>
      </c>
      <c r="K25" s="89" t="b">
        <v>0</v>
      </c>
      <c r="L25" s="89" t="b">
        <v>0</v>
      </c>
    </row>
    <row r="26" spans="1:12" ht="15">
      <c r="A26" s="85" t="s">
        <v>2492</v>
      </c>
      <c r="B26" s="89" t="s">
        <v>2495</v>
      </c>
      <c r="C26" s="89">
        <v>68</v>
      </c>
      <c r="D26" s="111">
        <v>0.009559185422250486</v>
      </c>
      <c r="E26" s="111">
        <v>1.7622326370467678</v>
      </c>
      <c r="F26" s="89" t="s">
        <v>2665</v>
      </c>
      <c r="G26" s="89" t="b">
        <v>0</v>
      </c>
      <c r="H26" s="89" t="b">
        <v>0</v>
      </c>
      <c r="I26" s="89" t="b">
        <v>0</v>
      </c>
      <c r="J26" s="89" t="b">
        <v>0</v>
      </c>
      <c r="K26" s="89" t="b">
        <v>0</v>
      </c>
      <c r="L26" s="89" t="b">
        <v>0</v>
      </c>
    </row>
    <row r="27" spans="1:12" ht="15">
      <c r="A27" s="85" t="s">
        <v>2495</v>
      </c>
      <c r="B27" s="89" t="s">
        <v>2493</v>
      </c>
      <c r="C27" s="89">
        <v>68</v>
      </c>
      <c r="D27" s="111">
        <v>0.009559185422250486</v>
      </c>
      <c r="E27" s="111">
        <v>1.7622326370467678</v>
      </c>
      <c r="F27" s="89" t="s">
        <v>2665</v>
      </c>
      <c r="G27" s="89" t="b">
        <v>0</v>
      </c>
      <c r="H27" s="89" t="b">
        <v>0</v>
      </c>
      <c r="I27" s="89" t="b">
        <v>0</v>
      </c>
      <c r="J27" s="89" t="b">
        <v>0</v>
      </c>
      <c r="K27" s="89" t="b">
        <v>0</v>
      </c>
      <c r="L27" s="89" t="b">
        <v>0</v>
      </c>
    </row>
    <row r="28" spans="1:12" ht="15">
      <c r="A28" s="85" t="s">
        <v>2474</v>
      </c>
      <c r="B28" s="89" t="s">
        <v>2498</v>
      </c>
      <c r="C28" s="89">
        <v>26</v>
      </c>
      <c r="D28" s="111">
        <v>0.006203321788941879</v>
      </c>
      <c r="E28" s="111">
        <v>1.2626252341794184</v>
      </c>
      <c r="F28" s="89" t="s">
        <v>2665</v>
      </c>
      <c r="G28" s="89" t="b">
        <v>0</v>
      </c>
      <c r="H28" s="89" t="b">
        <v>0</v>
      </c>
      <c r="I28" s="89" t="b">
        <v>0</v>
      </c>
      <c r="J28" s="89" t="b">
        <v>0</v>
      </c>
      <c r="K28" s="89" t="b">
        <v>0</v>
      </c>
      <c r="L28" s="89" t="b">
        <v>0</v>
      </c>
    </row>
    <row r="29" spans="1:12" ht="15">
      <c r="A29" s="85" t="s">
        <v>2497</v>
      </c>
      <c r="B29" s="89" t="s">
        <v>2500</v>
      </c>
      <c r="C29" s="89">
        <v>25</v>
      </c>
      <c r="D29" s="111">
        <v>0.0060646934007450096</v>
      </c>
      <c r="E29" s="111">
        <v>2.1861083798132053</v>
      </c>
      <c r="F29" s="89" t="s">
        <v>2665</v>
      </c>
      <c r="G29" s="89" t="b">
        <v>0</v>
      </c>
      <c r="H29" s="89" t="b">
        <v>0</v>
      </c>
      <c r="I29" s="89" t="b">
        <v>0</v>
      </c>
      <c r="J29" s="89" t="b">
        <v>0</v>
      </c>
      <c r="K29" s="89" t="b">
        <v>0</v>
      </c>
      <c r="L29" s="89" t="b">
        <v>0</v>
      </c>
    </row>
    <row r="30" spans="1:12" ht="15">
      <c r="A30" s="85" t="s">
        <v>2500</v>
      </c>
      <c r="B30" s="89" t="s">
        <v>591</v>
      </c>
      <c r="C30" s="89">
        <v>25</v>
      </c>
      <c r="D30" s="111">
        <v>0.0060646934007450096</v>
      </c>
      <c r="E30" s="111">
        <v>0.9566431383161846</v>
      </c>
      <c r="F30" s="89" t="s">
        <v>2665</v>
      </c>
      <c r="G30" s="89" t="b">
        <v>0</v>
      </c>
      <c r="H30" s="89" t="b">
        <v>0</v>
      </c>
      <c r="I30" s="89" t="b">
        <v>0</v>
      </c>
      <c r="J30" s="89" t="b">
        <v>0</v>
      </c>
      <c r="K30" s="89" t="b">
        <v>0</v>
      </c>
      <c r="L30" s="89" t="b">
        <v>0</v>
      </c>
    </row>
    <row r="31" spans="1:12" ht="15">
      <c r="A31" s="85" t="s">
        <v>2498</v>
      </c>
      <c r="B31" s="89" t="s">
        <v>2477</v>
      </c>
      <c r="C31" s="89">
        <v>25</v>
      </c>
      <c r="D31" s="111">
        <v>0.0060646934007450096</v>
      </c>
      <c r="E31" s="111">
        <v>1.5195903992583244</v>
      </c>
      <c r="F31" s="89" t="s">
        <v>2665</v>
      </c>
      <c r="G31" s="89" t="b">
        <v>0</v>
      </c>
      <c r="H31" s="89" t="b">
        <v>0</v>
      </c>
      <c r="I31" s="89" t="b">
        <v>0</v>
      </c>
      <c r="J31" s="89" t="b">
        <v>0</v>
      </c>
      <c r="K31" s="89" t="b">
        <v>0</v>
      </c>
      <c r="L31" s="89" t="b">
        <v>0</v>
      </c>
    </row>
    <row r="32" spans="1:12" ht="15">
      <c r="A32" s="85" t="s">
        <v>2477</v>
      </c>
      <c r="B32" s="89" t="s">
        <v>2501</v>
      </c>
      <c r="C32" s="89">
        <v>25</v>
      </c>
      <c r="D32" s="111">
        <v>0.0060646934007450096</v>
      </c>
      <c r="E32" s="111">
        <v>1.5366237385571049</v>
      </c>
      <c r="F32" s="89" t="s">
        <v>2665</v>
      </c>
      <c r="G32" s="89" t="b">
        <v>0</v>
      </c>
      <c r="H32" s="89" t="b">
        <v>0</v>
      </c>
      <c r="I32" s="89" t="b">
        <v>0</v>
      </c>
      <c r="J32" s="89" t="b">
        <v>0</v>
      </c>
      <c r="K32" s="89" t="b">
        <v>0</v>
      </c>
      <c r="L32" s="89" t="b">
        <v>0</v>
      </c>
    </row>
    <row r="33" spans="1:12" ht="15">
      <c r="A33" s="85" t="s">
        <v>2501</v>
      </c>
      <c r="B33" s="89" t="s">
        <v>2478</v>
      </c>
      <c r="C33" s="89">
        <v>25</v>
      </c>
      <c r="D33" s="111">
        <v>0.0060646934007450096</v>
      </c>
      <c r="E33" s="111">
        <v>1.5366237385571049</v>
      </c>
      <c r="F33" s="89" t="s">
        <v>2665</v>
      </c>
      <c r="G33" s="89" t="b">
        <v>0</v>
      </c>
      <c r="H33" s="89" t="b">
        <v>0</v>
      </c>
      <c r="I33" s="89" t="b">
        <v>0</v>
      </c>
      <c r="J33" s="89" t="b">
        <v>0</v>
      </c>
      <c r="K33" s="89" t="b">
        <v>0</v>
      </c>
      <c r="L33" s="89" t="b">
        <v>0</v>
      </c>
    </row>
    <row r="34" spans="1:12" ht="15">
      <c r="A34" s="85" t="s">
        <v>2476</v>
      </c>
      <c r="B34" s="89" t="s">
        <v>2502</v>
      </c>
      <c r="C34" s="89">
        <v>25</v>
      </c>
      <c r="D34" s="111">
        <v>0.0060646934007450096</v>
      </c>
      <c r="E34" s="111">
        <v>1.514721897109275</v>
      </c>
      <c r="F34" s="89" t="s">
        <v>2665</v>
      </c>
      <c r="G34" s="89" t="b">
        <v>0</v>
      </c>
      <c r="H34" s="89" t="b">
        <v>0</v>
      </c>
      <c r="I34" s="89" t="b">
        <v>0</v>
      </c>
      <c r="J34" s="89" t="b">
        <v>0</v>
      </c>
      <c r="K34" s="89" t="b">
        <v>0</v>
      </c>
      <c r="L34" s="89" t="b">
        <v>0</v>
      </c>
    </row>
    <row r="35" spans="1:12" ht="15">
      <c r="A35" s="85" t="s">
        <v>2502</v>
      </c>
      <c r="B35" s="89" t="s">
        <v>2503</v>
      </c>
      <c r="C35" s="89">
        <v>25</v>
      </c>
      <c r="D35" s="111">
        <v>0.0060646934007450096</v>
      </c>
      <c r="E35" s="111">
        <v>2.2031417191119855</v>
      </c>
      <c r="F35" s="89" t="s">
        <v>2665</v>
      </c>
      <c r="G35" s="89" t="b">
        <v>0</v>
      </c>
      <c r="H35" s="89" t="b">
        <v>0</v>
      </c>
      <c r="I35" s="89" t="b">
        <v>0</v>
      </c>
      <c r="J35" s="89" t="b">
        <v>0</v>
      </c>
      <c r="K35" s="89" t="b">
        <v>0</v>
      </c>
      <c r="L35" s="89" t="b">
        <v>0</v>
      </c>
    </row>
    <row r="36" spans="1:12" ht="15">
      <c r="A36" s="85" t="s">
        <v>2503</v>
      </c>
      <c r="B36" s="89" t="s">
        <v>2504</v>
      </c>
      <c r="C36" s="89">
        <v>25</v>
      </c>
      <c r="D36" s="111">
        <v>0.0060646934007450096</v>
      </c>
      <c r="E36" s="111">
        <v>2.2031417191119855</v>
      </c>
      <c r="F36" s="89" t="s">
        <v>2665</v>
      </c>
      <c r="G36" s="89" t="b">
        <v>0</v>
      </c>
      <c r="H36" s="89" t="b">
        <v>0</v>
      </c>
      <c r="I36" s="89" t="b">
        <v>0</v>
      </c>
      <c r="J36" s="89" t="b">
        <v>0</v>
      </c>
      <c r="K36" s="89" t="b">
        <v>0</v>
      </c>
      <c r="L36" s="89" t="b">
        <v>0</v>
      </c>
    </row>
    <row r="37" spans="1:12" ht="15">
      <c r="A37" s="85" t="s">
        <v>2504</v>
      </c>
      <c r="B37" s="89" t="s">
        <v>2505</v>
      </c>
      <c r="C37" s="89">
        <v>25</v>
      </c>
      <c r="D37" s="111">
        <v>0.0060646934007450096</v>
      </c>
      <c r="E37" s="111">
        <v>2.2031417191119855</v>
      </c>
      <c r="F37" s="89" t="s">
        <v>2665</v>
      </c>
      <c r="G37" s="89" t="b">
        <v>0</v>
      </c>
      <c r="H37" s="89" t="b">
        <v>0</v>
      </c>
      <c r="I37" s="89" t="b">
        <v>0</v>
      </c>
      <c r="J37" s="89" t="b">
        <v>0</v>
      </c>
      <c r="K37" s="89" t="b">
        <v>0</v>
      </c>
      <c r="L37" s="89" t="b">
        <v>0</v>
      </c>
    </row>
    <row r="38" spans="1:12" ht="15">
      <c r="A38" s="85" t="s">
        <v>2505</v>
      </c>
      <c r="B38" s="89" t="s">
        <v>2499</v>
      </c>
      <c r="C38" s="89">
        <v>25</v>
      </c>
      <c r="D38" s="111">
        <v>0.0060646934007450096</v>
      </c>
      <c r="E38" s="111">
        <v>2.1861083798132053</v>
      </c>
      <c r="F38" s="89" t="s">
        <v>2665</v>
      </c>
      <c r="G38" s="89" t="b">
        <v>0</v>
      </c>
      <c r="H38" s="89" t="b">
        <v>0</v>
      </c>
      <c r="I38" s="89" t="b">
        <v>0</v>
      </c>
      <c r="J38" s="89" t="b">
        <v>0</v>
      </c>
      <c r="K38" s="89" t="b">
        <v>0</v>
      </c>
      <c r="L38" s="89" t="b">
        <v>0</v>
      </c>
    </row>
    <row r="39" spans="1:12" ht="15">
      <c r="A39" s="85" t="s">
        <v>2499</v>
      </c>
      <c r="B39" s="89" t="s">
        <v>2506</v>
      </c>
      <c r="C39" s="89">
        <v>25</v>
      </c>
      <c r="D39" s="111">
        <v>0.0060646934007450096</v>
      </c>
      <c r="E39" s="111">
        <v>2.2031417191119855</v>
      </c>
      <c r="F39" s="89" t="s">
        <v>2665</v>
      </c>
      <c r="G39" s="89" t="b">
        <v>0</v>
      </c>
      <c r="H39" s="89" t="b">
        <v>0</v>
      </c>
      <c r="I39" s="89" t="b">
        <v>0</v>
      </c>
      <c r="J39" s="89" t="b">
        <v>0</v>
      </c>
      <c r="K39" s="89" t="b">
        <v>0</v>
      </c>
      <c r="L39" s="89" t="b">
        <v>0</v>
      </c>
    </row>
    <row r="40" spans="1:12" ht="15">
      <c r="A40" s="85" t="s">
        <v>2506</v>
      </c>
      <c r="B40" s="89" t="s">
        <v>2507</v>
      </c>
      <c r="C40" s="89">
        <v>25</v>
      </c>
      <c r="D40" s="111">
        <v>0.0060646934007450096</v>
      </c>
      <c r="E40" s="111">
        <v>2.2031417191119855</v>
      </c>
      <c r="F40" s="89" t="s">
        <v>2665</v>
      </c>
      <c r="G40" s="89" t="b">
        <v>0</v>
      </c>
      <c r="H40" s="89" t="b">
        <v>0</v>
      </c>
      <c r="I40" s="89" t="b">
        <v>0</v>
      </c>
      <c r="J40" s="89" t="b">
        <v>0</v>
      </c>
      <c r="K40" s="89" t="b">
        <v>0</v>
      </c>
      <c r="L40" s="89" t="b">
        <v>0</v>
      </c>
    </row>
    <row r="41" spans="1:12" ht="15">
      <c r="A41" s="85" t="s">
        <v>2507</v>
      </c>
      <c r="B41" s="89" t="s">
        <v>2508</v>
      </c>
      <c r="C41" s="89">
        <v>25</v>
      </c>
      <c r="D41" s="111">
        <v>0.0060646934007450096</v>
      </c>
      <c r="E41" s="111">
        <v>2.2031417191119855</v>
      </c>
      <c r="F41" s="89" t="s">
        <v>2665</v>
      </c>
      <c r="G41" s="89" t="b">
        <v>0</v>
      </c>
      <c r="H41" s="89" t="b">
        <v>0</v>
      </c>
      <c r="I41" s="89" t="b">
        <v>0</v>
      </c>
      <c r="J41" s="89" t="b">
        <v>0</v>
      </c>
      <c r="K41" s="89" t="b">
        <v>0</v>
      </c>
      <c r="L41" s="89" t="b">
        <v>0</v>
      </c>
    </row>
    <row r="42" spans="1:12" ht="15">
      <c r="A42" s="85" t="s">
        <v>2508</v>
      </c>
      <c r="B42" s="89" t="s">
        <v>2509</v>
      </c>
      <c r="C42" s="89">
        <v>25</v>
      </c>
      <c r="D42" s="111">
        <v>0.0060646934007450096</v>
      </c>
      <c r="E42" s="111">
        <v>2.2031417191119855</v>
      </c>
      <c r="F42" s="89" t="s">
        <v>2665</v>
      </c>
      <c r="G42" s="89" t="b">
        <v>0</v>
      </c>
      <c r="H42" s="89" t="b">
        <v>0</v>
      </c>
      <c r="I42" s="89" t="b">
        <v>0</v>
      </c>
      <c r="J42" s="89" t="b">
        <v>0</v>
      </c>
      <c r="K42" s="89" t="b">
        <v>0</v>
      </c>
      <c r="L42" s="89" t="b">
        <v>0</v>
      </c>
    </row>
    <row r="43" spans="1:12" ht="15">
      <c r="A43" s="85" t="s">
        <v>2509</v>
      </c>
      <c r="B43" s="89" t="s">
        <v>2510</v>
      </c>
      <c r="C43" s="89">
        <v>25</v>
      </c>
      <c r="D43" s="111">
        <v>0.0060646934007450096</v>
      </c>
      <c r="E43" s="111">
        <v>2.2031417191119855</v>
      </c>
      <c r="F43" s="89" t="s">
        <v>2665</v>
      </c>
      <c r="G43" s="89" t="b">
        <v>0</v>
      </c>
      <c r="H43" s="89" t="b">
        <v>0</v>
      </c>
      <c r="I43" s="89" t="b">
        <v>0</v>
      </c>
      <c r="J43" s="89" t="b">
        <v>0</v>
      </c>
      <c r="K43" s="89" t="b">
        <v>0</v>
      </c>
      <c r="L43" s="89" t="b">
        <v>0</v>
      </c>
    </row>
    <row r="44" spans="1:12" ht="15">
      <c r="A44" s="85" t="s">
        <v>2510</v>
      </c>
      <c r="B44" s="89" t="s">
        <v>2511</v>
      </c>
      <c r="C44" s="89">
        <v>25</v>
      </c>
      <c r="D44" s="111">
        <v>0.0060646934007450096</v>
      </c>
      <c r="E44" s="111">
        <v>2.2031417191119855</v>
      </c>
      <c r="F44" s="89" t="s">
        <v>2665</v>
      </c>
      <c r="G44" s="89" t="b">
        <v>0</v>
      </c>
      <c r="H44" s="89" t="b">
        <v>0</v>
      </c>
      <c r="I44" s="89" t="b">
        <v>0</v>
      </c>
      <c r="J44" s="89" t="b">
        <v>0</v>
      </c>
      <c r="K44" s="89" t="b">
        <v>0</v>
      </c>
      <c r="L44" s="89" t="b">
        <v>0</v>
      </c>
    </row>
    <row r="45" spans="1:12" ht="15">
      <c r="A45" s="85" t="s">
        <v>2511</v>
      </c>
      <c r="B45" s="89" t="s">
        <v>2512</v>
      </c>
      <c r="C45" s="89">
        <v>25</v>
      </c>
      <c r="D45" s="111">
        <v>0.0060646934007450096</v>
      </c>
      <c r="E45" s="111">
        <v>2.2031417191119855</v>
      </c>
      <c r="F45" s="89" t="s">
        <v>2665</v>
      </c>
      <c r="G45" s="89" t="b">
        <v>0</v>
      </c>
      <c r="H45" s="89" t="b">
        <v>0</v>
      </c>
      <c r="I45" s="89" t="b">
        <v>0</v>
      </c>
      <c r="J45" s="89" t="b">
        <v>0</v>
      </c>
      <c r="K45" s="89" t="b">
        <v>0</v>
      </c>
      <c r="L45" s="89" t="b">
        <v>0</v>
      </c>
    </row>
    <row r="46" spans="1:12" ht="15">
      <c r="A46" s="85" t="s">
        <v>2512</v>
      </c>
      <c r="B46" s="89" t="s">
        <v>2513</v>
      </c>
      <c r="C46" s="89">
        <v>25</v>
      </c>
      <c r="D46" s="111">
        <v>0.0060646934007450096</v>
      </c>
      <c r="E46" s="111">
        <v>2.2031417191119855</v>
      </c>
      <c r="F46" s="89" t="s">
        <v>2665</v>
      </c>
      <c r="G46" s="89" t="b">
        <v>0</v>
      </c>
      <c r="H46" s="89" t="b">
        <v>0</v>
      </c>
      <c r="I46" s="89" t="b">
        <v>0</v>
      </c>
      <c r="J46" s="89" t="b">
        <v>0</v>
      </c>
      <c r="K46" s="89" t="b">
        <v>0</v>
      </c>
      <c r="L46" s="89" t="b">
        <v>0</v>
      </c>
    </row>
    <row r="47" spans="1:12" ht="15">
      <c r="A47" s="85" t="s">
        <v>2513</v>
      </c>
      <c r="B47" s="89" t="s">
        <v>2514</v>
      </c>
      <c r="C47" s="89">
        <v>25</v>
      </c>
      <c r="D47" s="111">
        <v>0.0060646934007450096</v>
      </c>
      <c r="E47" s="111">
        <v>2.2031417191119855</v>
      </c>
      <c r="F47" s="89" t="s">
        <v>2665</v>
      </c>
      <c r="G47" s="89" t="b">
        <v>0</v>
      </c>
      <c r="H47" s="89" t="b">
        <v>0</v>
      </c>
      <c r="I47" s="89" t="b">
        <v>0</v>
      </c>
      <c r="J47" s="89" t="b">
        <v>0</v>
      </c>
      <c r="K47" s="89" t="b">
        <v>0</v>
      </c>
      <c r="L47" s="89" t="b">
        <v>0</v>
      </c>
    </row>
    <row r="48" spans="1:12" ht="15">
      <c r="A48" s="85" t="s">
        <v>2514</v>
      </c>
      <c r="B48" s="89" t="s">
        <v>2515</v>
      </c>
      <c r="C48" s="89">
        <v>25</v>
      </c>
      <c r="D48" s="111">
        <v>0.0060646934007450096</v>
      </c>
      <c r="E48" s="111">
        <v>2.2031417191119855</v>
      </c>
      <c r="F48" s="89" t="s">
        <v>2665</v>
      </c>
      <c r="G48" s="89" t="b">
        <v>0</v>
      </c>
      <c r="H48" s="89" t="b">
        <v>0</v>
      </c>
      <c r="I48" s="89" t="b">
        <v>0</v>
      </c>
      <c r="J48" s="89" t="b">
        <v>0</v>
      </c>
      <c r="K48" s="89" t="b">
        <v>0</v>
      </c>
      <c r="L48" s="89" t="b">
        <v>0</v>
      </c>
    </row>
    <row r="49" spans="1:12" ht="15">
      <c r="A49" s="85" t="s">
        <v>2515</v>
      </c>
      <c r="B49" s="89" t="s">
        <v>2516</v>
      </c>
      <c r="C49" s="89">
        <v>25</v>
      </c>
      <c r="D49" s="111">
        <v>0.0060646934007450096</v>
      </c>
      <c r="E49" s="111">
        <v>2.2031417191119855</v>
      </c>
      <c r="F49" s="89" t="s">
        <v>2665</v>
      </c>
      <c r="G49" s="89" t="b">
        <v>0</v>
      </c>
      <c r="H49" s="89" t="b">
        <v>0</v>
      </c>
      <c r="I49" s="89" t="b">
        <v>0</v>
      </c>
      <c r="J49" s="89" t="b">
        <v>0</v>
      </c>
      <c r="K49" s="89" t="b">
        <v>0</v>
      </c>
      <c r="L49" s="89" t="b">
        <v>0</v>
      </c>
    </row>
    <row r="50" spans="1:12" ht="15">
      <c r="A50" s="85" t="s">
        <v>2516</v>
      </c>
      <c r="B50" s="89" t="s">
        <v>2517</v>
      </c>
      <c r="C50" s="89">
        <v>25</v>
      </c>
      <c r="D50" s="111">
        <v>0.0060646934007450096</v>
      </c>
      <c r="E50" s="111">
        <v>2.2031417191119855</v>
      </c>
      <c r="F50" s="89" t="s">
        <v>2665</v>
      </c>
      <c r="G50" s="89" t="b">
        <v>0</v>
      </c>
      <c r="H50" s="89" t="b">
        <v>0</v>
      </c>
      <c r="I50" s="89" t="b">
        <v>0</v>
      </c>
      <c r="J50" s="89" t="b">
        <v>0</v>
      </c>
      <c r="K50" s="89" t="b">
        <v>0</v>
      </c>
      <c r="L50" s="89" t="b">
        <v>0</v>
      </c>
    </row>
    <row r="51" spans="1:12" ht="15">
      <c r="A51" s="85" t="s">
        <v>2517</v>
      </c>
      <c r="B51" s="89" t="s">
        <v>2518</v>
      </c>
      <c r="C51" s="89">
        <v>25</v>
      </c>
      <c r="D51" s="111">
        <v>0.0060646934007450096</v>
      </c>
      <c r="E51" s="111">
        <v>2.2031417191119855</v>
      </c>
      <c r="F51" s="89" t="s">
        <v>2665</v>
      </c>
      <c r="G51" s="89" t="b">
        <v>0</v>
      </c>
      <c r="H51" s="89" t="b">
        <v>0</v>
      </c>
      <c r="I51" s="89" t="b">
        <v>0</v>
      </c>
      <c r="J51" s="89" t="b">
        <v>0</v>
      </c>
      <c r="K51" s="89" t="b">
        <v>0</v>
      </c>
      <c r="L51" s="89" t="b">
        <v>0</v>
      </c>
    </row>
    <row r="52" spans="1:12" ht="15">
      <c r="A52" s="85" t="s">
        <v>2518</v>
      </c>
      <c r="B52" s="89" t="s">
        <v>2496</v>
      </c>
      <c r="C52" s="89">
        <v>25</v>
      </c>
      <c r="D52" s="111">
        <v>0.0060646934007450096</v>
      </c>
      <c r="E52" s="111">
        <v>2.082567787906136</v>
      </c>
      <c r="F52" s="89" t="s">
        <v>2665</v>
      </c>
      <c r="G52" s="89" t="b">
        <v>0</v>
      </c>
      <c r="H52" s="89" t="b">
        <v>0</v>
      </c>
      <c r="I52" s="89" t="b">
        <v>0</v>
      </c>
      <c r="J52" s="89" t="b">
        <v>0</v>
      </c>
      <c r="K52" s="89" t="b">
        <v>0</v>
      </c>
      <c r="L52" s="89" t="b">
        <v>0</v>
      </c>
    </row>
    <row r="53" spans="1:12" ht="15">
      <c r="A53" s="85" t="s">
        <v>2522</v>
      </c>
      <c r="B53" s="89" t="s">
        <v>591</v>
      </c>
      <c r="C53" s="89">
        <v>7</v>
      </c>
      <c r="D53" s="111">
        <v>0.0026065399223035475</v>
      </c>
      <c r="E53" s="111">
        <v>0.9566431383161847</v>
      </c>
      <c r="F53" s="89" t="s">
        <v>2665</v>
      </c>
      <c r="G53" s="89" t="b">
        <v>0</v>
      </c>
      <c r="H53" s="89" t="b">
        <v>0</v>
      </c>
      <c r="I53" s="89" t="b">
        <v>0</v>
      </c>
      <c r="J53" s="89" t="b">
        <v>0</v>
      </c>
      <c r="K53" s="89" t="b">
        <v>0</v>
      </c>
      <c r="L53" s="89" t="b">
        <v>0</v>
      </c>
    </row>
    <row r="54" spans="1:12" ht="15">
      <c r="A54" s="85" t="s">
        <v>2521</v>
      </c>
      <c r="B54" s="89" t="s">
        <v>2523</v>
      </c>
      <c r="C54" s="89">
        <v>7</v>
      </c>
      <c r="D54" s="111">
        <v>0.0026065399223035475</v>
      </c>
      <c r="E54" s="111">
        <v>2.6979917407920797</v>
      </c>
      <c r="F54" s="89" t="s">
        <v>2665</v>
      </c>
      <c r="G54" s="89" t="b">
        <v>0</v>
      </c>
      <c r="H54" s="89" t="b">
        <v>0</v>
      </c>
      <c r="I54" s="89" t="b">
        <v>0</v>
      </c>
      <c r="J54" s="89" t="b">
        <v>0</v>
      </c>
      <c r="K54" s="89" t="b">
        <v>0</v>
      </c>
      <c r="L54" s="89" t="b">
        <v>0</v>
      </c>
    </row>
    <row r="55" spans="1:12" ht="15">
      <c r="A55" s="85" t="s">
        <v>2526</v>
      </c>
      <c r="B55" s="89" t="s">
        <v>2522</v>
      </c>
      <c r="C55" s="89">
        <v>6</v>
      </c>
      <c r="D55" s="111">
        <v>0.0023284683292610475</v>
      </c>
      <c r="E55" s="111">
        <v>2.7559836877697665</v>
      </c>
      <c r="F55" s="89" t="s">
        <v>2665</v>
      </c>
      <c r="G55" s="89" t="b">
        <v>0</v>
      </c>
      <c r="H55" s="89" t="b">
        <v>0</v>
      </c>
      <c r="I55" s="89" t="b">
        <v>0</v>
      </c>
      <c r="J55" s="89" t="b">
        <v>0</v>
      </c>
      <c r="K55" s="89" t="b">
        <v>0</v>
      </c>
      <c r="L55" s="89" t="b">
        <v>0</v>
      </c>
    </row>
    <row r="56" spans="1:12" ht="15">
      <c r="A56" s="85" t="s">
        <v>2474</v>
      </c>
      <c r="B56" s="89" t="s">
        <v>2520</v>
      </c>
      <c r="C56" s="89">
        <v>6</v>
      </c>
      <c r="D56" s="111">
        <v>0.0023284683292610475</v>
      </c>
      <c r="E56" s="111">
        <v>1.086533975123737</v>
      </c>
      <c r="F56" s="89" t="s">
        <v>2665</v>
      </c>
      <c r="G56" s="89" t="b">
        <v>0</v>
      </c>
      <c r="H56" s="89" t="b">
        <v>0</v>
      </c>
      <c r="I56" s="89" t="b">
        <v>0</v>
      </c>
      <c r="J56" s="89" t="b">
        <v>0</v>
      </c>
      <c r="K56" s="89" t="b">
        <v>0</v>
      </c>
      <c r="L56" s="89" t="b">
        <v>0</v>
      </c>
    </row>
    <row r="57" spans="1:12" ht="15">
      <c r="A57" s="85" t="s">
        <v>2520</v>
      </c>
      <c r="B57" s="89" t="s">
        <v>2527</v>
      </c>
      <c r="C57" s="89">
        <v>6</v>
      </c>
      <c r="D57" s="111">
        <v>0.0023284683292610475</v>
      </c>
      <c r="E57" s="111">
        <v>2.6468392183446983</v>
      </c>
      <c r="F57" s="89" t="s">
        <v>2665</v>
      </c>
      <c r="G57" s="89" t="b">
        <v>0</v>
      </c>
      <c r="H57" s="89" t="b">
        <v>0</v>
      </c>
      <c r="I57" s="89" t="b">
        <v>0</v>
      </c>
      <c r="J57" s="89" t="b">
        <v>0</v>
      </c>
      <c r="K57" s="89" t="b">
        <v>0</v>
      </c>
      <c r="L57" s="89" t="b">
        <v>0</v>
      </c>
    </row>
    <row r="58" spans="1:12" ht="15">
      <c r="A58" s="85" t="s">
        <v>2527</v>
      </c>
      <c r="B58" s="89" t="s">
        <v>2476</v>
      </c>
      <c r="C58" s="89">
        <v>6</v>
      </c>
      <c r="D58" s="111">
        <v>0.0023284683292610475</v>
      </c>
      <c r="E58" s="111">
        <v>1.514721897109275</v>
      </c>
      <c r="F58" s="89" t="s">
        <v>2665</v>
      </c>
      <c r="G58" s="89" t="b">
        <v>0</v>
      </c>
      <c r="H58" s="89" t="b">
        <v>0</v>
      </c>
      <c r="I58" s="89" t="b">
        <v>0</v>
      </c>
      <c r="J58" s="89" t="b">
        <v>0</v>
      </c>
      <c r="K58" s="89" t="b">
        <v>0</v>
      </c>
      <c r="L58" s="89" t="b">
        <v>0</v>
      </c>
    </row>
    <row r="59" spans="1:12" ht="15">
      <c r="A59" s="85" t="s">
        <v>2523</v>
      </c>
      <c r="B59" s="89" t="s">
        <v>2528</v>
      </c>
      <c r="C59" s="89">
        <v>6</v>
      </c>
      <c r="D59" s="111">
        <v>0.0023284683292610475</v>
      </c>
      <c r="E59" s="111">
        <v>2.7559836877697665</v>
      </c>
      <c r="F59" s="89" t="s">
        <v>2665</v>
      </c>
      <c r="G59" s="89" t="b">
        <v>0</v>
      </c>
      <c r="H59" s="89" t="b">
        <v>0</v>
      </c>
      <c r="I59" s="89" t="b">
        <v>0</v>
      </c>
      <c r="J59" s="89" t="b">
        <v>0</v>
      </c>
      <c r="K59" s="89" t="b">
        <v>0</v>
      </c>
      <c r="L59" s="89" t="b">
        <v>0</v>
      </c>
    </row>
    <row r="60" spans="1:12" ht="15">
      <c r="A60" s="85" t="s">
        <v>2528</v>
      </c>
      <c r="B60" s="89" t="s">
        <v>2529</v>
      </c>
      <c r="C60" s="89">
        <v>6</v>
      </c>
      <c r="D60" s="111">
        <v>0.0023284683292610475</v>
      </c>
      <c r="E60" s="111">
        <v>2.8229304774003796</v>
      </c>
      <c r="F60" s="89" t="s">
        <v>2665</v>
      </c>
      <c r="G60" s="89" t="b">
        <v>0</v>
      </c>
      <c r="H60" s="89" t="b">
        <v>0</v>
      </c>
      <c r="I60" s="89" t="b">
        <v>0</v>
      </c>
      <c r="J60" s="89" t="b">
        <v>0</v>
      </c>
      <c r="K60" s="89" t="b">
        <v>0</v>
      </c>
      <c r="L60" s="89" t="b">
        <v>0</v>
      </c>
    </row>
    <row r="61" spans="1:12" ht="15">
      <c r="A61" s="85" t="s">
        <v>2529</v>
      </c>
      <c r="B61" s="89" t="s">
        <v>2530</v>
      </c>
      <c r="C61" s="89">
        <v>6</v>
      </c>
      <c r="D61" s="111">
        <v>0.0023284683292610475</v>
      </c>
      <c r="E61" s="111">
        <v>2.8229304774003796</v>
      </c>
      <c r="F61" s="89" t="s">
        <v>2665</v>
      </c>
      <c r="G61" s="89" t="b">
        <v>0</v>
      </c>
      <c r="H61" s="89" t="b">
        <v>0</v>
      </c>
      <c r="I61" s="89" t="b">
        <v>0</v>
      </c>
      <c r="J61" s="89" t="b">
        <v>0</v>
      </c>
      <c r="K61" s="89" t="b">
        <v>0</v>
      </c>
      <c r="L61" s="89" t="b">
        <v>0</v>
      </c>
    </row>
    <row r="62" spans="1:12" ht="15">
      <c r="A62" s="85" t="s">
        <v>2476</v>
      </c>
      <c r="B62" s="89" t="s">
        <v>2532</v>
      </c>
      <c r="C62" s="89">
        <v>5</v>
      </c>
      <c r="D62" s="111">
        <v>0.002033326009181888</v>
      </c>
      <c r="E62" s="111">
        <v>1.514721897109275</v>
      </c>
      <c r="F62" s="89" t="s">
        <v>2665</v>
      </c>
      <c r="G62" s="89" t="b">
        <v>0</v>
      </c>
      <c r="H62" s="89" t="b">
        <v>0</v>
      </c>
      <c r="I62" s="89" t="b">
        <v>0</v>
      </c>
      <c r="J62" s="89" t="b">
        <v>0</v>
      </c>
      <c r="K62" s="89" t="b">
        <v>0</v>
      </c>
      <c r="L62" s="89" t="b">
        <v>0</v>
      </c>
    </row>
    <row r="63" spans="1:12" ht="15">
      <c r="A63" s="85" t="s">
        <v>2532</v>
      </c>
      <c r="B63" s="89" t="s">
        <v>2521</v>
      </c>
      <c r="C63" s="89">
        <v>5</v>
      </c>
      <c r="D63" s="111">
        <v>0.002033326009181888</v>
      </c>
      <c r="E63" s="111">
        <v>2.6979917407920797</v>
      </c>
      <c r="F63" s="89" t="s">
        <v>2665</v>
      </c>
      <c r="G63" s="89" t="b">
        <v>0</v>
      </c>
      <c r="H63" s="89" t="b">
        <v>0</v>
      </c>
      <c r="I63" s="89" t="b">
        <v>0</v>
      </c>
      <c r="J63" s="89" t="b">
        <v>0</v>
      </c>
      <c r="K63" s="89" t="b">
        <v>0</v>
      </c>
      <c r="L63" s="89" t="b">
        <v>0</v>
      </c>
    </row>
    <row r="64" spans="1:12" ht="15">
      <c r="A64" s="85" t="s">
        <v>2533</v>
      </c>
      <c r="B64" s="89" t="s">
        <v>2534</v>
      </c>
      <c r="C64" s="89">
        <v>4</v>
      </c>
      <c r="D64" s="111">
        <v>0.001717656124723967</v>
      </c>
      <c r="E64" s="111">
        <v>2.999021736456061</v>
      </c>
      <c r="F64" s="89" t="s">
        <v>2665</v>
      </c>
      <c r="G64" s="89" t="b">
        <v>0</v>
      </c>
      <c r="H64" s="89" t="b">
        <v>0</v>
      </c>
      <c r="I64" s="89" t="b">
        <v>0</v>
      </c>
      <c r="J64" s="89" t="b">
        <v>0</v>
      </c>
      <c r="K64" s="89" t="b">
        <v>0</v>
      </c>
      <c r="L64" s="89" t="b">
        <v>0</v>
      </c>
    </row>
    <row r="65" spans="1:12" ht="15">
      <c r="A65" s="85" t="s">
        <v>2534</v>
      </c>
      <c r="B65" s="89" t="s">
        <v>2535</v>
      </c>
      <c r="C65" s="89">
        <v>4</v>
      </c>
      <c r="D65" s="111">
        <v>0.001717656124723967</v>
      </c>
      <c r="E65" s="111">
        <v>2.999021736456061</v>
      </c>
      <c r="F65" s="89" t="s">
        <v>2665</v>
      </c>
      <c r="G65" s="89" t="b">
        <v>0</v>
      </c>
      <c r="H65" s="89" t="b">
        <v>0</v>
      </c>
      <c r="I65" s="89" t="b">
        <v>0</v>
      </c>
      <c r="J65" s="89" t="b">
        <v>0</v>
      </c>
      <c r="K65" s="89" t="b">
        <v>0</v>
      </c>
      <c r="L65" s="89" t="b">
        <v>0</v>
      </c>
    </row>
    <row r="66" spans="1:12" ht="15">
      <c r="A66" s="85" t="s">
        <v>2535</v>
      </c>
      <c r="B66" s="89" t="s">
        <v>2536</v>
      </c>
      <c r="C66" s="89">
        <v>4</v>
      </c>
      <c r="D66" s="111">
        <v>0.001717656124723967</v>
      </c>
      <c r="E66" s="111">
        <v>2.999021736456061</v>
      </c>
      <c r="F66" s="89" t="s">
        <v>2665</v>
      </c>
      <c r="G66" s="89" t="b">
        <v>0</v>
      </c>
      <c r="H66" s="89" t="b">
        <v>0</v>
      </c>
      <c r="I66" s="89" t="b">
        <v>0</v>
      </c>
      <c r="J66" s="89" t="b">
        <v>0</v>
      </c>
      <c r="K66" s="89" t="b">
        <v>0</v>
      </c>
      <c r="L66" s="89" t="b">
        <v>0</v>
      </c>
    </row>
    <row r="67" spans="1:12" ht="15">
      <c r="A67" s="85" t="s">
        <v>2536</v>
      </c>
      <c r="B67" s="89" t="s">
        <v>479</v>
      </c>
      <c r="C67" s="89">
        <v>4</v>
      </c>
      <c r="D67" s="111">
        <v>0.001717656124723967</v>
      </c>
      <c r="E67" s="111">
        <v>2.7559836877697665</v>
      </c>
      <c r="F67" s="89" t="s">
        <v>2665</v>
      </c>
      <c r="G67" s="89" t="b">
        <v>0</v>
      </c>
      <c r="H67" s="89" t="b">
        <v>0</v>
      </c>
      <c r="I67" s="89" t="b">
        <v>0</v>
      </c>
      <c r="J67" s="89" t="b">
        <v>0</v>
      </c>
      <c r="K67" s="89" t="b">
        <v>0</v>
      </c>
      <c r="L67" s="89" t="b">
        <v>0</v>
      </c>
    </row>
    <row r="68" spans="1:12" ht="15">
      <c r="A68" s="85" t="s">
        <v>479</v>
      </c>
      <c r="B68" s="89" t="s">
        <v>2537</v>
      </c>
      <c r="C68" s="89">
        <v>4</v>
      </c>
      <c r="D68" s="111">
        <v>0.001717656124723967</v>
      </c>
      <c r="E68" s="111">
        <v>2.559689042625798</v>
      </c>
      <c r="F68" s="89" t="s">
        <v>2665</v>
      </c>
      <c r="G68" s="89" t="b">
        <v>0</v>
      </c>
      <c r="H68" s="89" t="b">
        <v>0</v>
      </c>
      <c r="I68" s="89" t="b">
        <v>0</v>
      </c>
      <c r="J68" s="89" t="b">
        <v>0</v>
      </c>
      <c r="K68" s="89" t="b">
        <v>0</v>
      </c>
      <c r="L68" s="89" t="b">
        <v>0</v>
      </c>
    </row>
    <row r="69" spans="1:12" ht="15">
      <c r="A69" s="85" t="s">
        <v>2537</v>
      </c>
      <c r="B69" s="89" t="s">
        <v>2531</v>
      </c>
      <c r="C69" s="89">
        <v>4</v>
      </c>
      <c r="D69" s="111">
        <v>0.001717656124723967</v>
      </c>
      <c r="E69" s="111">
        <v>2.9021117234480043</v>
      </c>
      <c r="F69" s="89" t="s">
        <v>2665</v>
      </c>
      <c r="G69" s="89" t="b">
        <v>0</v>
      </c>
      <c r="H69" s="89" t="b">
        <v>0</v>
      </c>
      <c r="I69" s="89" t="b">
        <v>0</v>
      </c>
      <c r="J69" s="89" t="b">
        <v>0</v>
      </c>
      <c r="K69" s="89" t="b">
        <v>0</v>
      </c>
      <c r="L69" s="89" t="b">
        <v>0</v>
      </c>
    </row>
    <row r="70" spans="1:12" ht="15">
      <c r="A70" s="85" t="s">
        <v>2531</v>
      </c>
      <c r="B70" s="89" t="s">
        <v>2538</v>
      </c>
      <c r="C70" s="89">
        <v>4</v>
      </c>
      <c r="D70" s="111">
        <v>0.001717656124723967</v>
      </c>
      <c r="E70" s="111">
        <v>2.9021117234480043</v>
      </c>
      <c r="F70" s="89" t="s">
        <v>2665</v>
      </c>
      <c r="G70" s="89" t="b">
        <v>0</v>
      </c>
      <c r="H70" s="89" t="b">
        <v>0</v>
      </c>
      <c r="I70" s="89" t="b">
        <v>0</v>
      </c>
      <c r="J70" s="89" t="b">
        <v>0</v>
      </c>
      <c r="K70" s="89" t="b">
        <v>0</v>
      </c>
      <c r="L70" s="89" t="b">
        <v>0</v>
      </c>
    </row>
    <row r="71" spans="1:12" ht="15">
      <c r="A71" s="85" t="s">
        <v>2538</v>
      </c>
      <c r="B71" s="89" t="s">
        <v>2519</v>
      </c>
      <c r="C71" s="89">
        <v>4</v>
      </c>
      <c r="D71" s="111">
        <v>0.001717656124723967</v>
      </c>
      <c r="E71" s="111">
        <v>2.345809222680717</v>
      </c>
      <c r="F71" s="89" t="s">
        <v>2665</v>
      </c>
      <c r="G71" s="89" t="b">
        <v>0</v>
      </c>
      <c r="H71" s="89" t="b">
        <v>0</v>
      </c>
      <c r="I71" s="89" t="b">
        <v>0</v>
      </c>
      <c r="J71" s="89" t="b">
        <v>0</v>
      </c>
      <c r="K71" s="89" t="b">
        <v>0</v>
      </c>
      <c r="L71" s="89" t="b">
        <v>0</v>
      </c>
    </row>
    <row r="72" spans="1:12" ht="15">
      <c r="A72" s="85" t="s">
        <v>2519</v>
      </c>
      <c r="B72" s="89" t="s">
        <v>2524</v>
      </c>
      <c r="C72" s="89">
        <v>4</v>
      </c>
      <c r="D72" s="111">
        <v>0.001717656124723967</v>
      </c>
      <c r="E72" s="111">
        <v>2.220870486072417</v>
      </c>
      <c r="F72" s="89" t="s">
        <v>2665</v>
      </c>
      <c r="G72" s="89" t="b">
        <v>0</v>
      </c>
      <c r="H72" s="89" t="b">
        <v>0</v>
      </c>
      <c r="I72" s="89" t="b">
        <v>0</v>
      </c>
      <c r="J72" s="89" t="b">
        <v>0</v>
      </c>
      <c r="K72" s="89" t="b">
        <v>0</v>
      </c>
      <c r="L72" s="89" t="b">
        <v>0</v>
      </c>
    </row>
    <row r="73" spans="1:12" ht="15">
      <c r="A73" s="85" t="s">
        <v>2524</v>
      </c>
      <c r="B73" s="89" t="s">
        <v>2539</v>
      </c>
      <c r="C73" s="89">
        <v>4</v>
      </c>
      <c r="D73" s="111">
        <v>0.001717656124723967</v>
      </c>
      <c r="E73" s="111">
        <v>2.9021117234480043</v>
      </c>
      <c r="F73" s="89" t="s">
        <v>2665</v>
      </c>
      <c r="G73" s="89" t="b">
        <v>0</v>
      </c>
      <c r="H73" s="89" t="b">
        <v>0</v>
      </c>
      <c r="I73" s="89" t="b">
        <v>0</v>
      </c>
      <c r="J73" s="89" t="b">
        <v>0</v>
      </c>
      <c r="K73" s="89" t="b">
        <v>0</v>
      </c>
      <c r="L73" s="89" t="b">
        <v>0</v>
      </c>
    </row>
    <row r="74" spans="1:12" ht="15">
      <c r="A74" s="85" t="s">
        <v>2539</v>
      </c>
      <c r="B74" s="89" t="s">
        <v>2540</v>
      </c>
      <c r="C74" s="89">
        <v>4</v>
      </c>
      <c r="D74" s="111">
        <v>0.001717656124723967</v>
      </c>
      <c r="E74" s="111">
        <v>2.999021736456061</v>
      </c>
      <c r="F74" s="89" t="s">
        <v>2665</v>
      </c>
      <c r="G74" s="89" t="b">
        <v>0</v>
      </c>
      <c r="H74" s="89" t="b">
        <v>0</v>
      </c>
      <c r="I74" s="89" t="b">
        <v>0</v>
      </c>
      <c r="J74" s="89" t="b">
        <v>0</v>
      </c>
      <c r="K74" s="89" t="b">
        <v>0</v>
      </c>
      <c r="L74" s="89" t="b">
        <v>0</v>
      </c>
    </row>
    <row r="75" spans="1:12" ht="15">
      <c r="A75" s="85" t="s">
        <v>2540</v>
      </c>
      <c r="B75" s="89" t="s">
        <v>2541</v>
      </c>
      <c r="C75" s="89">
        <v>4</v>
      </c>
      <c r="D75" s="111">
        <v>0.001717656124723967</v>
      </c>
      <c r="E75" s="111">
        <v>2.999021736456061</v>
      </c>
      <c r="F75" s="89" t="s">
        <v>2665</v>
      </c>
      <c r="G75" s="89" t="b">
        <v>0</v>
      </c>
      <c r="H75" s="89" t="b">
        <v>0</v>
      </c>
      <c r="I75" s="89" t="b">
        <v>0</v>
      </c>
      <c r="J75" s="89" t="b">
        <v>0</v>
      </c>
      <c r="K75" s="89" t="b">
        <v>0</v>
      </c>
      <c r="L75" s="89" t="b">
        <v>0</v>
      </c>
    </row>
    <row r="76" spans="1:12" ht="15">
      <c r="A76" s="85" t="s">
        <v>2541</v>
      </c>
      <c r="B76" s="89" t="s">
        <v>2542</v>
      </c>
      <c r="C76" s="89">
        <v>4</v>
      </c>
      <c r="D76" s="111">
        <v>0.001717656124723967</v>
      </c>
      <c r="E76" s="111">
        <v>2.999021736456061</v>
      </c>
      <c r="F76" s="89" t="s">
        <v>2665</v>
      </c>
      <c r="G76" s="89" t="b">
        <v>0</v>
      </c>
      <c r="H76" s="89" t="b">
        <v>0</v>
      </c>
      <c r="I76" s="89" t="b">
        <v>0</v>
      </c>
      <c r="J76" s="89" t="b">
        <v>0</v>
      </c>
      <c r="K76" s="89" t="b">
        <v>0</v>
      </c>
      <c r="L76" s="89" t="b">
        <v>0</v>
      </c>
    </row>
    <row r="77" spans="1:12" ht="15">
      <c r="A77" s="85" t="s">
        <v>2542</v>
      </c>
      <c r="B77" s="89" t="s">
        <v>2543</v>
      </c>
      <c r="C77" s="89">
        <v>4</v>
      </c>
      <c r="D77" s="111">
        <v>0.001717656124723967</v>
      </c>
      <c r="E77" s="111">
        <v>2.999021736456061</v>
      </c>
      <c r="F77" s="89" t="s">
        <v>2665</v>
      </c>
      <c r="G77" s="89" t="b">
        <v>0</v>
      </c>
      <c r="H77" s="89" t="b">
        <v>0</v>
      </c>
      <c r="I77" s="89" t="b">
        <v>0</v>
      </c>
      <c r="J77" s="89" t="b">
        <v>0</v>
      </c>
      <c r="K77" s="89" t="b">
        <v>0</v>
      </c>
      <c r="L77" s="89" t="b">
        <v>0</v>
      </c>
    </row>
    <row r="78" spans="1:12" ht="15">
      <c r="A78" s="85" t="s">
        <v>2543</v>
      </c>
      <c r="B78" s="89" t="s">
        <v>2544</v>
      </c>
      <c r="C78" s="89">
        <v>4</v>
      </c>
      <c r="D78" s="111">
        <v>0.001717656124723967</v>
      </c>
      <c r="E78" s="111">
        <v>2.999021736456061</v>
      </c>
      <c r="F78" s="89" t="s">
        <v>2665</v>
      </c>
      <c r="G78" s="89" t="b">
        <v>0</v>
      </c>
      <c r="H78" s="89" t="b">
        <v>0</v>
      </c>
      <c r="I78" s="89" t="b">
        <v>0</v>
      </c>
      <c r="J78" s="89" t="b">
        <v>0</v>
      </c>
      <c r="K78" s="89" t="b">
        <v>0</v>
      </c>
      <c r="L78" s="89" t="b">
        <v>0</v>
      </c>
    </row>
    <row r="79" spans="1:12" ht="15">
      <c r="A79" s="85" t="s">
        <v>479</v>
      </c>
      <c r="B79" s="89" t="s">
        <v>591</v>
      </c>
      <c r="C79" s="89">
        <v>3</v>
      </c>
      <c r="D79" s="111">
        <v>0.0013762271193234685</v>
      </c>
      <c r="E79" s="111">
        <v>0.39237170787762204</v>
      </c>
      <c r="F79" s="89" t="s">
        <v>2665</v>
      </c>
      <c r="G79" s="89" t="b">
        <v>0</v>
      </c>
      <c r="H79" s="89" t="b">
        <v>0</v>
      </c>
      <c r="I79" s="89" t="b">
        <v>0</v>
      </c>
      <c r="J79" s="89" t="b">
        <v>0</v>
      </c>
      <c r="K79" s="89" t="b">
        <v>0</v>
      </c>
      <c r="L79" s="89" t="b">
        <v>0</v>
      </c>
    </row>
    <row r="80" spans="1:12" ht="15">
      <c r="A80" s="85" t="s">
        <v>2552</v>
      </c>
      <c r="B80" s="89" t="s">
        <v>2553</v>
      </c>
      <c r="C80" s="89">
        <v>3</v>
      </c>
      <c r="D80" s="111">
        <v>0.0013762271193234685</v>
      </c>
      <c r="E80" s="111">
        <v>3.123960473064361</v>
      </c>
      <c r="F80" s="89" t="s">
        <v>2665</v>
      </c>
      <c r="G80" s="89" t="b">
        <v>0</v>
      </c>
      <c r="H80" s="89" t="b">
        <v>0</v>
      </c>
      <c r="I80" s="89" t="b">
        <v>0</v>
      </c>
      <c r="J80" s="89" t="b">
        <v>0</v>
      </c>
      <c r="K80" s="89" t="b">
        <v>0</v>
      </c>
      <c r="L80" s="89" t="b">
        <v>0</v>
      </c>
    </row>
    <row r="81" spans="1:12" ht="15">
      <c r="A81" s="85" t="s">
        <v>2553</v>
      </c>
      <c r="B81" s="89" t="s">
        <v>2554</v>
      </c>
      <c r="C81" s="89">
        <v>3</v>
      </c>
      <c r="D81" s="111">
        <v>0.0013762271193234685</v>
      </c>
      <c r="E81" s="111">
        <v>3.123960473064361</v>
      </c>
      <c r="F81" s="89" t="s">
        <v>2665</v>
      </c>
      <c r="G81" s="89" t="b">
        <v>0</v>
      </c>
      <c r="H81" s="89" t="b">
        <v>0</v>
      </c>
      <c r="I81" s="89" t="b">
        <v>0</v>
      </c>
      <c r="J81" s="89" t="b">
        <v>0</v>
      </c>
      <c r="K81" s="89" t="b">
        <v>0</v>
      </c>
      <c r="L81" s="89" t="b">
        <v>0</v>
      </c>
    </row>
    <row r="82" spans="1:12" ht="15">
      <c r="A82" s="85" t="s">
        <v>2554</v>
      </c>
      <c r="B82" s="89" t="s">
        <v>2555</v>
      </c>
      <c r="C82" s="89">
        <v>3</v>
      </c>
      <c r="D82" s="111">
        <v>0.0013762271193234685</v>
      </c>
      <c r="E82" s="111">
        <v>3.123960473064361</v>
      </c>
      <c r="F82" s="89" t="s">
        <v>2665</v>
      </c>
      <c r="G82" s="89" t="b">
        <v>0</v>
      </c>
      <c r="H82" s="89" t="b">
        <v>0</v>
      </c>
      <c r="I82" s="89" t="b">
        <v>0</v>
      </c>
      <c r="J82" s="89" t="b">
        <v>0</v>
      </c>
      <c r="K82" s="89" t="b">
        <v>0</v>
      </c>
      <c r="L82" s="89" t="b">
        <v>0</v>
      </c>
    </row>
    <row r="83" spans="1:12" ht="15">
      <c r="A83" s="85" t="s">
        <v>2555</v>
      </c>
      <c r="B83" s="89" t="s">
        <v>2556</v>
      </c>
      <c r="C83" s="89">
        <v>3</v>
      </c>
      <c r="D83" s="111">
        <v>0.0013762271193234685</v>
      </c>
      <c r="E83" s="111">
        <v>3.123960473064361</v>
      </c>
      <c r="F83" s="89" t="s">
        <v>2665</v>
      </c>
      <c r="G83" s="89" t="b">
        <v>0</v>
      </c>
      <c r="H83" s="89" t="b">
        <v>0</v>
      </c>
      <c r="I83" s="89" t="b">
        <v>0</v>
      </c>
      <c r="J83" s="89" t="b">
        <v>0</v>
      </c>
      <c r="K83" s="89" t="b">
        <v>0</v>
      </c>
      <c r="L83" s="89" t="b">
        <v>0</v>
      </c>
    </row>
    <row r="84" spans="1:12" ht="15">
      <c r="A84" s="85" t="s">
        <v>2556</v>
      </c>
      <c r="B84" s="89" t="s">
        <v>2557</v>
      </c>
      <c r="C84" s="89">
        <v>3</v>
      </c>
      <c r="D84" s="111">
        <v>0.0013762271193234685</v>
      </c>
      <c r="E84" s="111">
        <v>3.123960473064361</v>
      </c>
      <c r="F84" s="89" t="s">
        <v>2665</v>
      </c>
      <c r="G84" s="89" t="b">
        <v>0</v>
      </c>
      <c r="H84" s="89" t="b">
        <v>0</v>
      </c>
      <c r="I84" s="89" t="b">
        <v>0</v>
      </c>
      <c r="J84" s="89" t="b">
        <v>0</v>
      </c>
      <c r="K84" s="89" t="b">
        <v>0</v>
      </c>
      <c r="L84" s="89" t="b">
        <v>0</v>
      </c>
    </row>
    <row r="85" spans="1:12" ht="15">
      <c r="A85" s="85" t="s">
        <v>2557</v>
      </c>
      <c r="B85" s="89" t="s">
        <v>2558</v>
      </c>
      <c r="C85" s="89">
        <v>3</v>
      </c>
      <c r="D85" s="111">
        <v>0.0013762271193234685</v>
      </c>
      <c r="E85" s="111">
        <v>3.123960473064361</v>
      </c>
      <c r="F85" s="89" t="s">
        <v>2665</v>
      </c>
      <c r="G85" s="89" t="b">
        <v>0</v>
      </c>
      <c r="H85" s="89" t="b">
        <v>0</v>
      </c>
      <c r="I85" s="89" t="b">
        <v>0</v>
      </c>
      <c r="J85" s="89" t="b">
        <v>0</v>
      </c>
      <c r="K85" s="89" t="b">
        <v>0</v>
      </c>
      <c r="L85" s="89" t="b">
        <v>0</v>
      </c>
    </row>
    <row r="86" spans="1:12" ht="15">
      <c r="A86" s="85" t="s">
        <v>2558</v>
      </c>
      <c r="B86" s="89" t="s">
        <v>2519</v>
      </c>
      <c r="C86" s="89">
        <v>3</v>
      </c>
      <c r="D86" s="111">
        <v>0.0013762271193234685</v>
      </c>
      <c r="E86" s="111">
        <v>2.345809222680717</v>
      </c>
      <c r="F86" s="89" t="s">
        <v>2665</v>
      </c>
      <c r="G86" s="89" t="b">
        <v>0</v>
      </c>
      <c r="H86" s="89" t="b">
        <v>0</v>
      </c>
      <c r="I86" s="89" t="b">
        <v>0</v>
      </c>
      <c r="J86" s="89" t="b">
        <v>0</v>
      </c>
      <c r="K86" s="89" t="b">
        <v>0</v>
      </c>
      <c r="L86" s="89" t="b">
        <v>0</v>
      </c>
    </row>
    <row r="87" spans="1:12" ht="15">
      <c r="A87" s="85" t="s">
        <v>2519</v>
      </c>
      <c r="B87" s="89" t="s">
        <v>2559</v>
      </c>
      <c r="C87" s="89">
        <v>3</v>
      </c>
      <c r="D87" s="111">
        <v>0.0013762271193234685</v>
      </c>
      <c r="E87" s="111">
        <v>2.3969617451280985</v>
      </c>
      <c r="F87" s="89" t="s">
        <v>2665</v>
      </c>
      <c r="G87" s="89" t="b">
        <v>0</v>
      </c>
      <c r="H87" s="89" t="b">
        <v>0</v>
      </c>
      <c r="I87" s="89" t="b">
        <v>0</v>
      </c>
      <c r="J87" s="89" t="b">
        <v>0</v>
      </c>
      <c r="K87" s="89" t="b">
        <v>0</v>
      </c>
      <c r="L87" s="89" t="b">
        <v>0</v>
      </c>
    </row>
    <row r="88" spans="1:12" ht="15">
      <c r="A88" s="85" t="s">
        <v>2559</v>
      </c>
      <c r="B88" s="89" t="s">
        <v>2560</v>
      </c>
      <c r="C88" s="89">
        <v>3</v>
      </c>
      <c r="D88" s="111">
        <v>0.0013762271193234685</v>
      </c>
      <c r="E88" s="111">
        <v>3.123960473064361</v>
      </c>
      <c r="F88" s="89" t="s">
        <v>2665</v>
      </c>
      <c r="G88" s="89" t="b">
        <v>0</v>
      </c>
      <c r="H88" s="89" t="b">
        <v>0</v>
      </c>
      <c r="I88" s="89" t="b">
        <v>0</v>
      </c>
      <c r="J88" s="89" t="b">
        <v>0</v>
      </c>
      <c r="K88" s="89" t="b">
        <v>0</v>
      </c>
      <c r="L88" s="89" t="b">
        <v>0</v>
      </c>
    </row>
    <row r="89" spans="1:12" ht="15">
      <c r="A89" s="85" t="s">
        <v>2560</v>
      </c>
      <c r="B89" s="89" t="s">
        <v>2561</v>
      </c>
      <c r="C89" s="89">
        <v>3</v>
      </c>
      <c r="D89" s="111">
        <v>0.0013762271193234685</v>
      </c>
      <c r="E89" s="111">
        <v>3.123960473064361</v>
      </c>
      <c r="F89" s="89" t="s">
        <v>2665</v>
      </c>
      <c r="G89" s="89" t="b">
        <v>0</v>
      </c>
      <c r="H89" s="89" t="b">
        <v>0</v>
      </c>
      <c r="I89" s="89" t="b">
        <v>0</v>
      </c>
      <c r="J89" s="89" t="b">
        <v>0</v>
      </c>
      <c r="K89" s="89" t="b">
        <v>0</v>
      </c>
      <c r="L89" s="89" t="b">
        <v>0</v>
      </c>
    </row>
    <row r="90" spans="1:12" ht="15">
      <c r="A90" s="85" t="s">
        <v>2561</v>
      </c>
      <c r="B90" s="89" t="s">
        <v>2562</v>
      </c>
      <c r="C90" s="89">
        <v>3</v>
      </c>
      <c r="D90" s="111">
        <v>0.0013762271193234685</v>
      </c>
      <c r="E90" s="111">
        <v>3.123960473064361</v>
      </c>
      <c r="F90" s="89" t="s">
        <v>2665</v>
      </c>
      <c r="G90" s="89" t="b">
        <v>0</v>
      </c>
      <c r="H90" s="89" t="b">
        <v>0</v>
      </c>
      <c r="I90" s="89" t="b">
        <v>0</v>
      </c>
      <c r="J90" s="89" t="b">
        <v>0</v>
      </c>
      <c r="K90" s="89" t="b">
        <v>0</v>
      </c>
      <c r="L90" s="89" t="b">
        <v>0</v>
      </c>
    </row>
    <row r="91" spans="1:12" ht="15">
      <c r="A91" s="85" t="s">
        <v>2562</v>
      </c>
      <c r="B91" s="89" t="s">
        <v>2563</v>
      </c>
      <c r="C91" s="89">
        <v>3</v>
      </c>
      <c r="D91" s="111">
        <v>0.0013762271193234685</v>
      </c>
      <c r="E91" s="111">
        <v>3.123960473064361</v>
      </c>
      <c r="F91" s="89" t="s">
        <v>2665</v>
      </c>
      <c r="G91" s="89" t="b">
        <v>0</v>
      </c>
      <c r="H91" s="89" t="b">
        <v>0</v>
      </c>
      <c r="I91" s="89" t="b">
        <v>0</v>
      </c>
      <c r="J91" s="89" t="b">
        <v>0</v>
      </c>
      <c r="K91" s="89" t="b">
        <v>0</v>
      </c>
      <c r="L91" s="89" t="b">
        <v>0</v>
      </c>
    </row>
    <row r="92" spans="1:12" ht="15">
      <c r="A92" s="85" t="s">
        <v>2563</v>
      </c>
      <c r="B92" s="89" t="s">
        <v>2545</v>
      </c>
      <c r="C92" s="89">
        <v>3</v>
      </c>
      <c r="D92" s="111">
        <v>0.0013762271193234685</v>
      </c>
      <c r="E92" s="111">
        <v>2.999021736456061</v>
      </c>
      <c r="F92" s="89" t="s">
        <v>2665</v>
      </c>
      <c r="G92" s="89" t="b">
        <v>0</v>
      </c>
      <c r="H92" s="89" t="b">
        <v>0</v>
      </c>
      <c r="I92" s="89" t="b">
        <v>0</v>
      </c>
      <c r="J92" s="89" t="b">
        <v>0</v>
      </c>
      <c r="K92" s="89" t="b">
        <v>0</v>
      </c>
      <c r="L92" s="89" t="b">
        <v>0</v>
      </c>
    </row>
    <row r="93" spans="1:12" ht="15">
      <c r="A93" s="85" t="s">
        <v>2545</v>
      </c>
      <c r="B93" s="89" t="s">
        <v>490</v>
      </c>
      <c r="C93" s="89">
        <v>3</v>
      </c>
      <c r="D93" s="111">
        <v>0.0013762271193234685</v>
      </c>
      <c r="E93" s="111">
        <v>2.999021736456061</v>
      </c>
      <c r="F93" s="89" t="s">
        <v>2665</v>
      </c>
      <c r="G93" s="89" t="b">
        <v>0</v>
      </c>
      <c r="H93" s="89" t="b">
        <v>0</v>
      </c>
      <c r="I93" s="89" t="b">
        <v>0</v>
      </c>
      <c r="J93" s="89" t="b">
        <v>0</v>
      </c>
      <c r="K93" s="89" t="b">
        <v>0</v>
      </c>
      <c r="L93" s="89" t="b">
        <v>0</v>
      </c>
    </row>
    <row r="94" spans="1:12" ht="15">
      <c r="A94" s="85" t="s">
        <v>483</v>
      </c>
      <c r="B94" s="89" t="s">
        <v>479</v>
      </c>
      <c r="C94" s="89">
        <v>2</v>
      </c>
      <c r="D94" s="111">
        <v>0.0010001566988239465</v>
      </c>
      <c r="E94" s="111">
        <v>2.7559836877697665</v>
      </c>
      <c r="F94" s="89" t="s">
        <v>2665</v>
      </c>
      <c r="G94" s="89" t="b">
        <v>0</v>
      </c>
      <c r="H94" s="89" t="b">
        <v>0</v>
      </c>
      <c r="I94" s="89" t="b">
        <v>0</v>
      </c>
      <c r="J94" s="89" t="b">
        <v>0</v>
      </c>
      <c r="K94" s="89" t="b">
        <v>0</v>
      </c>
      <c r="L94" s="89" t="b">
        <v>0</v>
      </c>
    </row>
    <row r="95" spans="1:12" ht="15">
      <c r="A95" s="85" t="s">
        <v>2519</v>
      </c>
      <c r="B95" s="89" t="s">
        <v>2496</v>
      </c>
      <c r="C95" s="89">
        <v>2</v>
      </c>
      <c r="D95" s="111">
        <v>0.0010001566988239465</v>
      </c>
      <c r="E95" s="111">
        <v>1.1794778009141922</v>
      </c>
      <c r="F95" s="89" t="s">
        <v>2665</v>
      </c>
      <c r="G95" s="89" t="b">
        <v>0</v>
      </c>
      <c r="H95" s="89" t="b">
        <v>0</v>
      </c>
      <c r="I95" s="89" t="b">
        <v>0</v>
      </c>
      <c r="J95" s="89" t="b">
        <v>0</v>
      </c>
      <c r="K95" s="89" t="b">
        <v>0</v>
      </c>
      <c r="L95" s="89" t="b">
        <v>0</v>
      </c>
    </row>
    <row r="96" spans="1:12" ht="15">
      <c r="A96" s="85" t="s">
        <v>591</v>
      </c>
      <c r="B96" s="89" t="s">
        <v>2524</v>
      </c>
      <c r="C96" s="89">
        <v>2</v>
      </c>
      <c r="D96" s="111">
        <v>0.0010001566988239465</v>
      </c>
      <c r="E96" s="111">
        <v>0.4079571294295617</v>
      </c>
      <c r="F96" s="89" t="s">
        <v>2665</v>
      </c>
      <c r="G96" s="89" t="b">
        <v>0</v>
      </c>
      <c r="H96" s="89" t="b">
        <v>0</v>
      </c>
      <c r="I96" s="89" t="b">
        <v>0</v>
      </c>
      <c r="J96" s="89" t="b">
        <v>0</v>
      </c>
      <c r="K96" s="89" t="b">
        <v>0</v>
      </c>
      <c r="L96" s="89" t="b">
        <v>0</v>
      </c>
    </row>
    <row r="97" spans="1:12" ht="15">
      <c r="A97" s="85" t="s">
        <v>2572</v>
      </c>
      <c r="B97" s="89" t="s">
        <v>2573</v>
      </c>
      <c r="C97" s="89">
        <v>2</v>
      </c>
      <c r="D97" s="111">
        <v>0.0010001566988239465</v>
      </c>
      <c r="E97" s="111">
        <v>3.300051732120042</v>
      </c>
      <c r="F97" s="89" t="s">
        <v>2665</v>
      </c>
      <c r="G97" s="89" t="b">
        <v>0</v>
      </c>
      <c r="H97" s="89" t="b">
        <v>0</v>
      </c>
      <c r="I97" s="89" t="b">
        <v>0</v>
      </c>
      <c r="J97" s="89" t="b">
        <v>0</v>
      </c>
      <c r="K97" s="89" t="b">
        <v>0</v>
      </c>
      <c r="L97" s="89" t="b">
        <v>0</v>
      </c>
    </row>
    <row r="98" spans="1:12" ht="15">
      <c r="A98" s="85" t="s">
        <v>2496</v>
      </c>
      <c r="B98" s="89" t="s">
        <v>2583</v>
      </c>
      <c r="C98" s="89">
        <v>2</v>
      </c>
      <c r="D98" s="111">
        <v>0.0010001566988239465</v>
      </c>
      <c r="E98" s="111">
        <v>2.8229304774003796</v>
      </c>
      <c r="F98" s="89" t="s">
        <v>2665</v>
      </c>
      <c r="G98" s="89" t="b">
        <v>0</v>
      </c>
      <c r="H98" s="89" t="b">
        <v>0</v>
      </c>
      <c r="I98" s="89" t="b">
        <v>0</v>
      </c>
      <c r="J98" s="89" t="b">
        <v>0</v>
      </c>
      <c r="K98" s="89" t="b">
        <v>0</v>
      </c>
      <c r="L98" s="89" t="b">
        <v>0</v>
      </c>
    </row>
    <row r="99" spans="1:12" ht="15">
      <c r="A99" s="85" t="s">
        <v>2583</v>
      </c>
      <c r="B99" s="89" t="s">
        <v>2584</v>
      </c>
      <c r="C99" s="89">
        <v>2</v>
      </c>
      <c r="D99" s="111">
        <v>0.0010001566988239465</v>
      </c>
      <c r="E99" s="111">
        <v>3.300051732120042</v>
      </c>
      <c r="F99" s="89" t="s">
        <v>2665</v>
      </c>
      <c r="G99" s="89" t="b">
        <v>0</v>
      </c>
      <c r="H99" s="89" t="b">
        <v>0</v>
      </c>
      <c r="I99" s="89" t="b">
        <v>0</v>
      </c>
      <c r="J99" s="89" t="b">
        <v>0</v>
      </c>
      <c r="K99" s="89" t="b">
        <v>0</v>
      </c>
      <c r="L99" s="89" t="b">
        <v>0</v>
      </c>
    </row>
    <row r="100" spans="1:12" ht="15">
      <c r="A100" s="85" t="s">
        <v>2584</v>
      </c>
      <c r="B100" s="89" t="s">
        <v>2585</v>
      </c>
      <c r="C100" s="89">
        <v>2</v>
      </c>
      <c r="D100" s="111">
        <v>0.0010001566988239465</v>
      </c>
      <c r="E100" s="111">
        <v>3.300051732120042</v>
      </c>
      <c r="F100" s="89" t="s">
        <v>2665</v>
      </c>
      <c r="G100" s="89" t="b">
        <v>0</v>
      </c>
      <c r="H100" s="89" t="b">
        <v>0</v>
      </c>
      <c r="I100" s="89" t="b">
        <v>0</v>
      </c>
      <c r="J100" s="89" t="b">
        <v>0</v>
      </c>
      <c r="K100" s="89" t="b">
        <v>0</v>
      </c>
      <c r="L100" s="89" t="b">
        <v>0</v>
      </c>
    </row>
    <row r="101" spans="1:12" ht="15">
      <c r="A101" s="85" t="s">
        <v>2585</v>
      </c>
      <c r="B101" s="89" t="s">
        <v>2586</v>
      </c>
      <c r="C101" s="89">
        <v>2</v>
      </c>
      <c r="D101" s="111">
        <v>0.0010001566988239465</v>
      </c>
      <c r="E101" s="111">
        <v>3.300051732120042</v>
      </c>
      <c r="F101" s="89" t="s">
        <v>2665</v>
      </c>
      <c r="G101" s="89" t="b">
        <v>0</v>
      </c>
      <c r="H101" s="89" t="b">
        <v>0</v>
      </c>
      <c r="I101" s="89" t="b">
        <v>0</v>
      </c>
      <c r="J101" s="89" t="b">
        <v>0</v>
      </c>
      <c r="K101" s="89" t="b">
        <v>0</v>
      </c>
      <c r="L101" s="89" t="b">
        <v>0</v>
      </c>
    </row>
    <row r="102" spans="1:12" ht="15">
      <c r="A102" s="85" t="s">
        <v>2586</v>
      </c>
      <c r="B102" s="89" t="s">
        <v>2587</v>
      </c>
      <c r="C102" s="89">
        <v>2</v>
      </c>
      <c r="D102" s="111">
        <v>0.0010001566988239465</v>
      </c>
      <c r="E102" s="111">
        <v>3.300051732120042</v>
      </c>
      <c r="F102" s="89" t="s">
        <v>2665</v>
      </c>
      <c r="G102" s="89" t="b">
        <v>0</v>
      </c>
      <c r="H102" s="89" t="b">
        <v>0</v>
      </c>
      <c r="I102" s="89" t="b">
        <v>0</v>
      </c>
      <c r="J102" s="89" t="b">
        <v>0</v>
      </c>
      <c r="K102" s="89" t="b">
        <v>0</v>
      </c>
      <c r="L102" s="89" t="b">
        <v>0</v>
      </c>
    </row>
    <row r="103" spans="1:12" ht="15">
      <c r="A103" s="85" t="s">
        <v>2587</v>
      </c>
      <c r="B103" s="89" t="s">
        <v>2588</v>
      </c>
      <c r="C103" s="89">
        <v>2</v>
      </c>
      <c r="D103" s="111">
        <v>0.0010001566988239465</v>
      </c>
      <c r="E103" s="111">
        <v>3.300051732120042</v>
      </c>
      <c r="F103" s="89" t="s">
        <v>2665</v>
      </c>
      <c r="G103" s="89" t="b">
        <v>0</v>
      </c>
      <c r="H103" s="89" t="b">
        <v>0</v>
      </c>
      <c r="I103" s="89" t="b">
        <v>0</v>
      </c>
      <c r="J103" s="89" t="b">
        <v>0</v>
      </c>
      <c r="K103" s="89" t="b">
        <v>0</v>
      </c>
      <c r="L103" s="89" t="b">
        <v>0</v>
      </c>
    </row>
    <row r="104" spans="1:12" ht="15">
      <c r="A104" s="85" t="s">
        <v>2588</v>
      </c>
      <c r="B104" s="89" t="s">
        <v>2589</v>
      </c>
      <c r="C104" s="89">
        <v>2</v>
      </c>
      <c r="D104" s="111">
        <v>0.0010001566988239465</v>
      </c>
      <c r="E104" s="111">
        <v>3.300051732120042</v>
      </c>
      <c r="F104" s="89" t="s">
        <v>2665</v>
      </c>
      <c r="G104" s="89" t="b">
        <v>0</v>
      </c>
      <c r="H104" s="89" t="b">
        <v>0</v>
      </c>
      <c r="I104" s="89" t="b">
        <v>0</v>
      </c>
      <c r="J104" s="89" t="b">
        <v>0</v>
      </c>
      <c r="K104" s="89" t="b">
        <v>0</v>
      </c>
      <c r="L104" s="89" t="b">
        <v>0</v>
      </c>
    </row>
    <row r="105" spans="1:12" ht="15">
      <c r="A105" s="85" t="s">
        <v>2589</v>
      </c>
      <c r="B105" s="89" t="s">
        <v>2590</v>
      </c>
      <c r="C105" s="89">
        <v>2</v>
      </c>
      <c r="D105" s="111">
        <v>0.0010001566988239465</v>
      </c>
      <c r="E105" s="111">
        <v>3.300051732120042</v>
      </c>
      <c r="F105" s="89" t="s">
        <v>2665</v>
      </c>
      <c r="G105" s="89" t="b">
        <v>0</v>
      </c>
      <c r="H105" s="89" t="b">
        <v>0</v>
      </c>
      <c r="I105" s="89" t="b">
        <v>0</v>
      </c>
      <c r="J105" s="89" t="b">
        <v>0</v>
      </c>
      <c r="K105" s="89" t="b">
        <v>0</v>
      </c>
      <c r="L105" s="89" t="b">
        <v>0</v>
      </c>
    </row>
    <row r="106" spans="1:12" ht="15">
      <c r="A106" s="85" t="s">
        <v>2590</v>
      </c>
      <c r="B106" s="89" t="s">
        <v>2550</v>
      </c>
      <c r="C106" s="89">
        <v>2</v>
      </c>
      <c r="D106" s="111">
        <v>0.0010001566988239465</v>
      </c>
      <c r="E106" s="111">
        <v>3.123960473064361</v>
      </c>
      <c r="F106" s="89" t="s">
        <v>2665</v>
      </c>
      <c r="G106" s="89" t="b">
        <v>0</v>
      </c>
      <c r="H106" s="89" t="b">
        <v>0</v>
      </c>
      <c r="I106" s="89" t="b">
        <v>0</v>
      </c>
      <c r="J106" s="89" t="b">
        <v>0</v>
      </c>
      <c r="K106" s="89" t="b">
        <v>0</v>
      </c>
      <c r="L106" s="89" t="b">
        <v>0</v>
      </c>
    </row>
    <row r="107" spans="1:12" ht="15">
      <c r="A107" s="85" t="s">
        <v>2550</v>
      </c>
      <c r="B107" s="89" t="s">
        <v>2591</v>
      </c>
      <c r="C107" s="89">
        <v>2</v>
      </c>
      <c r="D107" s="111">
        <v>0.0010001566988239465</v>
      </c>
      <c r="E107" s="111">
        <v>3.123960473064361</v>
      </c>
      <c r="F107" s="89" t="s">
        <v>2665</v>
      </c>
      <c r="G107" s="89" t="b">
        <v>0</v>
      </c>
      <c r="H107" s="89" t="b">
        <v>0</v>
      </c>
      <c r="I107" s="89" t="b">
        <v>0</v>
      </c>
      <c r="J107" s="89" t="b">
        <v>0</v>
      </c>
      <c r="K107" s="89" t="b">
        <v>0</v>
      </c>
      <c r="L107" s="89" t="b">
        <v>0</v>
      </c>
    </row>
    <row r="108" spans="1:12" ht="15">
      <c r="A108" s="85" t="s">
        <v>2591</v>
      </c>
      <c r="B108" s="89" t="s">
        <v>2592</v>
      </c>
      <c r="C108" s="89">
        <v>2</v>
      </c>
      <c r="D108" s="111">
        <v>0.0010001566988239465</v>
      </c>
      <c r="E108" s="111">
        <v>3.300051732120042</v>
      </c>
      <c r="F108" s="89" t="s">
        <v>2665</v>
      </c>
      <c r="G108" s="89" t="b">
        <v>0</v>
      </c>
      <c r="H108" s="89" t="b">
        <v>0</v>
      </c>
      <c r="I108" s="89" t="b">
        <v>0</v>
      </c>
      <c r="J108" s="89" t="b">
        <v>0</v>
      </c>
      <c r="K108" s="89" t="b">
        <v>0</v>
      </c>
      <c r="L108" s="89" t="b">
        <v>0</v>
      </c>
    </row>
    <row r="109" spans="1:12" ht="15">
      <c r="A109" s="85" t="s">
        <v>2592</v>
      </c>
      <c r="B109" s="89" t="s">
        <v>2593</v>
      </c>
      <c r="C109" s="89">
        <v>2</v>
      </c>
      <c r="D109" s="111">
        <v>0.0010001566988239465</v>
      </c>
      <c r="E109" s="111">
        <v>3.300051732120042</v>
      </c>
      <c r="F109" s="89" t="s">
        <v>2665</v>
      </c>
      <c r="G109" s="89" t="b">
        <v>0</v>
      </c>
      <c r="H109" s="89" t="b">
        <v>0</v>
      </c>
      <c r="I109" s="89" t="b">
        <v>0</v>
      </c>
      <c r="J109" s="89" t="b">
        <v>0</v>
      </c>
      <c r="K109" s="89" t="b">
        <v>0</v>
      </c>
      <c r="L109" s="89" t="b">
        <v>0</v>
      </c>
    </row>
    <row r="110" spans="1:12" ht="15">
      <c r="A110" s="85" t="s">
        <v>2593</v>
      </c>
      <c r="B110" s="89" t="s">
        <v>2594</v>
      </c>
      <c r="C110" s="89">
        <v>2</v>
      </c>
      <c r="D110" s="111">
        <v>0.0010001566988239465</v>
      </c>
      <c r="E110" s="111">
        <v>3.300051732120042</v>
      </c>
      <c r="F110" s="89" t="s">
        <v>2665</v>
      </c>
      <c r="G110" s="89" t="b">
        <v>0</v>
      </c>
      <c r="H110" s="89" t="b">
        <v>0</v>
      </c>
      <c r="I110" s="89" t="b">
        <v>0</v>
      </c>
      <c r="J110" s="89" t="b">
        <v>0</v>
      </c>
      <c r="K110" s="89" t="b">
        <v>0</v>
      </c>
      <c r="L110" s="89" t="b">
        <v>0</v>
      </c>
    </row>
    <row r="111" spans="1:12" ht="15">
      <c r="A111" s="85" t="s">
        <v>2594</v>
      </c>
      <c r="B111" s="89" t="s">
        <v>2595</v>
      </c>
      <c r="C111" s="89">
        <v>2</v>
      </c>
      <c r="D111" s="111">
        <v>0.0010001566988239465</v>
      </c>
      <c r="E111" s="111">
        <v>3.300051732120042</v>
      </c>
      <c r="F111" s="89" t="s">
        <v>2665</v>
      </c>
      <c r="G111" s="89" t="b">
        <v>0</v>
      </c>
      <c r="H111" s="89" t="b">
        <v>0</v>
      </c>
      <c r="I111" s="89" t="b">
        <v>0</v>
      </c>
      <c r="J111" s="89" t="b">
        <v>0</v>
      </c>
      <c r="K111" s="89" t="b">
        <v>0</v>
      </c>
      <c r="L111" s="89" t="b">
        <v>0</v>
      </c>
    </row>
    <row r="112" spans="1:12" ht="15">
      <c r="A112" s="85" t="s">
        <v>2595</v>
      </c>
      <c r="B112" s="89" t="s">
        <v>2596</v>
      </c>
      <c r="C112" s="89">
        <v>2</v>
      </c>
      <c r="D112" s="111">
        <v>0.0010001566988239465</v>
      </c>
      <c r="E112" s="111">
        <v>3.300051732120042</v>
      </c>
      <c r="F112" s="89" t="s">
        <v>2665</v>
      </c>
      <c r="G112" s="89" t="b">
        <v>0</v>
      </c>
      <c r="H112" s="89" t="b">
        <v>0</v>
      </c>
      <c r="I112" s="89" t="b">
        <v>0</v>
      </c>
      <c r="J112" s="89" t="b">
        <v>0</v>
      </c>
      <c r="K112" s="89" t="b">
        <v>0</v>
      </c>
      <c r="L112" s="89" t="b">
        <v>0</v>
      </c>
    </row>
    <row r="113" spans="1:12" ht="15">
      <c r="A113" s="85" t="s">
        <v>2596</v>
      </c>
      <c r="B113" s="89" t="s">
        <v>2525</v>
      </c>
      <c r="C113" s="89">
        <v>2</v>
      </c>
      <c r="D113" s="111">
        <v>0.0010001566988239465</v>
      </c>
      <c r="E113" s="111">
        <v>2.8229304774003796</v>
      </c>
      <c r="F113" s="89" t="s">
        <v>2665</v>
      </c>
      <c r="G113" s="89" t="b">
        <v>0</v>
      </c>
      <c r="H113" s="89" t="b">
        <v>0</v>
      </c>
      <c r="I113" s="89" t="b">
        <v>0</v>
      </c>
      <c r="J113" s="89" t="b">
        <v>0</v>
      </c>
      <c r="K113" s="89" t="b">
        <v>0</v>
      </c>
      <c r="L113" s="89" t="b">
        <v>0</v>
      </c>
    </row>
    <row r="114" spans="1:12" ht="15">
      <c r="A114" s="85" t="s">
        <v>2525</v>
      </c>
      <c r="B114" s="89" t="s">
        <v>2597</v>
      </c>
      <c r="C114" s="89">
        <v>2</v>
      </c>
      <c r="D114" s="111">
        <v>0.0010001566988239465</v>
      </c>
      <c r="E114" s="111">
        <v>2.8229304774003796</v>
      </c>
      <c r="F114" s="89" t="s">
        <v>2665</v>
      </c>
      <c r="G114" s="89" t="b">
        <v>0</v>
      </c>
      <c r="H114" s="89" t="b">
        <v>0</v>
      </c>
      <c r="I114" s="89" t="b">
        <v>0</v>
      </c>
      <c r="J114" s="89" t="b">
        <v>0</v>
      </c>
      <c r="K114" s="89" t="b">
        <v>0</v>
      </c>
      <c r="L114" s="89" t="b">
        <v>0</v>
      </c>
    </row>
    <row r="115" spans="1:12" ht="15">
      <c r="A115" s="85" t="s">
        <v>2597</v>
      </c>
      <c r="B115" s="89" t="s">
        <v>2525</v>
      </c>
      <c r="C115" s="89">
        <v>2</v>
      </c>
      <c r="D115" s="111">
        <v>0.0010001566988239465</v>
      </c>
      <c r="E115" s="111">
        <v>2.8229304774003796</v>
      </c>
      <c r="F115" s="89" t="s">
        <v>2665</v>
      </c>
      <c r="G115" s="89" t="b">
        <v>0</v>
      </c>
      <c r="H115" s="89" t="b">
        <v>0</v>
      </c>
      <c r="I115" s="89" t="b">
        <v>0</v>
      </c>
      <c r="J115" s="89" t="b">
        <v>0</v>
      </c>
      <c r="K115" s="89" t="b">
        <v>0</v>
      </c>
      <c r="L115" s="89" t="b">
        <v>0</v>
      </c>
    </row>
    <row r="116" spans="1:12" ht="15">
      <c r="A116" s="85" t="s">
        <v>2525</v>
      </c>
      <c r="B116" s="89" t="s">
        <v>2598</v>
      </c>
      <c r="C116" s="89">
        <v>2</v>
      </c>
      <c r="D116" s="111">
        <v>0.0010001566988239465</v>
      </c>
      <c r="E116" s="111">
        <v>2.8229304774003796</v>
      </c>
      <c r="F116" s="89" t="s">
        <v>2665</v>
      </c>
      <c r="G116" s="89" t="b">
        <v>0</v>
      </c>
      <c r="H116" s="89" t="b">
        <v>0</v>
      </c>
      <c r="I116" s="89" t="b">
        <v>0</v>
      </c>
      <c r="J116" s="89" t="b">
        <v>0</v>
      </c>
      <c r="K116" s="89" t="b">
        <v>0</v>
      </c>
      <c r="L116" s="89" t="b">
        <v>0</v>
      </c>
    </row>
    <row r="117" spans="1:12" ht="15">
      <c r="A117" s="85" t="s">
        <v>2598</v>
      </c>
      <c r="B117" s="89" t="s">
        <v>2525</v>
      </c>
      <c r="C117" s="89">
        <v>2</v>
      </c>
      <c r="D117" s="111">
        <v>0.0010001566988239465</v>
      </c>
      <c r="E117" s="111">
        <v>2.8229304774003796</v>
      </c>
      <c r="F117" s="89" t="s">
        <v>2665</v>
      </c>
      <c r="G117" s="89" t="b">
        <v>0</v>
      </c>
      <c r="H117" s="89" t="b">
        <v>0</v>
      </c>
      <c r="I117" s="89" t="b">
        <v>0</v>
      </c>
      <c r="J117" s="89" t="b">
        <v>0</v>
      </c>
      <c r="K117" s="89" t="b">
        <v>0</v>
      </c>
      <c r="L117" s="89" t="b">
        <v>0</v>
      </c>
    </row>
    <row r="118" spans="1:12" ht="15">
      <c r="A118" s="85" t="s">
        <v>2525</v>
      </c>
      <c r="B118" s="89" t="s">
        <v>2599</v>
      </c>
      <c r="C118" s="89">
        <v>2</v>
      </c>
      <c r="D118" s="111">
        <v>0.0010001566988239465</v>
      </c>
      <c r="E118" s="111">
        <v>2.8229304774003796</v>
      </c>
      <c r="F118" s="89" t="s">
        <v>2665</v>
      </c>
      <c r="G118" s="89" t="b">
        <v>0</v>
      </c>
      <c r="H118" s="89" t="b">
        <v>0</v>
      </c>
      <c r="I118" s="89" t="b">
        <v>0</v>
      </c>
      <c r="J118" s="89" t="b">
        <v>0</v>
      </c>
      <c r="K118" s="89" t="b">
        <v>0</v>
      </c>
      <c r="L118" s="89" t="b">
        <v>0</v>
      </c>
    </row>
    <row r="119" spans="1:12" ht="15">
      <c r="A119" s="85" t="s">
        <v>2602</v>
      </c>
      <c r="B119" s="89" t="s">
        <v>2603</v>
      </c>
      <c r="C119" s="89">
        <v>2</v>
      </c>
      <c r="D119" s="111">
        <v>0.0011414853352859095</v>
      </c>
      <c r="E119" s="111">
        <v>3.300051732120042</v>
      </c>
      <c r="F119" s="89" t="s">
        <v>2665</v>
      </c>
      <c r="G119" s="89" t="b">
        <v>0</v>
      </c>
      <c r="H119" s="89" t="b">
        <v>0</v>
      </c>
      <c r="I119" s="89" t="b">
        <v>0</v>
      </c>
      <c r="J119" s="89" t="b">
        <v>0</v>
      </c>
      <c r="K119" s="89" t="b">
        <v>0</v>
      </c>
      <c r="L119" s="89" t="b">
        <v>0</v>
      </c>
    </row>
    <row r="120" spans="1:12" ht="15">
      <c r="A120" s="85" t="s">
        <v>2604</v>
      </c>
      <c r="B120" s="89" t="s">
        <v>2605</v>
      </c>
      <c r="C120" s="89">
        <v>2</v>
      </c>
      <c r="D120" s="111">
        <v>0.0010001566988239465</v>
      </c>
      <c r="E120" s="111">
        <v>3.300051732120042</v>
      </c>
      <c r="F120" s="89" t="s">
        <v>2665</v>
      </c>
      <c r="G120" s="89" t="b">
        <v>0</v>
      </c>
      <c r="H120" s="89" t="b">
        <v>0</v>
      </c>
      <c r="I120" s="89" t="b">
        <v>0</v>
      </c>
      <c r="J120" s="89" t="b">
        <v>0</v>
      </c>
      <c r="K120" s="89" t="b">
        <v>0</v>
      </c>
      <c r="L120" s="89" t="b">
        <v>0</v>
      </c>
    </row>
    <row r="121" spans="1:12" ht="15">
      <c r="A121" s="85" t="s">
        <v>2605</v>
      </c>
      <c r="B121" s="89" t="s">
        <v>2606</v>
      </c>
      <c r="C121" s="89">
        <v>2</v>
      </c>
      <c r="D121" s="111">
        <v>0.0010001566988239465</v>
      </c>
      <c r="E121" s="111">
        <v>3.300051732120042</v>
      </c>
      <c r="F121" s="89" t="s">
        <v>2665</v>
      </c>
      <c r="G121" s="89" t="b">
        <v>0</v>
      </c>
      <c r="H121" s="89" t="b">
        <v>0</v>
      </c>
      <c r="I121" s="89" t="b">
        <v>0</v>
      </c>
      <c r="J121" s="89" t="b">
        <v>0</v>
      </c>
      <c r="K121" s="89" t="b">
        <v>0</v>
      </c>
      <c r="L121" s="89" t="b">
        <v>0</v>
      </c>
    </row>
    <row r="122" spans="1:12" ht="15">
      <c r="A122" s="85" t="s">
        <v>2606</v>
      </c>
      <c r="B122" s="89" t="s">
        <v>2607</v>
      </c>
      <c r="C122" s="89">
        <v>2</v>
      </c>
      <c r="D122" s="111">
        <v>0.0010001566988239465</v>
      </c>
      <c r="E122" s="111">
        <v>3.300051732120042</v>
      </c>
      <c r="F122" s="89" t="s">
        <v>2665</v>
      </c>
      <c r="G122" s="89" t="b">
        <v>0</v>
      </c>
      <c r="H122" s="89" t="b">
        <v>0</v>
      </c>
      <c r="I122" s="89" t="b">
        <v>0</v>
      </c>
      <c r="J122" s="89" t="b">
        <v>0</v>
      </c>
      <c r="K122" s="89" t="b">
        <v>0</v>
      </c>
      <c r="L122" s="89" t="b">
        <v>0</v>
      </c>
    </row>
    <row r="123" spans="1:12" ht="15">
      <c r="A123" s="85" t="s">
        <v>2607</v>
      </c>
      <c r="B123" s="89" t="s">
        <v>2547</v>
      </c>
      <c r="C123" s="89">
        <v>2</v>
      </c>
      <c r="D123" s="111">
        <v>0.0010001566988239465</v>
      </c>
      <c r="E123" s="111">
        <v>3.123960473064361</v>
      </c>
      <c r="F123" s="89" t="s">
        <v>2665</v>
      </c>
      <c r="G123" s="89" t="b">
        <v>0</v>
      </c>
      <c r="H123" s="89" t="b">
        <v>0</v>
      </c>
      <c r="I123" s="89" t="b">
        <v>0</v>
      </c>
      <c r="J123" s="89" t="b">
        <v>0</v>
      </c>
      <c r="K123" s="89" t="b">
        <v>0</v>
      </c>
      <c r="L123" s="89" t="b">
        <v>0</v>
      </c>
    </row>
    <row r="124" spans="1:12" ht="15">
      <c r="A124" s="85" t="s">
        <v>2547</v>
      </c>
      <c r="B124" s="89" t="s">
        <v>591</v>
      </c>
      <c r="C124" s="89">
        <v>2</v>
      </c>
      <c r="D124" s="111">
        <v>0.0010001566988239465</v>
      </c>
      <c r="E124" s="111">
        <v>0.7805518792605035</v>
      </c>
      <c r="F124" s="89" t="s">
        <v>2665</v>
      </c>
      <c r="G124" s="89" t="b">
        <v>0</v>
      </c>
      <c r="H124" s="89" t="b">
        <v>0</v>
      </c>
      <c r="I124" s="89" t="b">
        <v>0</v>
      </c>
      <c r="J124" s="89" t="b">
        <v>0</v>
      </c>
      <c r="K124" s="89" t="b">
        <v>0</v>
      </c>
      <c r="L124" s="89" t="b">
        <v>0</v>
      </c>
    </row>
    <row r="125" spans="1:12" ht="15">
      <c r="A125" s="85" t="s">
        <v>2474</v>
      </c>
      <c r="B125" s="89" t="s">
        <v>2608</v>
      </c>
      <c r="C125" s="89">
        <v>2</v>
      </c>
      <c r="D125" s="111">
        <v>0.0010001566988239465</v>
      </c>
      <c r="E125" s="111">
        <v>1.2626252341794184</v>
      </c>
      <c r="F125" s="89" t="s">
        <v>2665</v>
      </c>
      <c r="G125" s="89" t="b">
        <v>0</v>
      </c>
      <c r="H125" s="89" t="b">
        <v>0</v>
      </c>
      <c r="I125" s="89" t="b">
        <v>0</v>
      </c>
      <c r="J125" s="89" t="b">
        <v>0</v>
      </c>
      <c r="K125" s="89" t="b">
        <v>0</v>
      </c>
      <c r="L125" s="89" t="b">
        <v>0</v>
      </c>
    </row>
    <row r="126" spans="1:12" ht="15">
      <c r="A126" s="85" t="s">
        <v>2615</v>
      </c>
      <c r="B126" s="89" t="s">
        <v>2616</v>
      </c>
      <c r="C126" s="89">
        <v>2</v>
      </c>
      <c r="D126" s="111">
        <v>0.0010001566988239465</v>
      </c>
      <c r="E126" s="111">
        <v>3.300051732120042</v>
      </c>
      <c r="F126" s="89" t="s">
        <v>2665</v>
      </c>
      <c r="G126" s="89" t="b">
        <v>0</v>
      </c>
      <c r="H126" s="89" t="b">
        <v>0</v>
      </c>
      <c r="I126" s="89" t="b">
        <v>0</v>
      </c>
      <c r="J126" s="89" t="b">
        <v>0</v>
      </c>
      <c r="K126" s="89" t="b">
        <v>0</v>
      </c>
      <c r="L126" s="89" t="b">
        <v>0</v>
      </c>
    </row>
    <row r="127" spans="1:12" ht="15">
      <c r="A127" s="85" t="s">
        <v>2616</v>
      </c>
      <c r="B127" s="89" t="s">
        <v>2617</v>
      </c>
      <c r="C127" s="89">
        <v>2</v>
      </c>
      <c r="D127" s="111">
        <v>0.0010001566988239465</v>
      </c>
      <c r="E127" s="111">
        <v>3.300051732120042</v>
      </c>
      <c r="F127" s="89" t="s">
        <v>2665</v>
      </c>
      <c r="G127" s="89" t="b">
        <v>0</v>
      </c>
      <c r="H127" s="89" t="b">
        <v>0</v>
      </c>
      <c r="I127" s="89" t="b">
        <v>0</v>
      </c>
      <c r="J127" s="89" t="b">
        <v>0</v>
      </c>
      <c r="K127" s="89" t="b">
        <v>0</v>
      </c>
      <c r="L127" s="89" t="b">
        <v>0</v>
      </c>
    </row>
    <row r="128" spans="1:12" ht="15">
      <c r="A128" s="85" t="s">
        <v>2617</v>
      </c>
      <c r="B128" s="89" t="s">
        <v>2618</v>
      </c>
      <c r="C128" s="89">
        <v>2</v>
      </c>
      <c r="D128" s="111">
        <v>0.0010001566988239465</v>
      </c>
      <c r="E128" s="111">
        <v>3.300051732120042</v>
      </c>
      <c r="F128" s="89" t="s">
        <v>2665</v>
      </c>
      <c r="G128" s="89" t="b">
        <v>0</v>
      </c>
      <c r="H128" s="89" t="b">
        <v>0</v>
      </c>
      <c r="I128" s="89" t="b">
        <v>0</v>
      </c>
      <c r="J128" s="89" t="b">
        <v>0</v>
      </c>
      <c r="K128" s="89" t="b">
        <v>0</v>
      </c>
      <c r="L128" s="89" t="b">
        <v>0</v>
      </c>
    </row>
    <row r="129" spans="1:12" ht="15">
      <c r="A129" s="85" t="s">
        <v>2618</v>
      </c>
      <c r="B129" s="89" t="s">
        <v>2619</v>
      </c>
      <c r="C129" s="89">
        <v>2</v>
      </c>
      <c r="D129" s="111">
        <v>0.0010001566988239465</v>
      </c>
      <c r="E129" s="111">
        <v>3.300051732120042</v>
      </c>
      <c r="F129" s="89" t="s">
        <v>2665</v>
      </c>
      <c r="G129" s="89" t="b">
        <v>0</v>
      </c>
      <c r="H129" s="89" t="b">
        <v>0</v>
      </c>
      <c r="I129" s="89" t="b">
        <v>0</v>
      </c>
      <c r="J129" s="89" t="b">
        <v>0</v>
      </c>
      <c r="K129" s="89" t="b">
        <v>0</v>
      </c>
      <c r="L129" s="89" t="b">
        <v>0</v>
      </c>
    </row>
    <row r="130" spans="1:12" ht="15">
      <c r="A130" s="85" t="s">
        <v>2619</v>
      </c>
      <c r="B130" s="89" t="s">
        <v>2620</v>
      </c>
      <c r="C130" s="89">
        <v>2</v>
      </c>
      <c r="D130" s="111">
        <v>0.0010001566988239465</v>
      </c>
      <c r="E130" s="111">
        <v>3.300051732120042</v>
      </c>
      <c r="F130" s="89" t="s">
        <v>2665</v>
      </c>
      <c r="G130" s="89" t="b">
        <v>0</v>
      </c>
      <c r="H130" s="89" t="b">
        <v>0</v>
      </c>
      <c r="I130" s="89" t="b">
        <v>0</v>
      </c>
      <c r="J130" s="89" t="b">
        <v>0</v>
      </c>
      <c r="K130" s="89" t="b">
        <v>0</v>
      </c>
      <c r="L130" s="89" t="b">
        <v>0</v>
      </c>
    </row>
    <row r="131" spans="1:12" ht="15">
      <c r="A131" s="85" t="s">
        <v>2620</v>
      </c>
      <c r="B131" s="89" t="s">
        <v>2549</v>
      </c>
      <c r="C131" s="89">
        <v>2</v>
      </c>
      <c r="D131" s="111">
        <v>0.0010001566988239465</v>
      </c>
      <c r="E131" s="111">
        <v>3.123960473064361</v>
      </c>
      <c r="F131" s="89" t="s">
        <v>2665</v>
      </c>
      <c r="G131" s="89" t="b">
        <v>0</v>
      </c>
      <c r="H131" s="89" t="b">
        <v>0</v>
      </c>
      <c r="I131" s="89" t="b">
        <v>0</v>
      </c>
      <c r="J131" s="89" t="b">
        <v>0</v>
      </c>
      <c r="K131" s="89" t="b">
        <v>0</v>
      </c>
      <c r="L131" s="89" t="b">
        <v>0</v>
      </c>
    </row>
    <row r="132" spans="1:12" ht="15">
      <c r="A132" s="85" t="s">
        <v>2549</v>
      </c>
      <c r="B132" s="89" t="s">
        <v>2621</v>
      </c>
      <c r="C132" s="89">
        <v>2</v>
      </c>
      <c r="D132" s="111">
        <v>0.0010001566988239465</v>
      </c>
      <c r="E132" s="111">
        <v>3.123960473064361</v>
      </c>
      <c r="F132" s="89" t="s">
        <v>2665</v>
      </c>
      <c r="G132" s="89" t="b">
        <v>0</v>
      </c>
      <c r="H132" s="89" t="b">
        <v>0</v>
      </c>
      <c r="I132" s="89" t="b">
        <v>0</v>
      </c>
      <c r="J132" s="89" t="b">
        <v>0</v>
      </c>
      <c r="K132" s="89" t="b">
        <v>0</v>
      </c>
      <c r="L132" s="89" t="b">
        <v>0</v>
      </c>
    </row>
    <row r="133" spans="1:12" ht="15">
      <c r="A133" s="85" t="s">
        <v>2621</v>
      </c>
      <c r="B133" s="89" t="s">
        <v>2519</v>
      </c>
      <c r="C133" s="89">
        <v>2</v>
      </c>
      <c r="D133" s="111">
        <v>0.0010001566988239465</v>
      </c>
      <c r="E133" s="111">
        <v>2.345809222680717</v>
      </c>
      <c r="F133" s="89" t="s">
        <v>2665</v>
      </c>
      <c r="G133" s="89" t="b">
        <v>0</v>
      </c>
      <c r="H133" s="89" t="b">
        <v>0</v>
      </c>
      <c r="I133" s="89" t="b">
        <v>0</v>
      </c>
      <c r="J133" s="89" t="b">
        <v>0</v>
      </c>
      <c r="K133" s="89" t="b">
        <v>0</v>
      </c>
      <c r="L133" s="89" t="b">
        <v>0</v>
      </c>
    </row>
    <row r="134" spans="1:12" ht="15">
      <c r="A134" s="85" t="s">
        <v>2519</v>
      </c>
      <c r="B134" s="89" t="s">
        <v>2622</v>
      </c>
      <c r="C134" s="89">
        <v>2</v>
      </c>
      <c r="D134" s="111">
        <v>0.0010001566988239465</v>
      </c>
      <c r="E134" s="111">
        <v>2.3969617451280985</v>
      </c>
      <c r="F134" s="89" t="s">
        <v>2665</v>
      </c>
      <c r="G134" s="89" t="b">
        <v>0</v>
      </c>
      <c r="H134" s="89" t="b">
        <v>0</v>
      </c>
      <c r="I134" s="89" t="b">
        <v>0</v>
      </c>
      <c r="J134" s="89" t="b">
        <v>0</v>
      </c>
      <c r="K134" s="89" t="b">
        <v>0</v>
      </c>
      <c r="L134" s="89" t="b">
        <v>0</v>
      </c>
    </row>
    <row r="135" spans="1:12" ht="15">
      <c r="A135" s="85" t="s">
        <v>2474</v>
      </c>
      <c r="B135" s="89" t="s">
        <v>2551</v>
      </c>
      <c r="C135" s="89">
        <v>2</v>
      </c>
      <c r="D135" s="111">
        <v>0.0010001566988239465</v>
      </c>
      <c r="E135" s="111">
        <v>1.0865339751237373</v>
      </c>
      <c r="F135" s="89" t="s">
        <v>2665</v>
      </c>
      <c r="G135" s="89" t="b">
        <v>0</v>
      </c>
      <c r="H135" s="89" t="b">
        <v>0</v>
      </c>
      <c r="I135" s="89" t="b">
        <v>0</v>
      </c>
      <c r="J135" s="89" t="b">
        <v>0</v>
      </c>
      <c r="K135" s="89" t="b">
        <v>0</v>
      </c>
      <c r="L135" s="89" t="b">
        <v>0</v>
      </c>
    </row>
    <row r="136" spans="1:12" ht="15">
      <c r="A136" s="85" t="s">
        <v>2551</v>
      </c>
      <c r="B136" s="89" t="s">
        <v>2625</v>
      </c>
      <c r="C136" s="89">
        <v>2</v>
      </c>
      <c r="D136" s="111">
        <v>0.0010001566988239465</v>
      </c>
      <c r="E136" s="111">
        <v>3.123960473064361</v>
      </c>
      <c r="F136" s="89" t="s">
        <v>2665</v>
      </c>
      <c r="G136" s="89" t="b">
        <v>0</v>
      </c>
      <c r="H136" s="89" t="b">
        <v>0</v>
      </c>
      <c r="I136" s="89" t="b">
        <v>0</v>
      </c>
      <c r="J136" s="89" t="b">
        <v>0</v>
      </c>
      <c r="K136" s="89" t="b">
        <v>0</v>
      </c>
      <c r="L136" s="89" t="b">
        <v>0</v>
      </c>
    </row>
    <row r="137" spans="1:12" ht="15">
      <c r="A137" s="85" t="s">
        <v>2625</v>
      </c>
      <c r="B137" s="89" t="s">
        <v>2626</v>
      </c>
      <c r="C137" s="89">
        <v>2</v>
      </c>
      <c r="D137" s="111">
        <v>0.0010001566988239465</v>
      </c>
      <c r="E137" s="111">
        <v>3.300051732120042</v>
      </c>
      <c r="F137" s="89" t="s">
        <v>2665</v>
      </c>
      <c r="G137" s="89" t="b">
        <v>0</v>
      </c>
      <c r="H137" s="89" t="b">
        <v>0</v>
      </c>
      <c r="I137" s="89" t="b">
        <v>0</v>
      </c>
      <c r="J137" s="89" t="b">
        <v>0</v>
      </c>
      <c r="K137" s="89" t="b">
        <v>0</v>
      </c>
      <c r="L137" s="89" t="b">
        <v>0</v>
      </c>
    </row>
    <row r="138" spans="1:12" ht="15">
      <c r="A138" s="85" t="s">
        <v>2474</v>
      </c>
      <c r="B138" s="89" t="s">
        <v>2627</v>
      </c>
      <c r="C138" s="89">
        <v>2</v>
      </c>
      <c r="D138" s="111">
        <v>0.0010001566988239465</v>
      </c>
      <c r="E138" s="111">
        <v>1.2626252341794184</v>
      </c>
      <c r="F138" s="89" t="s">
        <v>2665</v>
      </c>
      <c r="G138" s="89" t="b">
        <v>0</v>
      </c>
      <c r="H138" s="89" t="b">
        <v>0</v>
      </c>
      <c r="I138" s="89" t="b">
        <v>0</v>
      </c>
      <c r="J138" s="89" t="b">
        <v>0</v>
      </c>
      <c r="K138" s="89" t="b">
        <v>0</v>
      </c>
      <c r="L138" s="89" t="b">
        <v>0</v>
      </c>
    </row>
    <row r="139" spans="1:12" ht="15">
      <c r="A139" s="85" t="s">
        <v>2627</v>
      </c>
      <c r="B139" s="89" t="s">
        <v>2628</v>
      </c>
      <c r="C139" s="89">
        <v>2</v>
      </c>
      <c r="D139" s="111">
        <v>0.0010001566988239465</v>
      </c>
      <c r="E139" s="111">
        <v>3.300051732120042</v>
      </c>
      <c r="F139" s="89" t="s">
        <v>2665</v>
      </c>
      <c r="G139" s="89" t="b">
        <v>0</v>
      </c>
      <c r="H139" s="89" t="b">
        <v>0</v>
      </c>
      <c r="I139" s="89" t="b">
        <v>0</v>
      </c>
      <c r="J139" s="89" t="b">
        <v>0</v>
      </c>
      <c r="K139" s="89" t="b">
        <v>0</v>
      </c>
      <c r="L139" s="89" t="b">
        <v>0</v>
      </c>
    </row>
    <row r="140" spans="1:12" ht="15">
      <c r="A140" s="85" t="s">
        <v>2631</v>
      </c>
      <c r="B140" s="89" t="s">
        <v>2632</v>
      </c>
      <c r="C140" s="89">
        <v>2</v>
      </c>
      <c r="D140" s="111">
        <v>0.0010001566988239465</v>
      </c>
      <c r="E140" s="111">
        <v>3.300051732120042</v>
      </c>
      <c r="F140" s="89" t="s">
        <v>2665</v>
      </c>
      <c r="G140" s="89" t="b">
        <v>0</v>
      </c>
      <c r="H140" s="89" t="b">
        <v>0</v>
      </c>
      <c r="I140" s="89" t="b">
        <v>0</v>
      </c>
      <c r="J140" s="89" t="b">
        <v>0</v>
      </c>
      <c r="K140" s="89" t="b">
        <v>0</v>
      </c>
      <c r="L140" s="89" t="b">
        <v>0</v>
      </c>
    </row>
    <row r="141" spans="1:12" ht="15">
      <c r="A141" s="85" t="s">
        <v>2632</v>
      </c>
      <c r="B141" s="89" t="s">
        <v>2546</v>
      </c>
      <c r="C141" s="89">
        <v>2</v>
      </c>
      <c r="D141" s="111">
        <v>0.0010001566988239465</v>
      </c>
      <c r="E141" s="111">
        <v>3.123960473064361</v>
      </c>
      <c r="F141" s="89" t="s">
        <v>2665</v>
      </c>
      <c r="G141" s="89" t="b">
        <v>0</v>
      </c>
      <c r="H141" s="89" t="b">
        <v>0</v>
      </c>
      <c r="I141" s="89" t="b">
        <v>0</v>
      </c>
      <c r="J141" s="89" t="b">
        <v>0</v>
      </c>
      <c r="K141" s="89" t="b">
        <v>0</v>
      </c>
      <c r="L141" s="89" t="b">
        <v>0</v>
      </c>
    </row>
    <row r="142" spans="1:12" ht="15">
      <c r="A142" s="85" t="s">
        <v>2546</v>
      </c>
      <c r="B142" s="89" t="s">
        <v>2633</v>
      </c>
      <c r="C142" s="89">
        <v>2</v>
      </c>
      <c r="D142" s="111">
        <v>0.0010001566988239465</v>
      </c>
      <c r="E142" s="111">
        <v>3.123960473064361</v>
      </c>
      <c r="F142" s="89" t="s">
        <v>2665</v>
      </c>
      <c r="G142" s="89" t="b">
        <v>0</v>
      </c>
      <c r="H142" s="89" t="b">
        <v>0</v>
      </c>
      <c r="I142" s="89" t="b">
        <v>0</v>
      </c>
      <c r="J142" s="89" t="b">
        <v>0</v>
      </c>
      <c r="K142" s="89" t="b">
        <v>0</v>
      </c>
      <c r="L142" s="89" t="b">
        <v>0</v>
      </c>
    </row>
    <row r="143" spans="1:12" ht="15">
      <c r="A143" s="85" t="s">
        <v>2633</v>
      </c>
      <c r="B143" s="89" t="s">
        <v>2634</v>
      </c>
      <c r="C143" s="89">
        <v>2</v>
      </c>
      <c r="D143" s="111">
        <v>0.0010001566988239465</v>
      </c>
      <c r="E143" s="111">
        <v>3.300051732120042</v>
      </c>
      <c r="F143" s="89" t="s">
        <v>2665</v>
      </c>
      <c r="G143" s="89" t="b">
        <v>0</v>
      </c>
      <c r="H143" s="89" t="b">
        <v>0</v>
      </c>
      <c r="I143" s="89" t="b">
        <v>0</v>
      </c>
      <c r="J143" s="89" t="b">
        <v>0</v>
      </c>
      <c r="K143" s="89" t="b">
        <v>0</v>
      </c>
      <c r="L143" s="89" t="b">
        <v>0</v>
      </c>
    </row>
    <row r="144" spans="1:12" ht="15">
      <c r="A144" s="85" t="s">
        <v>2634</v>
      </c>
      <c r="B144" s="89" t="s">
        <v>2635</v>
      </c>
      <c r="C144" s="89">
        <v>2</v>
      </c>
      <c r="D144" s="111">
        <v>0.0010001566988239465</v>
      </c>
      <c r="E144" s="111">
        <v>3.300051732120042</v>
      </c>
      <c r="F144" s="89" t="s">
        <v>2665</v>
      </c>
      <c r="G144" s="89" t="b">
        <v>0</v>
      </c>
      <c r="H144" s="89" t="b">
        <v>0</v>
      </c>
      <c r="I144" s="89" t="b">
        <v>0</v>
      </c>
      <c r="J144" s="89" t="b">
        <v>0</v>
      </c>
      <c r="K144" s="89" t="b">
        <v>0</v>
      </c>
      <c r="L144" s="89" t="b">
        <v>0</v>
      </c>
    </row>
    <row r="145" spans="1:12" ht="15">
      <c r="A145" s="85" t="s">
        <v>2635</v>
      </c>
      <c r="B145" s="89" t="s">
        <v>2636</v>
      </c>
      <c r="C145" s="89">
        <v>2</v>
      </c>
      <c r="D145" s="111">
        <v>0.0010001566988239465</v>
      </c>
      <c r="E145" s="111">
        <v>3.300051732120042</v>
      </c>
      <c r="F145" s="89" t="s">
        <v>2665</v>
      </c>
      <c r="G145" s="89" t="b">
        <v>0</v>
      </c>
      <c r="H145" s="89" t="b">
        <v>0</v>
      </c>
      <c r="I145" s="89" t="b">
        <v>0</v>
      </c>
      <c r="J145" s="89" t="b">
        <v>0</v>
      </c>
      <c r="K145" s="89" t="b">
        <v>0</v>
      </c>
      <c r="L145" s="89" t="b">
        <v>0</v>
      </c>
    </row>
    <row r="146" spans="1:12" ht="15">
      <c r="A146" s="85" t="s">
        <v>2636</v>
      </c>
      <c r="B146" s="89" t="s">
        <v>2637</v>
      </c>
      <c r="C146" s="89">
        <v>2</v>
      </c>
      <c r="D146" s="111">
        <v>0.0010001566988239465</v>
      </c>
      <c r="E146" s="111">
        <v>3.300051732120042</v>
      </c>
      <c r="F146" s="89" t="s">
        <v>2665</v>
      </c>
      <c r="G146" s="89" t="b">
        <v>0</v>
      </c>
      <c r="H146" s="89" t="b">
        <v>0</v>
      </c>
      <c r="I146" s="89" t="b">
        <v>0</v>
      </c>
      <c r="J146" s="89" t="b">
        <v>0</v>
      </c>
      <c r="K146" s="89" t="b">
        <v>0</v>
      </c>
      <c r="L146" s="89" t="b">
        <v>0</v>
      </c>
    </row>
    <row r="147" spans="1:12" ht="15">
      <c r="A147" s="85" t="s">
        <v>2637</v>
      </c>
      <c r="B147" s="89" t="s">
        <v>2638</v>
      </c>
      <c r="C147" s="89">
        <v>2</v>
      </c>
      <c r="D147" s="111">
        <v>0.0010001566988239465</v>
      </c>
      <c r="E147" s="111">
        <v>3.300051732120042</v>
      </c>
      <c r="F147" s="89" t="s">
        <v>2665</v>
      </c>
      <c r="G147" s="89" t="b">
        <v>0</v>
      </c>
      <c r="H147" s="89" t="b">
        <v>0</v>
      </c>
      <c r="I147" s="89" t="b">
        <v>0</v>
      </c>
      <c r="J147" s="89" t="b">
        <v>0</v>
      </c>
      <c r="K147" s="89" t="b">
        <v>0</v>
      </c>
      <c r="L147" s="89" t="b">
        <v>0</v>
      </c>
    </row>
    <row r="148" spans="1:12" ht="15">
      <c r="A148" s="85" t="s">
        <v>2638</v>
      </c>
      <c r="B148" s="89" t="s">
        <v>2639</v>
      </c>
      <c r="C148" s="89">
        <v>2</v>
      </c>
      <c r="D148" s="111">
        <v>0.0010001566988239465</v>
      </c>
      <c r="E148" s="111">
        <v>3.300051732120042</v>
      </c>
      <c r="F148" s="89" t="s">
        <v>2665</v>
      </c>
      <c r="G148" s="89" t="b">
        <v>0</v>
      </c>
      <c r="H148" s="89" t="b">
        <v>0</v>
      </c>
      <c r="I148" s="89" t="b">
        <v>0</v>
      </c>
      <c r="J148" s="89" t="b">
        <v>0</v>
      </c>
      <c r="K148" s="89" t="b">
        <v>0</v>
      </c>
      <c r="L148" s="89" t="b">
        <v>0</v>
      </c>
    </row>
    <row r="149" spans="1:12" ht="15">
      <c r="A149" s="85" t="s">
        <v>2639</v>
      </c>
      <c r="B149" s="89" t="s">
        <v>2640</v>
      </c>
      <c r="C149" s="89">
        <v>2</v>
      </c>
      <c r="D149" s="111">
        <v>0.0010001566988239465</v>
      </c>
      <c r="E149" s="111">
        <v>3.300051732120042</v>
      </c>
      <c r="F149" s="89" t="s">
        <v>2665</v>
      </c>
      <c r="G149" s="89" t="b">
        <v>0</v>
      </c>
      <c r="H149" s="89" t="b">
        <v>0</v>
      </c>
      <c r="I149" s="89" t="b">
        <v>0</v>
      </c>
      <c r="J149" s="89" t="b">
        <v>0</v>
      </c>
      <c r="K149" s="89" t="b">
        <v>0</v>
      </c>
      <c r="L149" s="89" t="b">
        <v>0</v>
      </c>
    </row>
    <row r="150" spans="1:12" ht="15">
      <c r="A150" s="85" t="s">
        <v>2474</v>
      </c>
      <c r="B150" s="89" t="s">
        <v>2641</v>
      </c>
      <c r="C150" s="89">
        <v>2</v>
      </c>
      <c r="D150" s="111">
        <v>0.0010001566988239465</v>
      </c>
      <c r="E150" s="111">
        <v>1.2626252341794184</v>
      </c>
      <c r="F150" s="89" t="s">
        <v>2665</v>
      </c>
      <c r="G150" s="89" t="b">
        <v>0</v>
      </c>
      <c r="H150" s="89" t="b">
        <v>0</v>
      </c>
      <c r="I150" s="89" t="b">
        <v>0</v>
      </c>
      <c r="J150" s="89" t="b">
        <v>0</v>
      </c>
      <c r="K150" s="89" t="b">
        <v>0</v>
      </c>
      <c r="L150" s="89" t="b">
        <v>0</v>
      </c>
    </row>
    <row r="151" spans="1:12" ht="15">
      <c r="A151" s="85" t="s">
        <v>2642</v>
      </c>
      <c r="B151" s="89" t="s">
        <v>591</v>
      </c>
      <c r="C151" s="89">
        <v>2</v>
      </c>
      <c r="D151" s="111">
        <v>0.0010001566988239465</v>
      </c>
      <c r="E151" s="111">
        <v>0.9566431383161846</v>
      </c>
      <c r="F151" s="89" t="s">
        <v>2665</v>
      </c>
      <c r="G151" s="89" t="b">
        <v>0</v>
      </c>
      <c r="H151" s="89" t="b">
        <v>0</v>
      </c>
      <c r="I151" s="89" t="b">
        <v>0</v>
      </c>
      <c r="J151" s="89" t="b">
        <v>0</v>
      </c>
      <c r="K151" s="89" t="b">
        <v>0</v>
      </c>
      <c r="L151" s="89" t="b">
        <v>0</v>
      </c>
    </row>
    <row r="152" spans="1:12" ht="15">
      <c r="A152" s="85" t="s">
        <v>2647</v>
      </c>
      <c r="B152" s="89" t="s">
        <v>2648</v>
      </c>
      <c r="C152" s="89">
        <v>2</v>
      </c>
      <c r="D152" s="111">
        <v>0.0010001566988239465</v>
      </c>
      <c r="E152" s="111">
        <v>3.300051732120042</v>
      </c>
      <c r="F152" s="89" t="s">
        <v>2665</v>
      </c>
      <c r="G152" s="89" t="b">
        <v>0</v>
      </c>
      <c r="H152" s="89" t="b">
        <v>0</v>
      </c>
      <c r="I152" s="89" t="b">
        <v>0</v>
      </c>
      <c r="J152" s="89" t="b">
        <v>0</v>
      </c>
      <c r="K152" s="89" t="b">
        <v>0</v>
      </c>
      <c r="L152" s="89" t="b">
        <v>0</v>
      </c>
    </row>
    <row r="153" spans="1:12" ht="15">
      <c r="A153" s="85" t="s">
        <v>2648</v>
      </c>
      <c r="B153" s="89" t="s">
        <v>2649</v>
      </c>
      <c r="C153" s="89">
        <v>2</v>
      </c>
      <c r="D153" s="111">
        <v>0.0010001566988239465</v>
      </c>
      <c r="E153" s="111">
        <v>3.300051732120042</v>
      </c>
      <c r="F153" s="89" t="s">
        <v>2665</v>
      </c>
      <c r="G153" s="89" t="b">
        <v>0</v>
      </c>
      <c r="H153" s="89" t="b">
        <v>0</v>
      </c>
      <c r="I153" s="89" t="b">
        <v>0</v>
      </c>
      <c r="J153" s="89" t="b">
        <v>0</v>
      </c>
      <c r="K153" s="89" t="b">
        <v>0</v>
      </c>
      <c r="L153" s="89" t="b">
        <v>0</v>
      </c>
    </row>
    <row r="154" spans="1:12" ht="15">
      <c r="A154" s="85" t="s">
        <v>2649</v>
      </c>
      <c r="B154" s="89" t="s">
        <v>591</v>
      </c>
      <c r="C154" s="89">
        <v>2</v>
      </c>
      <c r="D154" s="111">
        <v>0.0010001566988239465</v>
      </c>
      <c r="E154" s="111">
        <v>0.9566431383161846</v>
      </c>
      <c r="F154" s="89" t="s">
        <v>2665</v>
      </c>
      <c r="G154" s="89" t="b">
        <v>0</v>
      </c>
      <c r="H154" s="89" t="b">
        <v>0</v>
      </c>
      <c r="I154" s="89" t="b">
        <v>0</v>
      </c>
      <c r="J154" s="89" t="b">
        <v>0</v>
      </c>
      <c r="K154" s="89" t="b">
        <v>0</v>
      </c>
      <c r="L154" s="89" t="b">
        <v>0</v>
      </c>
    </row>
    <row r="155" spans="1:12" ht="15">
      <c r="A155" s="85" t="s">
        <v>591</v>
      </c>
      <c r="B155" s="89" t="s">
        <v>2650</v>
      </c>
      <c r="C155" s="89">
        <v>2</v>
      </c>
      <c r="D155" s="111">
        <v>0.0010001566988239465</v>
      </c>
      <c r="E155" s="111">
        <v>0.8850783841492241</v>
      </c>
      <c r="F155" s="89" t="s">
        <v>2665</v>
      </c>
      <c r="G155" s="89" t="b">
        <v>0</v>
      </c>
      <c r="H155" s="89" t="b">
        <v>0</v>
      </c>
      <c r="I155" s="89" t="b">
        <v>0</v>
      </c>
      <c r="J155" s="89" t="b">
        <v>0</v>
      </c>
      <c r="K155" s="89" t="b">
        <v>0</v>
      </c>
      <c r="L155" s="89" t="b">
        <v>0</v>
      </c>
    </row>
    <row r="156" spans="1:12" ht="15">
      <c r="A156" s="85" t="s">
        <v>2650</v>
      </c>
      <c r="B156" s="89" t="s">
        <v>2651</v>
      </c>
      <c r="C156" s="89">
        <v>2</v>
      </c>
      <c r="D156" s="111">
        <v>0.0010001566988239465</v>
      </c>
      <c r="E156" s="111">
        <v>3.300051732120042</v>
      </c>
      <c r="F156" s="89" t="s">
        <v>2665</v>
      </c>
      <c r="G156" s="89" t="b">
        <v>0</v>
      </c>
      <c r="H156" s="89" t="b">
        <v>0</v>
      </c>
      <c r="I156" s="89" t="b">
        <v>0</v>
      </c>
      <c r="J156" s="89" t="b">
        <v>0</v>
      </c>
      <c r="K156" s="89" t="b">
        <v>0</v>
      </c>
      <c r="L156" s="89" t="b">
        <v>0</v>
      </c>
    </row>
    <row r="157" spans="1:12" ht="15">
      <c r="A157" s="85" t="s">
        <v>2651</v>
      </c>
      <c r="B157" s="89" t="s">
        <v>2652</v>
      </c>
      <c r="C157" s="89">
        <v>2</v>
      </c>
      <c r="D157" s="111">
        <v>0.0010001566988239465</v>
      </c>
      <c r="E157" s="111">
        <v>3.300051732120042</v>
      </c>
      <c r="F157" s="89" t="s">
        <v>2665</v>
      </c>
      <c r="G157" s="89" t="b">
        <v>0</v>
      </c>
      <c r="H157" s="89" t="b">
        <v>0</v>
      </c>
      <c r="I157" s="89" t="b">
        <v>0</v>
      </c>
      <c r="J157" s="89" t="b">
        <v>0</v>
      </c>
      <c r="K157" s="89" t="b">
        <v>0</v>
      </c>
      <c r="L157" s="89" t="b">
        <v>0</v>
      </c>
    </row>
    <row r="158" spans="1:12" ht="15">
      <c r="A158" s="85" t="s">
        <v>2652</v>
      </c>
      <c r="B158" s="89" t="s">
        <v>2653</v>
      </c>
      <c r="C158" s="89">
        <v>2</v>
      </c>
      <c r="D158" s="111">
        <v>0.0010001566988239465</v>
      </c>
      <c r="E158" s="111">
        <v>3.300051732120042</v>
      </c>
      <c r="F158" s="89" t="s">
        <v>2665</v>
      </c>
      <c r="G158" s="89" t="b">
        <v>0</v>
      </c>
      <c r="H158" s="89" t="b">
        <v>0</v>
      </c>
      <c r="I158" s="89" t="b">
        <v>0</v>
      </c>
      <c r="J158" s="89" t="b">
        <v>0</v>
      </c>
      <c r="K158" s="89" t="b">
        <v>0</v>
      </c>
      <c r="L158" s="89" t="b">
        <v>0</v>
      </c>
    </row>
    <row r="159" spans="1:12" ht="15">
      <c r="A159" s="85" t="s">
        <v>2653</v>
      </c>
      <c r="B159" s="89" t="s">
        <v>2654</v>
      </c>
      <c r="C159" s="89">
        <v>2</v>
      </c>
      <c r="D159" s="111">
        <v>0.0010001566988239465</v>
      </c>
      <c r="E159" s="111">
        <v>3.300051732120042</v>
      </c>
      <c r="F159" s="89" t="s">
        <v>2665</v>
      </c>
      <c r="G159" s="89" t="b">
        <v>0</v>
      </c>
      <c r="H159" s="89" t="b">
        <v>0</v>
      </c>
      <c r="I159" s="89" t="b">
        <v>0</v>
      </c>
      <c r="J159" s="89" t="b">
        <v>0</v>
      </c>
      <c r="K159" s="89" t="b">
        <v>0</v>
      </c>
      <c r="L159" s="89" t="b">
        <v>0</v>
      </c>
    </row>
    <row r="160" spans="1:12" ht="15">
      <c r="A160" s="85" t="s">
        <v>2654</v>
      </c>
      <c r="B160" s="89" t="s">
        <v>2655</v>
      </c>
      <c r="C160" s="89">
        <v>2</v>
      </c>
      <c r="D160" s="111">
        <v>0.0010001566988239465</v>
      </c>
      <c r="E160" s="111">
        <v>3.300051732120042</v>
      </c>
      <c r="F160" s="89" t="s">
        <v>2665</v>
      </c>
      <c r="G160" s="89" t="b">
        <v>0</v>
      </c>
      <c r="H160" s="89" t="b">
        <v>0</v>
      </c>
      <c r="I160" s="89" t="b">
        <v>0</v>
      </c>
      <c r="J160" s="89" t="b">
        <v>0</v>
      </c>
      <c r="K160" s="89" t="b">
        <v>0</v>
      </c>
      <c r="L160" s="89" t="b">
        <v>0</v>
      </c>
    </row>
    <row r="161" spans="1:12" ht="15">
      <c r="A161" s="85" t="s">
        <v>2655</v>
      </c>
      <c r="B161" s="89" t="s">
        <v>2656</v>
      </c>
      <c r="C161" s="89">
        <v>2</v>
      </c>
      <c r="D161" s="111">
        <v>0.0010001566988239465</v>
      </c>
      <c r="E161" s="111">
        <v>3.300051732120042</v>
      </c>
      <c r="F161" s="89" t="s">
        <v>2665</v>
      </c>
      <c r="G161" s="89" t="b">
        <v>0</v>
      </c>
      <c r="H161" s="89" t="b">
        <v>0</v>
      </c>
      <c r="I161" s="89" t="b">
        <v>0</v>
      </c>
      <c r="J161" s="89" t="b">
        <v>0</v>
      </c>
      <c r="K161" s="89" t="b">
        <v>0</v>
      </c>
      <c r="L161" s="89" t="b">
        <v>0</v>
      </c>
    </row>
    <row r="162" spans="1:12" ht="15">
      <c r="A162" s="85" t="s">
        <v>2656</v>
      </c>
      <c r="B162" s="89" t="s">
        <v>2657</v>
      </c>
      <c r="C162" s="89">
        <v>2</v>
      </c>
      <c r="D162" s="111">
        <v>0.0010001566988239465</v>
      </c>
      <c r="E162" s="111">
        <v>3.300051732120042</v>
      </c>
      <c r="F162" s="89" t="s">
        <v>2665</v>
      </c>
      <c r="G162" s="89" t="b">
        <v>0</v>
      </c>
      <c r="H162" s="89" t="b">
        <v>0</v>
      </c>
      <c r="I162" s="89" t="b">
        <v>0</v>
      </c>
      <c r="J162" s="89" t="b">
        <v>0</v>
      </c>
      <c r="K162" s="89" t="b">
        <v>0</v>
      </c>
      <c r="L162" s="89" t="b">
        <v>0</v>
      </c>
    </row>
    <row r="163" spans="1:12" ht="15">
      <c r="A163" s="85" t="s">
        <v>591</v>
      </c>
      <c r="B163" s="89" t="s">
        <v>2474</v>
      </c>
      <c r="C163" s="89">
        <v>172</v>
      </c>
      <c r="D163" s="111">
        <v>0.003427720837154525</v>
      </c>
      <c r="E163" s="111">
        <v>0.7777326532602455</v>
      </c>
      <c r="F163" s="89" t="s">
        <v>2425</v>
      </c>
      <c r="G163" s="89" t="b">
        <v>0</v>
      </c>
      <c r="H163" s="89" t="b">
        <v>0</v>
      </c>
      <c r="I163" s="89" t="b">
        <v>0</v>
      </c>
      <c r="J163" s="89" t="b">
        <v>0</v>
      </c>
      <c r="K163" s="89" t="b">
        <v>0</v>
      </c>
      <c r="L163" s="89" t="b">
        <v>0</v>
      </c>
    </row>
    <row r="164" spans="1:12" ht="15">
      <c r="A164" s="85" t="s">
        <v>2479</v>
      </c>
      <c r="B164" s="89" t="s">
        <v>2480</v>
      </c>
      <c r="C164" s="89">
        <v>86</v>
      </c>
      <c r="D164" s="111">
        <v>0.0017138604185772625</v>
      </c>
      <c r="E164" s="111">
        <v>1.3823103008094544</v>
      </c>
      <c r="F164" s="89" t="s">
        <v>2425</v>
      </c>
      <c r="G164" s="89" t="b">
        <v>0</v>
      </c>
      <c r="H164" s="89" t="b">
        <v>0</v>
      </c>
      <c r="I164" s="89" t="b">
        <v>0</v>
      </c>
      <c r="J164" s="89" t="b">
        <v>0</v>
      </c>
      <c r="K164" s="89" t="b">
        <v>0</v>
      </c>
      <c r="L164" s="89" t="b">
        <v>0</v>
      </c>
    </row>
    <row r="165" spans="1:12" ht="15">
      <c r="A165" s="85" t="s">
        <v>2480</v>
      </c>
      <c r="B165" s="89" t="s">
        <v>2481</v>
      </c>
      <c r="C165" s="89">
        <v>86</v>
      </c>
      <c r="D165" s="111">
        <v>0.0017138604185772625</v>
      </c>
      <c r="E165" s="111">
        <v>1.3823103008094544</v>
      </c>
      <c r="F165" s="89" t="s">
        <v>2425</v>
      </c>
      <c r="G165" s="89" t="b">
        <v>0</v>
      </c>
      <c r="H165" s="89" t="b">
        <v>0</v>
      </c>
      <c r="I165" s="89" t="b">
        <v>0</v>
      </c>
      <c r="J165" s="89" t="b">
        <v>0</v>
      </c>
      <c r="K165" s="89" t="b">
        <v>0</v>
      </c>
      <c r="L165" s="89" t="b">
        <v>0</v>
      </c>
    </row>
    <row r="166" spans="1:12" ht="15">
      <c r="A166" s="85" t="s">
        <v>2481</v>
      </c>
      <c r="B166" s="89" t="s">
        <v>2475</v>
      </c>
      <c r="C166" s="89">
        <v>86</v>
      </c>
      <c r="D166" s="111">
        <v>0.0017138604185772625</v>
      </c>
      <c r="E166" s="111">
        <v>1.0812803051454731</v>
      </c>
      <c r="F166" s="89" t="s">
        <v>2425</v>
      </c>
      <c r="G166" s="89" t="b">
        <v>0</v>
      </c>
      <c r="H166" s="89" t="b">
        <v>0</v>
      </c>
      <c r="I166" s="89" t="b">
        <v>0</v>
      </c>
      <c r="J166" s="89" t="b">
        <v>0</v>
      </c>
      <c r="K166" s="89" t="b">
        <v>0</v>
      </c>
      <c r="L166" s="89" t="b">
        <v>0</v>
      </c>
    </row>
    <row r="167" spans="1:12" ht="15">
      <c r="A167" s="85" t="s">
        <v>2475</v>
      </c>
      <c r="B167" s="89" t="s">
        <v>2482</v>
      </c>
      <c r="C167" s="89">
        <v>86</v>
      </c>
      <c r="D167" s="111">
        <v>0.0017138604185772625</v>
      </c>
      <c r="E167" s="111">
        <v>1.0812803051454731</v>
      </c>
      <c r="F167" s="89" t="s">
        <v>2425</v>
      </c>
      <c r="G167" s="89" t="b">
        <v>0</v>
      </c>
      <c r="H167" s="89" t="b">
        <v>0</v>
      </c>
      <c r="I167" s="89" t="b">
        <v>0</v>
      </c>
      <c r="J167" s="89" t="b">
        <v>0</v>
      </c>
      <c r="K167" s="89" t="b">
        <v>0</v>
      </c>
      <c r="L167" s="89" t="b">
        <v>0</v>
      </c>
    </row>
    <row r="168" spans="1:12" ht="15">
      <c r="A168" s="85" t="s">
        <v>2482</v>
      </c>
      <c r="B168" s="89" t="s">
        <v>2483</v>
      </c>
      <c r="C168" s="89">
        <v>86</v>
      </c>
      <c r="D168" s="111">
        <v>0.0017138604185772625</v>
      </c>
      <c r="E168" s="111">
        <v>1.3823103008094544</v>
      </c>
      <c r="F168" s="89" t="s">
        <v>2425</v>
      </c>
      <c r="G168" s="89" t="b">
        <v>0</v>
      </c>
      <c r="H168" s="89" t="b">
        <v>0</v>
      </c>
      <c r="I168" s="89" t="b">
        <v>0</v>
      </c>
      <c r="J168" s="89" t="b">
        <v>0</v>
      </c>
      <c r="K168" s="89" t="b">
        <v>0</v>
      </c>
      <c r="L168" s="89" t="b">
        <v>0</v>
      </c>
    </row>
    <row r="169" spans="1:12" ht="15">
      <c r="A169" s="85" t="s">
        <v>2483</v>
      </c>
      <c r="B169" s="89" t="s">
        <v>2484</v>
      </c>
      <c r="C169" s="89">
        <v>86</v>
      </c>
      <c r="D169" s="111">
        <v>0.0017138604185772625</v>
      </c>
      <c r="E169" s="111">
        <v>1.3823103008094544</v>
      </c>
      <c r="F169" s="89" t="s">
        <v>2425</v>
      </c>
      <c r="G169" s="89" t="b">
        <v>0</v>
      </c>
      <c r="H169" s="89" t="b">
        <v>0</v>
      </c>
      <c r="I169" s="89" t="b">
        <v>0</v>
      </c>
      <c r="J169" s="89" t="b">
        <v>0</v>
      </c>
      <c r="K169" s="89" t="b">
        <v>0</v>
      </c>
      <c r="L169" s="89" t="b">
        <v>0</v>
      </c>
    </row>
    <row r="170" spans="1:12" ht="15">
      <c r="A170" s="85" t="s">
        <v>2484</v>
      </c>
      <c r="B170" s="89" t="s">
        <v>2485</v>
      </c>
      <c r="C170" s="89">
        <v>86</v>
      </c>
      <c r="D170" s="111">
        <v>0.0017138604185772625</v>
      </c>
      <c r="E170" s="111">
        <v>1.3823103008094544</v>
      </c>
      <c r="F170" s="89" t="s">
        <v>2425</v>
      </c>
      <c r="G170" s="89" t="b">
        <v>0</v>
      </c>
      <c r="H170" s="89" t="b">
        <v>0</v>
      </c>
      <c r="I170" s="89" t="b">
        <v>0</v>
      </c>
      <c r="J170" s="89" t="b">
        <v>0</v>
      </c>
      <c r="K170" s="89" t="b">
        <v>0</v>
      </c>
      <c r="L170" s="89" t="b">
        <v>0</v>
      </c>
    </row>
    <row r="171" spans="1:12" ht="15">
      <c r="A171" s="85" t="s">
        <v>2485</v>
      </c>
      <c r="B171" s="89" t="s">
        <v>2486</v>
      </c>
      <c r="C171" s="89">
        <v>86</v>
      </c>
      <c r="D171" s="111">
        <v>0.0017138604185772625</v>
      </c>
      <c r="E171" s="111">
        <v>1.3823103008094544</v>
      </c>
      <c r="F171" s="89" t="s">
        <v>2425</v>
      </c>
      <c r="G171" s="89" t="b">
        <v>0</v>
      </c>
      <c r="H171" s="89" t="b">
        <v>0</v>
      </c>
      <c r="I171" s="89" t="b">
        <v>0</v>
      </c>
      <c r="J171" s="89" t="b">
        <v>0</v>
      </c>
      <c r="K171" s="89" t="b">
        <v>0</v>
      </c>
      <c r="L171" s="89" t="b">
        <v>0</v>
      </c>
    </row>
    <row r="172" spans="1:12" ht="15">
      <c r="A172" s="85" t="s">
        <v>2486</v>
      </c>
      <c r="B172" s="89" t="s">
        <v>591</v>
      </c>
      <c r="C172" s="89">
        <v>86</v>
      </c>
      <c r="D172" s="111">
        <v>0.0017138604185772625</v>
      </c>
      <c r="E172" s="111">
        <v>0.7764792772621485</v>
      </c>
      <c r="F172" s="89" t="s">
        <v>2425</v>
      </c>
      <c r="G172" s="89" t="b">
        <v>0</v>
      </c>
      <c r="H172" s="89" t="b">
        <v>0</v>
      </c>
      <c r="I172" s="89" t="b">
        <v>0</v>
      </c>
      <c r="J172" s="89" t="b">
        <v>0</v>
      </c>
      <c r="K172" s="89" t="b">
        <v>0</v>
      </c>
      <c r="L172" s="89" t="b">
        <v>0</v>
      </c>
    </row>
    <row r="173" spans="1:12" ht="15">
      <c r="A173" s="85" t="s">
        <v>2474</v>
      </c>
      <c r="B173" s="89" t="s">
        <v>2477</v>
      </c>
      <c r="C173" s="89">
        <v>86</v>
      </c>
      <c r="D173" s="111">
        <v>0.0017138604185772625</v>
      </c>
      <c r="E173" s="111">
        <v>1.3823103008094544</v>
      </c>
      <c r="F173" s="89" t="s">
        <v>2425</v>
      </c>
      <c r="G173" s="89" t="b">
        <v>0</v>
      </c>
      <c r="H173" s="89" t="b">
        <v>0</v>
      </c>
      <c r="I173" s="89" t="b">
        <v>0</v>
      </c>
      <c r="J173" s="89" t="b">
        <v>0</v>
      </c>
      <c r="K173" s="89" t="b">
        <v>0</v>
      </c>
      <c r="L173" s="89" t="b">
        <v>0</v>
      </c>
    </row>
    <row r="174" spans="1:12" ht="15">
      <c r="A174" s="85" t="s">
        <v>2477</v>
      </c>
      <c r="B174" s="89" t="s">
        <v>591</v>
      </c>
      <c r="C174" s="89">
        <v>86</v>
      </c>
      <c r="D174" s="111">
        <v>0.0017138604185772625</v>
      </c>
      <c r="E174" s="111">
        <v>0.7764792772621485</v>
      </c>
      <c r="F174" s="89" t="s">
        <v>2425</v>
      </c>
      <c r="G174" s="89" t="b">
        <v>0</v>
      </c>
      <c r="H174" s="89" t="b">
        <v>0</v>
      </c>
      <c r="I174" s="89" t="b">
        <v>0</v>
      </c>
      <c r="J174" s="89" t="b">
        <v>0</v>
      </c>
      <c r="K174" s="89" t="b">
        <v>0</v>
      </c>
      <c r="L174" s="89" t="b">
        <v>0</v>
      </c>
    </row>
    <row r="175" spans="1:12" ht="15">
      <c r="A175" s="85" t="s">
        <v>591</v>
      </c>
      <c r="B175" s="89" t="s">
        <v>2487</v>
      </c>
      <c r="C175" s="89">
        <v>86</v>
      </c>
      <c r="D175" s="111">
        <v>0.0017138604185772625</v>
      </c>
      <c r="E175" s="111">
        <v>0.7777326532602455</v>
      </c>
      <c r="F175" s="89" t="s">
        <v>2425</v>
      </c>
      <c r="G175" s="89" t="b">
        <v>0</v>
      </c>
      <c r="H175" s="89" t="b">
        <v>0</v>
      </c>
      <c r="I175" s="89" t="b">
        <v>0</v>
      </c>
      <c r="J175" s="89" t="b">
        <v>0</v>
      </c>
      <c r="K175" s="89" t="b">
        <v>0</v>
      </c>
      <c r="L175" s="89" t="b">
        <v>0</v>
      </c>
    </row>
    <row r="176" spans="1:12" ht="15">
      <c r="A176" s="85" t="s">
        <v>2487</v>
      </c>
      <c r="B176" s="89" t="s">
        <v>2488</v>
      </c>
      <c r="C176" s="89">
        <v>86</v>
      </c>
      <c r="D176" s="111">
        <v>0.0017138604185772625</v>
      </c>
      <c r="E176" s="111">
        <v>1.3823103008094544</v>
      </c>
      <c r="F176" s="89" t="s">
        <v>2425</v>
      </c>
      <c r="G176" s="89" t="b">
        <v>0</v>
      </c>
      <c r="H176" s="89" t="b">
        <v>0</v>
      </c>
      <c r="I176" s="89" t="b">
        <v>0</v>
      </c>
      <c r="J176" s="89" t="b">
        <v>0</v>
      </c>
      <c r="K176" s="89" t="b">
        <v>0</v>
      </c>
      <c r="L176" s="89" t="b">
        <v>0</v>
      </c>
    </row>
    <row r="177" spans="1:12" ht="15">
      <c r="A177" s="85" t="s">
        <v>2488</v>
      </c>
      <c r="B177" s="89" t="s">
        <v>2489</v>
      </c>
      <c r="C177" s="89">
        <v>86</v>
      </c>
      <c r="D177" s="111">
        <v>0.0017138604185772625</v>
      </c>
      <c r="E177" s="111">
        <v>1.3823103008094544</v>
      </c>
      <c r="F177" s="89" t="s">
        <v>2425</v>
      </c>
      <c r="G177" s="89" t="b">
        <v>0</v>
      </c>
      <c r="H177" s="89" t="b">
        <v>0</v>
      </c>
      <c r="I177" s="89" t="b">
        <v>0</v>
      </c>
      <c r="J177" s="89" t="b">
        <v>0</v>
      </c>
      <c r="K177" s="89" t="b">
        <v>0</v>
      </c>
      <c r="L177" s="89" t="b">
        <v>0</v>
      </c>
    </row>
    <row r="178" spans="1:12" ht="15">
      <c r="A178" s="85" t="s">
        <v>2489</v>
      </c>
      <c r="B178" s="89" t="s">
        <v>2478</v>
      </c>
      <c r="C178" s="89">
        <v>86</v>
      </c>
      <c r="D178" s="111">
        <v>0.0017138604185772625</v>
      </c>
      <c r="E178" s="111">
        <v>1.3823103008094544</v>
      </c>
      <c r="F178" s="89" t="s">
        <v>2425</v>
      </c>
      <c r="G178" s="89" t="b">
        <v>0</v>
      </c>
      <c r="H178" s="89" t="b">
        <v>0</v>
      </c>
      <c r="I178" s="89" t="b">
        <v>0</v>
      </c>
      <c r="J178" s="89" t="b">
        <v>0</v>
      </c>
      <c r="K178" s="89" t="b">
        <v>0</v>
      </c>
      <c r="L178" s="89" t="b">
        <v>0</v>
      </c>
    </row>
    <row r="179" spans="1:12" ht="15">
      <c r="A179" s="85" t="s">
        <v>2478</v>
      </c>
      <c r="B179" s="89" t="s">
        <v>2476</v>
      </c>
      <c r="C179" s="89">
        <v>86</v>
      </c>
      <c r="D179" s="111">
        <v>0.0017138604185772625</v>
      </c>
      <c r="E179" s="111">
        <v>1.3823103008094544</v>
      </c>
      <c r="F179" s="89" t="s">
        <v>2425</v>
      </c>
      <c r="G179" s="89" t="b">
        <v>0</v>
      </c>
      <c r="H179" s="89" t="b">
        <v>0</v>
      </c>
      <c r="I179" s="89" t="b">
        <v>0</v>
      </c>
      <c r="J179" s="89" t="b">
        <v>0</v>
      </c>
      <c r="K179" s="89" t="b">
        <v>0</v>
      </c>
      <c r="L179" s="89" t="b">
        <v>0</v>
      </c>
    </row>
    <row r="180" spans="1:12" ht="15">
      <c r="A180" s="85" t="s">
        <v>2476</v>
      </c>
      <c r="B180" s="89" t="s">
        <v>591</v>
      </c>
      <c r="C180" s="89">
        <v>86</v>
      </c>
      <c r="D180" s="111">
        <v>0.0017138604185772625</v>
      </c>
      <c r="E180" s="111">
        <v>0.7764792772621485</v>
      </c>
      <c r="F180" s="89" t="s">
        <v>2425</v>
      </c>
      <c r="G180" s="89" t="b">
        <v>0</v>
      </c>
      <c r="H180" s="89" t="b">
        <v>0</v>
      </c>
      <c r="I180" s="89" t="b">
        <v>0</v>
      </c>
      <c r="J180" s="89" t="b">
        <v>0</v>
      </c>
      <c r="K180" s="89" t="b">
        <v>0</v>
      </c>
      <c r="L180" s="89" t="b">
        <v>0</v>
      </c>
    </row>
    <row r="181" spans="1:12" ht="15">
      <c r="A181" s="85" t="s">
        <v>591</v>
      </c>
      <c r="B181" s="89" t="s">
        <v>2475</v>
      </c>
      <c r="C181" s="89">
        <v>86</v>
      </c>
      <c r="D181" s="111">
        <v>0.0017138604185772625</v>
      </c>
      <c r="E181" s="111">
        <v>0.47670265759626435</v>
      </c>
      <c r="F181" s="89" t="s">
        <v>2425</v>
      </c>
      <c r="G181" s="89" t="b">
        <v>0</v>
      </c>
      <c r="H181" s="89" t="b">
        <v>0</v>
      </c>
      <c r="I181" s="89" t="b">
        <v>0</v>
      </c>
      <c r="J181" s="89" t="b">
        <v>0</v>
      </c>
      <c r="K181" s="89" t="b">
        <v>0</v>
      </c>
      <c r="L181" s="89" t="b">
        <v>0</v>
      </c>
    </row>
    <row r="182" spans="1:12" ht="15">
      <c r="A182" s="85" t="s">
        <v>2475</v>
      </c>
      <c r="B182" s="89" t="s">
        <v>2490</v>
      </c>
      <c r="C182" s="89">
        <v>86</v>
      </c>
      <c r="D182" s="111">
        <v>0.0017138604185772625</v>
      </c>
      <c r="E182" s="111">
        <v>1.0812803051454731</v>
      </c>
      <c r="F182" s="89" t="s">
        <v>2425</v>
      </c>
      <c r="G182" s="89" t="b">
        <v>0</v>
      </c>
      <c r="H182" s="89" t="b">
        <v>0</v>
      </c>
      <c r="I182" s="89" t="b">
        <v>0</v>
      </c>
      <c r="J182" s="89" t="b">
        <v>0</v>
      </c>
      <c r="K182" s="89" t="b">
        <v>0</v>
      </c>
      <c r="L182" s="89" t="b">
        <v>0</v>
      </c>
    </row>
    <row r="183" spans="1:12" ht="15">
      <c r="A183" s="85" t="s">
        <v>2490</v>
      </c>
      <c r="B183" s="89" t="s">
        <v>2491</v>
      </c>
      <c r="C183" s="89">
        <v>86</v>
      </c>
      <c r="D183" s="111">
        <v>0.0017138604185772625</v>
      </c>
      <c r="E183" s="111">
        <v>1.3823103008094544</v>
      </c>
      <c r="F183" s="89" t="s">
        <v>2425</v>
      </c>
      <c r="G183" s="89" t="b">
        <v>0</v>
      </c>
      <c r="H183" s="89" t="b">
        <v>0</v>
      </c>
      <c r="I183" s="89" t="b">
        <v>0</v>
      </c>
      <c r="J183" s="89" t="b">
        <v>0</v>
      </c>
      <c r="K183" s="89" t="b">
        <v>0</v>
      </c>
      <c r="L183" s="89" t="b">
        <v>0</v>
      </c>
    </row>
    <row r="184" spans="1:12" ht="15">
      <c r="A184" s="85" t="s">
        <v>2491</v>
      </c>
      <c r="B184" s="89" t="s">
        <v>591</v>
      </c>
      <c r="C184" s="89">
        <v>86</v>
      </c>
      <c r="D184" s="111">
        <v>0.0017138604185772625</v>
      </c>
      <c r="E184" s="111">
        <v>0.7764792772621485</v>
      </c>
      <c r="F184" s="89" t="s">
        <v>2425</v>
      </c>
      <c r="G184" s="89" t="b">
        <v>0</v>
      </c>
      <c r="H184" s="89" t="b">
        <v>0</v>
      </c>
      <c r="I184" s="89" t="b">
        <v>0</v>
      </c>
      <c r="J184" s="89" t="b">
        <v>0</v>
      </c>
      <c r="K184" s="89" t="b">
        <v>0</v>
      </c>
      <c r="L184" s="89" t="b">
        <v>0</v>
      </c>
    </row>
    <row r="185" spans="1:12" ht="15">
      <c r="A185" s="85" t="s">
        <v>2533</v>
      </c>
      <c r="B185" s="89" t="s">
        <v>2534</v>
      </c>
      <c r="C185" s="89">
        <v>4</v>
      </c>
      <c r="D185" s="111">
        <v>0.0025369545670094703</v>
      </c>
      <c r="E185" s="111">
        <v>2.7147487607250596</v>
      </c>
      <c r="F185" s="89" t="s">
        <v>2425</v>
      </c>
      <c r="G185" s="89" t="b">
        <v>0</v>
      </c>
      <c r="H185" s="89" t="b">
        <v>0</v>
      </c>
      <c r="I185" s="89" t="b">
        <v>0</v>
      </c>
      <c r="J185" s="89" t="b">
        <v>0</v>
      </c>
      <c r="K185" s="89" t="b">
        <v>0</v>
      </c>
      <c r="L185" s="89" t="b">
        <v>0</v>
      </c>
    </row>
    <row r="186" spans="1:12" ht="15">
      <c r="A186" s="85" t="s">
        <v>2534</v>
      </c>
      <c r="B186" s="89" t="s">
        <v>2535</v>
      </c>
      <c r="C186" s="89">
        <v>4</v>
      </c>
      <c r="D186" s="111">
        <v>0.0025369545670094703</v>
      </c>
      <c r="E186" s="111">
        <v>2.7147487607250596</v>
      </c>
      <c r="F186" s="89" t="s">
        <v>2425</v>
      </c>
      <c r="G186" s="89" t="b">
        <v>0</v>
      </c>
      <c r="H186" s="89" t="b">
        <v>0</v>
      </c>
      <c r="I186" s="89" t="b">
        <v>0</v>
      </c>
      <c r="J186" s="89" t="b">
        <v>0</v>
      </c>
      <c r="K186" s="89" t="b">
        <v>0</v>
      </c>
      <c r="L186" s="89" t="b">
        <v>0</v>
      </c>
    </row>
    <row r="187" spans="1:12" ht="15">
      <c r="A187" s="85" t="s">
        <v>2535</v>
      </c>
      <c r="B187" s="89" t="s">
        <v>2536</v>
      </c>
      <c r="C187" s="89">
        <v>4</v>
      </c>
      <c r="D187" s="111">
        <v>0.0025369545670094703</v>
      </c>
      <c r="E187" s="111">
        <v>2.7147487607250596</v>
      </c>
      <c r="F187" s="89" t="s">
        <v>2425</v>
      </c>
      <c r="G187" s="89" t="b">
        <v>0</v>
      </c>
      <c r="H187" s="89" t="b">
        <v>0</v>
      </c>
      <c r="I187" s="89" t="b">
        <v>0</v>
      </c>
      <c r="J187" s="89" t="b">
        <v>0</v>
      </c>
      <c r="K187" s="89" t="b">
        <v>0</v>
      </c>
      <c r="L187" s="89" t="b">
        <v>0</v>
      </c>
    </row>
    <row r="188" spans="1:12" ht="15">
      <c r="A188" s="85" t="s">
        <v>2536</v>
      </c>
      <c r="B188" s="89" t="s">
        <v>479</v>
      </c>
      <c r="C188" s="89">
        <v>4</v>
      </c>
      <c r="D188" s="111">
        <v>0.0025369545670094703</v>
      </c>
      <c r="E188" s="111">
        <v>2.6178387477170033</v>
      </c>
      <c r="F188" s="89" t="s">
        <v>2425</v>
      </c>
      <c r="G188" s="89" t="b">
        <v>0</v>
      </c>
      <c r="H188" s="89" t="b">
        <v>0</v>
      </c>
      <c r="I188" s="89" t="b">
        <v>0</v>
      </c>
      <c r="J188" s="89" t="b">
        <v>0</v>
      </c>
      <c r="K188" s="89" t="b">
        <v>0</v>
      </c>
      <c r="L188" s="89" t="b">
        <v>0</v>
      </c>
    </row>
    <row r="189" spans="1:12" ht="15">
      <c r="A189" s="85" t="s">
        <v>479</v>
      </c>
      <c r="B189" s="89" t="s">
        <v>2537</v>
      </c>
      <c r="C189" s="89">
        <v>4</v>
      </c>
      <c r="D189" s="111">
        <v>0.0025369545670094703</v>
      </c>
      <c r="E189" s="111">
        <v>2.3625662426136973</v>
      </c>
      <c r="F189" s="89" t="s">
        <v>2425</v>
      </c>
      <c r="G189" s="89" t="b">
        <v>0</v>
      </c>
      <c r="H189" s="89" t="b">
        <v>0</v>
      </c>
      <c r="I189" s="89" t="b">
        <v>0</v>
      </c>
      <c r="J189" s="89" t="b">
        <v>0</v>
      </c>
      <c r="K189" s="89" t="b">
        <v>0</v>
      </c>
      <c r="L189" s="89" t="b">
        <v>0</v>
      </c>
    </row>
    <row r="190" spans="1:12" ht="15">
      <c r="A190" s="85" t="s">
        <v>2537</v>
      </c>
      <c r="B190" s="89" t="s">
        <v>2531</v>
      </c>
      <c r="C190" s="89">
        <v>4</v>
      </c>
      <c r="D190" s="111">
        <v>0.0025369545670094703</v>
      </c>
      <c r="E190" s="111">
        <v>2.7147487607250596</v>
      </c>
      <c r="F190" s="89" t="s">
        <v>2425</v>
      </c>
      <c r="G190" s="89" t="b">
        <v>0</v>
      </c>
      <c r="H190" s="89" t="b">
        <v>0</v>
      </c>
      <c r="I190" s="89" t="b">
        <v>0</v>
      </c>
      <c r="J190" s="89" t="b">
        <v>0</v>
      </c>
      <c r="K190" s="89" t="b">
        <v>0</v>
      </c>
      <c r="L190" s="89" t="b">
        <v>0</v>
      </c>
    </row>
    <row r="191" spans="1:12" ht="15">
      <c r="A191" s="85" t="s">
        <v>2531</v>
      </c>
      <c r="B191" s="89" t="s">
        <v>2538</v>
      </c>
      <c r="C191" s="89">
        <v>4</v>
      </c>
      <c r="D191" s="111">
        <v>0.0025369545670094703</v>
      </c>
      <c r="E191" s="111">
        <v>2.7147487607250596</v>
      </c>
      <c r="F191" s="89" t="s">
        <v>2425</v>
      </c>
      <c r="G191" s="89" t="b">
        <v>0</v>
      </c>
      <c r="H191" s="89" t="b">
        <v>0</v>
      </c>
      <c r="I191" s="89" t="b">
        <v>0</v>
      </c>
      <c r="J191" s="89" t="b">
        <v>0</v>
      </c>
      <c r="K191" s="89" t="b">
        <v>0</v>
      </c>
      <c r="L191" s="89" t="b">
        <v>0</v>
      </c>
    </row>
    <row r="192" spans="1:12" ht="15">
      <c r="A192" s="85" t="s">
        <v>2538</v>
      </c>
      <c r="B192" s="89" t="s">
        <v>2519</v>
      </c>
      <c r="C192" s="89">
        <v>4</v>
      </c>
      <c r="D192" s="111">
        <v>0.0025369545670094703</v>
      </c>
      <c r="E192" s="111">
        <v>2.5386575016693786</v>
      </c>
      <c r="F192" s="89" t="s">
        <v>2425</v>
      </c>
      <c r="G192" s="89" t="b">
        <v>0</v>
      </c>
      <c r="H192" s="89" t="b">
        <v>0</v>
      </c>
      <c r="I192" s="89" t="b">
        <v>0</v>
      </c>
      <c r="J192" s="89" t="b">
        <v>0</v>
      </c>
      <c r="K192" s="89" t="b">
        <v>0</v>
      </c>
      <c r="L192" s="89" t="b">
        <v>0</v>
      </c>
    </row>
    <row r="193" spans="1:12" ht="15">
      <c r="A193" s="85" t="s">
        <v>2519</v>
      </c>
      <c r="B193" s="89" t="s">
        <v>2524</v>
      </c>
      <c r="C193" s="89">
        <v>4</v>
      </c>
      <c r="D193" s="111">
        <v>0.0025369545670094703</v>
      </c>
      <c r="E193" s="111">
        <v>2.5386575016693786</v>
      </c>
      <c r="F193" s="89" t="s">
        <v>2425</v>
      </c>
      <c r="G193" s="89" t="b">
        <v>0</v>
      </c>
      <c r="H193" s="89" t="b">
        <v>0</v>
      </c>
      <c r="I193" s="89" t="b">
        <v>0</v>
      </c>
      <c r="J193" s="89" t="b">
        <v>0</v>
      </c>
      <c r="K193" s="89" t="b">
        <v>0</v>
      </c>
      <c r="L193" s="89" t="b">
        <v>0</v>
      </c>
    </row>
    <row r="194" spans="1:12" ht="15">
      <c r="A194" s="85" t="s">
        <v>2524</v>
      </c>
      <c r="B194" s="89" t="s">
        <v>2539</v>
      </c>
      <c r="C194" s="89">
        <v>4</v>
      </c>
      <c r="D194" s="111">
        <v>0.0025369545670094703</v>
      </c>
      <c r="E194" s="111">
        <v>2.7147487607250596</v>
      </c>
      <c r="F194" s="89" t="s">
        <v>2425</v>
      </c>
      <c r="G194" s="89" t="b">
        <v>0</v>
      </c>
      <c r="H194" s="89" t="b">
        <v>0</v>
      </c>
      <c r="I194" s="89" t="b">
        <v>0</v>
      </c>
      <c r="J194" s="89" t="b">
        <v>0</v>
      </c>
      <c r="K194" s="89" t="b">
        <v>0</v>
      </c>
      <c r="L194" s="89" t="b">
        <v>0</v>
      </c>
    </row>
    <row r="195" spans="1:12" ht="15">
      <c r="A195" s="85" t="s">
        <v>2539</v>
      </c>
      <c r="B195" s="89" t="s">
        <v>2540</v>
      </c>
      <c r="C195" s="89">
        <v>4</v>
      </c>
      <c r="D195" s="111">
        <v>0.0025369545670094703</v>
      </c>
      <c r="E195" s="111">
        <v>2.7147487607250596</v>
      </c>
      <c r="F195" s="89" t="s">
        <v>2425</v>
      </c>
      <c r="G195" s="89" t="b">
        <v>0</v>
      </c>
      <c r="H195" s="89" t="b">
        <v>0</v>
      </c>
      <c r="I195" s="89" t="b">
        <v>0</v>
      </c>
      <c r="J195" s="89" t="b">
        <v>0</v>
      </c>
      <c r="K195" s="89" t="b">
        <v>0</v>
      </c>
      <c r="L195" s="89" t="b">
        <v>0</v>
      </c>
    </row>
    <row r="196" spans="1:12" ht="15">
      <c r="A196" s="85" t="s">
        <v>2540</v>
      </c>
      <c r="B196" s="89" t="s">
        <v>2541</v>
      </c>
      <c r="C196" s="89">
        <v>4</v>
      </c>
      <c r="D196" s="111">
        <v>0.0025369545670094703</v>
      </c>
      <c r="E196" s="111">
        <v>2.7147487607250596</v>
      </c>
      <c r="F196" s="89" t="s">
        <v>2425</v>
      </c>
      <c r="G196" s="89" t="b">
        <v>0</v>
      </c>
      <c r="H196" s="89" t="b">
        <v>0</v>
      </c>
      <c r="I196" s="89" t="b">
        <v>0</v>
      </c>
      <c r="J196" s="89" t="b">
        <v>0</v>
      </c>
      <c r="K196" s="89" t="b">
        <v>0</v>
      </c>
      <c r="L196" s="89" t="b">
        <v>0</v>
      </c>
    </row>
    <row r="197" spans="1:12" ht="15">
      <c r="A197" s="85" t="s">
        <v>2541</v>
      </c>
      <c r="B197" s="89" t="s">
        <v>2542</v>
      </c>
      <c r="C197" s="89">
        <v>4</v>
      </c>
      <c r="D197" s="111">
        <v>0.0025369545670094703</v>
      </c>
      <c r="E197" s="111">
        <v>2.7147487607250596</v>
      </c>
      <c r="F197" s="89" t="s">
        <v>2425</v>
      </c>
      <c r="G197" s="89" t="b">
        <v>0</v>
      </c>
      <c r="H197" s="89" t="b">
        <v>0</v>
      </c>
      <c r="I197" s="89" t="b">
        <v>0</v>
      </c>
      <c r="J197" s="89" t="b">
        <v>0</v>
      </c>
      <c r="K197" s="89" t="b">
        <v>0</v>
      </c>
      <c r="L197" s="89" t="b">
        <v>0</v>
      </c>
    </row>
    <row r="198" spans="1:12" ht="15">
      <c r="A198" s="85" t="s">
        <v>2542</v>
      </c>
      <c r="B198" s="89" t="s">
        <v>2543</v>
      </c>
      <c r="C198" s="89">
        <v>4</v>
      </c>
      <c r="D198" s="111">
        <v>0.0025369545670094703</v>
      </c>
      <c r="E198" s="111">
        <v>2.7147487607250596</v>
      </c>
      <c r="F198" s="89" t="s">
        <v>2425</v>
      </c>
      <c r="G198" s="89" t="b">
        <v>0</v>
      </c>
      <c r="H198" s="89" t="b">
        <v>0</v>
      </c>
      <c r="I198" s="89" t="b">
        <v>0</v>
      </c>
      <c r="J198" s="89" t="b">
        <v>0</v>
      </c>
      <c r="K198" s="89" t="b">
        <v>0</v>
      </c>
      <c r="L198" s="89" t="b">
        <v>0</v>
      </c>
    </row>
    <row r="199" spans="1:12" ht="15">
      <c r="A199" s="85" t="s">
        <v>2543</v>
      </c>
      <c r="B199" s="89" t="s">
        <v>2544</v>
      </c>
      <c r="C199" s="89">
        <v>4</v>
      </c>
      <c r="D199" s="111">
        <v>0.0025369545670094703</v>
      </c>
      <c r="E199" s="111">
        <v>2.7147487607250596</v>
      </c>
      <c r="F199" s="89" t="s">
        <v>2425</v>
      </c>
      <c r="G199" s="89" t="b">
        <v>0</v>
      </c>
      <c r="H199" s="89" t="b">
        <v>0</v>
      </c>
      <c r="I199" s="89" t="b">
        <v>0</v>
      </c>
      <c r="J199" s="89" t="b">
        <v>0</v>
      </c>
      <c r="K199" s="89" t="b">
        <v>0</v>
      </c>
      <c r="L199" s="89" t="b">
        <v>0</v>
      </c>
    </row>
    <row r="200" spans="1:12" ht="15">
      <c r="A200" s="85" t="s">
        <v>591</v>
      </c>
      <c r="B200" s="89" t="s">
        <v>2474</v>
      </c>
      <c r="C200" s="89">
        <v>75</v>
      </c>
      <c r="D200" s="111">
        <v>0.0017777724053348143</v>
      </c>
      <c r="E200" s="111">
        <v>0.7071644829512904</v>
      </c>
      <c r="F200" s="89" t="s">
        <v>2426</v>
      </c>
      <c r="G200" s="89" t="b">
        <v>0</v>
      </c>
      <c r="H200" s="89" t="b">
        <v>0</v>
      </c>
      <c r="I200" s="89" t="b">
        <v>0</v>
      </c>
      <c r="J200" s="89" t="b">
        <v>0</v>
      </c>
      <c r="K200" s="89" t="b">
        <v>0</v>
      </c>
      <c r="L200" s="89" t="b">
        <v>0</v>
      </c>
    </row>
    <row r="201" spans="1:12" ht="15">
      <c r="A201" s="85" t="s">
        <v>2474</v>
      </c>
      <c r="B201" s="89" t="s">
        <v>2494</v>
      </c>
      <c r="C201" s="89">
        <v>68</v>
      </c>
      <c r="D201" s="111">
        <v>0.00497440413880938</v>
      </c>
      <c r="E201" s="111">
        <v>0.7741112725819036</v>
      </c>
      <c r="F201" s="89" t="s">
        <v>2426</v>
      </c>
      <c r="G201" s="89" t="b">
        <v>0</v>
      </c>
      <c r="H201" s="89" t="b">
        <v>0</v>
      </c>
      <c r="I201" s="89" t="b">
        <v>0</v>
      </c>
      <c r="J201" s="89" t="b">
        <v>0</v>
      </c>
      <c r="K201" s="89" t="b">
        <v>0</v>
      </c>
      <c r="L201" s="89" t="b">
        <v>0</v>
      </c>
    </row>
    <row r="202" spans="1:12" ht="15">
      <c r="A202" s="85" t="s">
        <v>2494</v>
      </c>
      <c r="B202" s="89" t="s">
        <v>2492</v>
      </c>
      <c r="C202" s="89">
        <v>68</v>
      </c>
      <c r="D202" s="111">
        <v>0.00497440413880938</v>
      </c>
      <c r="E202" s="111">
        <v>0.7989348563069357</v>
      </c>
      <c r="F202" s="89" t="s">
        <v>2426</v>
      </c>
      <c r="G202" s="89" t="b">
        <v>0</v>
      </c>
      <c r="H202" s="89" t="b">
        <v>0</v>
      </c>
      <c r="I202" s="89" t="b">
        <v>0</v>
      </c>
      <c r="J202" s="89" t="b">
        <v>0</v>
      </c>
      <c r="K202" s="89" t="b">
        <v>0</v>
      </c>
      <c r="L202" s="89" t="b">
        <v>0</v>
      </c>
    </row>
    <row r="203" spans="1:12" ht="15">
      <c r="A203" s="85" t="s">
        <v>2492</v>
      </c>
      <c r="B203" s="89" t="s">
        <v>2495</v>
      </c>
      <c r="C203" s="89">
        <v>68</v>
      </c>
      <c r="D203" s="111">
        <v>0.00497440413880938</v>
      </c>
      <c r="E203" s="111">
        <v>0.7989348563069357</v>
      </c>
      <c r="F203" s="89" t="s">
        <v>2426</v>
      </c>
      <c r="G203" s="89" t="b">
        <v>0</v>
      </c>
      <c r="H203" s="89" t="b">
        <v>0</v>
      </c>
      <c r="I203" s="89" t="b">
        <v>0</v>
      </c>
      <c r="J203" s="89" t="b">
        <v>0</v>
      </c>
      <c r="K203" s="89" t="b">
        <v>0</v>
      </c>
      <c r="L203" s="89" t="b">
        <v>0</v>
      </c>
    </row>
    <row r="204" spans="1:12" ht="15">
      <c r="A204" s="85" t="s">
        <v>2495</v>
      </c>
      <c r="B204" s="89" t="s">
        <v>2493</v>
      </c>
      <c r="C204" s="89">
        <v>68</v>
      </c>
      <c r="D204" s="111">
        <v>0.00497440413880938</v>
      </c>
      <c r="E204" s="111">
        <v>0.7989348563069357</v>
      </c>
      <c r="F204" s="89" t="s">
        <v>2426</v>
      </c>
      <c r="G204" s="89" t="b">
        <v>0</v>
      </c>
      <c r="H204" s="89" t="b">
        <v>0</v>
      </c>
      <c r="I204" s="89" t="b">
        <v>0</v>
      </c>
      <c r="J204" s="89" t="b">
        <v>0</v>
      </c>
      <c r="K204" s="89" t="b">
        <v>0</v>
      </c>
      <c r="L204" s="89" t="b">
        <v>0</v>
      </c>
    </row>
    <row r="205" spans="1:12" ht="15">
      <c r="A205" s="85" t="s">
        <v>2479</v>
      </c>
      <c r="B205" s="89" t="s">
        <v>2480</v>
      </c>
      <c r="C205" s="89">
        <v>3</v>
      </c>
      <c r="D205" s="111">
        <v>0.008319385249071597</v>
      </c>
      <c r="E205" s="111">
        <v>2.1543225142935096</v>
      </c>
      <c r="F205" s="89" t="s">
        <v>2426</v>
      </c>
      <c r="G205" s="89" t="b">
        <v>0</v>
      </c>
      <c r="H205" s="89" t="b">
        <v>0</v>
      </c>
      <c r="I205" s="89" t="b">
        <v>0</v>
      </c>
      <c r="J205" s="89" t="b">
        <v>0</v>
      </c>
      <c r="K205" s="89" t="b">
        <v>0</v>
      </c>
      <c r="L205" s="89" t="b">
        <v>0</v>
      </c>
    </row>
    <row r="206" spans="1:12" ht="15">
      <c r="A206" s="85" t="s">
        <v>2480</v>
      </c>
      <c r="B206" s="89" t="s">
        <v>2481</v>
      </c>
      <c r="C206" s="89">
        <v>3</v>
      </c>
      <c r="D206" s="111">
        <v>0.008319385249071597</v>
      </c>
      <c r="E206" s="111">
        <v>2.1543225142935096</v>
      </c>
      <c r="F206" s="89" t="s">
        <v>2426</v>
      </c>
      <c r="G206" s="89" t="b">
        <v>0</v>
      </c>
      <c r="H206" s="89" t="b">
        <v>0</v>
      </c>
      <c r="I206" s="89" t="b">
        <v>0</v>
      </c>
      <c r="J206" s="89" t="b">
        <v>0</v>
      </c>
      <c r="K206" s="89" t="b">
        <v>0</v>
      </c>
      <c r="L206" s="89" t="b">
        <v>0</v>
      </c>
    </row>
    <row r="207" spans="1:12" ht="15">
      <c r="A207" s="85" t="s">
        <v>2481</v>
      </c>
      <c r="B207" s="89" t="s">
        <v>2475</v>
      </c>
      <c r="C207" s="89">
        <v>3</v>
      </c>
      <c r="D207" s="111">
        <v>0.008319385249071597</v>
      </c>
      <c r="E207" s="111">
        <v>1.8532925186295284</v>
      </c>
      <c r="F207" s="89" t="s">
        <v>2426</v>
      </c>
      <c r="G207" s="89" t="b">
        <v>0</v>
      </c>
      <c r="H207" s="89" t="b">
        <v>0</v>
      </c>
      <c r="I207" s="89" t="b">
        <v>0</v>
      </c>
      <c r="J207" s="89" t="b">
        <v>0</v>
      </c>
      <c r="K207" s="89" t="b">
        <v>0</v>
      </c>
      <c r="L207" s="89" t="b">
        <v>0</v>
      </c>
    </row>
    <row r="208" spans="1:12" ht="15">
      <c r="A208" s="85" t="s">
        <v>2475</v>
      </c>
      <c r="B208" s="89" t="s">
        <v>2482</v>
      </c>
      <c r="C208" s="89">
        <v>3</v>
      </c>
      <c r="D208" s="111">
        <v>0.008319385249071597</v>
      </c>
      <c r="E208" s="111">
        <v>1.8532925186295284</v>
      </c>
      <c r="F208" s="89" t="s">
        <v>2426</v>
      </c>
      <c r="G208" s="89" t="b">
        <v>0</v>
      </c>
      <c r="H208" s="89" t="b">
        <v>0</v>
      </c>
      <c r="I208" s="89" t="b">
        <v>0</v>
      </c>
      <c r="J208" s="89" t="b">
        <v>0</v>
      </c>
      <c r="K208" s="89" t="b">
        <v>0</v>
      </c>
      <c r="L208" s="89" t="b">
        <v>0</v>
      </c>
    </row>
    <row r="209" spans="1:12" ht="15">
      <c r="A209" s="85" t="s">
        <v>2482</v>
      </c>
      <c r="B209" s="89" t="s">
        <v>2483</v>
      </c>
      <c r="C209" s="89">
        <v>3</v>
      </c>
      <c r="D209" s="111">
        <v>0.008319385249071597</v>
      </c>
      <c r="E209" s="111">
        <v>2.1543225142935096</v>
      </c>
      <c r="F209" s="89" t="s">
        <v>2426</v>
      </c>
      <c r="G209" s="89" t="b">
        <v>0</v>
      </c>
      <c r="H209" s="89" t="b">
        <v>0</v>
      </c>
      <c r="I209" s="89" t="b">
        <v>0</v>
      </c>
      <c r="J209" s="89" t="b">
        <v>0</v>
      </c>
      <c r="K209" s="89" t="b">
        <v>0</v>
      </c>
      <c r="L209" s="89" t="b">
        <v>0</v>
      </c>
    </row>
    <row r="210" spans="1:12" ht="15">
      <c r="A210" s="85" t="s">
        <v>2483</v>
      </c>
      <c r="B210" s="89" t="s">
        <v>2484</v>
      </c>
      <c r="C210" s="89">
        <v>3</v>
      </c>
      <c r="D210" s="111">
        <v>0.008319385249071597</v>
      </c>
      <c r="E210" s="111">
        <v>2.1543225142935096</v>
      </c>
      <c r="F210" s="89" t="s">
        <v>2426</v>
      </c>
      <c r="G210" s="89" t="b">
        <v>0</v>
      </c>
      <c r="H210" s="89" t="b">
        <v>0</v>
      </c>
      <c r="I210" s="89" t="b">
        <v>0</v>
      </c>
      <c r="J210" s="89" t="b">
        <v>0</v>
      </c>
      <c r="K210" s="89" t="b">
        <v>0</v>
      </c>
      <c r="L210" s="89" t="b">
        <v>0</v>
      </c>
    </row>
    <row r="211" spans="1:12" ht="15">
      <c r="A211" s="85" t="s">
        <v>2484</v>
      </c>
      <c r="B211" s="89" t="s">
        <v>2485</v>
      </c>
      <c r="C211" s="89">
        <v>3</v>
      </c>
      <c r="D211" s="111">
        <v>0.008319385249071597</v>
      </c>
      <c r="E211" s="111">
        <v>2.1543225142935096</v>
      </c>
      <c r="F211" s="89" t="s">
        <v>2426</v>
      </c>
      <c r="G211" s="89" t="b">
        <v>0</v>
      </c>
      <c r="H211" s="89" t="b">
        <v>0</v>
      </c>
      <c r="I211" s="89" t="b">
        <v>0</v>
      </c>
      <c r="J211" s="89" t="b">
        <v>0</v>
      </c>
      <c r="K211" s="89" t="b">
        <v>0</v>
      </c>
      <c r="L211" s="89" t="b">
        <v>0</v>
      </c>
    </row>
    <row r="212" spans="1:12" ht="15">
      <c r="A212" s="85" t="s">
        <v>2485</v>
      </c>
      <c r="B212" s="89" t="s">
        <v>2486</v>
      </c>
      <c r="C212" s="89">
        <v>3</v>
      </c>
      <c r="D212" s="111">
        <v>0.008319385249071597</v>
      </c>
      <c r="E212" s="111">
        <v>2.1543225142935096</v>
      </c>
      <c r="F212" s="89" t="s">
        <v>2426</v>
      </c>
      <c r="G212" s="89" t="b">
        <v>0</v>
      </c>
      <c r="H212" s="89" t="b">
        <v>0</v>
      </c>
      <c r="I212" s="89" t="b">
        <v>0</v>
      </c>
      <c r="J212" s="89" t="b">
        <v>0</v>
      </c>
      <c r="K212" s="89" t="b">
        <v>0</v>
      </c>
      <c r="L212" s="89" t="b">
        <v>0</v>
      </c>
    </row>
    <row r="213" spans="1:12" ht="15">
      <c r="A213" s="85" t="s">
        <v>2486</v>
      </c>
      <c r="B213" s="89" t="s">
        <v>591</v>
      </c>
      <c r="C213" s="89">
        <v>3</v>
      </c>
      <c r="D213" s="111">
        <v>0.008319385249071597</v>
      </c>
      <c r="E213" s="111">
        <v>1.4273237863572472</v>
      </c>
      <c r="F213" s="89" t="s">
        <v>2426</v>
      </c>
      <c r="G213" s="89" t="b">
        <v>0</v>
      </c>
      <c r="H213" s="89" t="b">
        <v>0</v>
      </c>
      <c r="I213" s="89" t="b">
        <v>0</v>
      </c>
      <c r="J213" s="89" t="b">
        <v>0</v>
      </c>
      <c r="K213" s="89" t="b">
        <v>0</v>
      </c>
      <c r="L213" s="89" t="b">
        <v>0</v>
      </c>
    </row>
    <row r="214" spans="1:12" ht="15">
      <c r="A214" s="85" t="s">
        <v>2474</v>
      </c>
      <c r="B214" s="89" t="s">
        <v>2477</v>
      </c>
      <c r="C214" s="89">
        <v>3</v>
      </c>
      <c r="D214" s="111">
        <v>0.008319385249071597</v>
      </c>
      <c r="E214" s="111">
        <v>0.7741112725819036</v>
      </c>
      <c r="F214" s="89" t="s">
        <v>2426</v>
      </c>
      <c r="G214" s="89" t="b">
        <v>0</v>
      </c>
      <c r="H214" s="89" t="b">
        <v>0</v>
      </c>
      <c r="I214" s="89" t="b">
        <v>0</v>
      </c>
      <c r="J214" s="89" t="b">
        <v>0</v>
      </c>
      <c r="K214" s="89" t="b">
        <v>0</v>
      </c>
      <c r="L214" s="89" t="b">
        <v>0</v>
      </c>
    </row>
    <row r="215" spans="1:12" ht="15">
      <c r="A215" s="85" t="s">
        <v>2477</v>
      </c>
      <c r="B215" s="89" t="s">
        <v>591</v>
      </c>
      <c r="C215" s="89">
        <v>3</v>
      </c>
      <c r="D215" s="111">
        <v>0.008319385249071597</v>
      </c>
      <c r="E215" s="111">
        <v>1.4273237863572472</v>
      </c>
      <c r="F215" s="89" t="s">
        <v>2426</v>
      </c>
      <c r="G215" s="89" t="b">
        <v>0</v>
      </c>
      <c r="H215" s="89" t="b">
        <v>0</v>
      </c>
      <c r="I215" s="89" t="b">
        <v>0</v>
      </c>
      <c r="J215" s="89" t="b">
        <v>0</v>
      </c>
      <c r="K215" s="89" t="b">
        <v>0</v>
      </c>
      <c r="L215" s="89" t="b">
        <v>0</v>
      </c>
    </row>
    <row r="216" spans="1:12" ht="15">
      <c r="A216" s="85" t="s">
        <v>591</v>
      </c>
      <c r="B216" s="89" t="s">
        <v>2487</v>
      </c>
      <c r="C216" s="89">
        <v>3</v>
      </c>
      <c r="D216" s="111">
        <v>0.008319385249071597</v>
      </c>
      <c r="E216" s="111">
        <v>0.7071644829512904</v>
      </c>
      <c r="F216" s="89" t="s">
        <v>2426</v>
      </c>
      <c r="G216" s="89" t="b">
        <v>0</v>
      </c>
      <c r="H216" s="89" t="b">
        <v>0</v>
      </c>
      <c r="I216" s="89" t="b">
        <v>0</v>
      </c>
      <c r="J216" s="89" t="b">
        <v>0</v>
      </c>
      <c r="K216" s="89" t="b">
        <v>0</v>
      </c>
      <c r="L216" s="89" t="b">
        <v>0</v>
      </c>
    </row>
    <row r="217" spans="1:12" ht="15">
      <c r="A217" s="85" t="s">
        <v>2487</v>
      </c>
      <c r="B217" s="89" t="s">
        <v>2488</v>
      </c>
      <c r="C217" s="89">
        <v>3</v>
      </c>
      <c r="D217" s="111">
        <v>0.008319385249071597</v>
      </c>
      <c r="E217" s="111">
        <v>2.1543225142935096</v>
      </c>
      <c r="F217" s="89" t="s">
        <v>2426</v>
      </c>
      <c r="G217" s="89" t="b">
        <v>0</v>
      </c>
      <c r="H217" s="89" t="b">
        <v>0</v>
      </c>
      <c r="I217" s="89" t="b">
        <v>0</v>
      </c>
      <c r="J217" s="89" t="b">
        <v>0</v>
      </c>
      <c r="K217" s="89" t="b">
        <v>0</v>
      </c>
      <c r="L217" s="89" t="b">
        <v>0</v>
      </c>
    </row>
    <row r="218" spans="1:12" ht="15">
      <c r="A218" s="85" t="s">
        <v>2488</v>
      </c>
      <c r="B218" s="89" t="s">
        <v>2489</v>
      </c>
      <c r="C218" s="89">
        <v>3</v>
      </c>
      <c r="D218" s="111">
        <v>0.008319385249071597</v>
      </c>
      <c r="E218" s="111">
        <v>2.1543225142935096</v>
      </c>
      <c r="F218" s="89" t="s">
        <v>2426</v>
      </c>
      <c r="G218" s="89" t="b">
        <v>0</v>
      </c>
      <c r="H218" s="89" t="b">
        <v>0</v>
      </c>
      <c r="I218" s="89" t="b">
        <v>0</v>
      </c>
      <c r="J218" s="89" t="b">
        <v>0</v>
      </c>
      <c r="K218" s="89" t="b">
        <v>0</v>
      </c>
      <c r="L218" s="89" t="b">
        <v>0</v>
      </c>
    </row>
    <row r="219" spans="1:12" ht="15">
      <c r="A219" s="85" t="s">
        <v>2489</v>
      </c>
      <c r="B219" s="89" t="s">
        <v>2478</v>
      </c>
      <c r="C219" s="89">
        <v>3</v>
      </c>
      <c r="D219" s="111">
        <v>0.008319385249071597</v>
      </c>
      <c r="E219" s="111">
        <v>2.1543225142935096</v>
      </c>
      <c r="F219" s="89" t="s">
        <v>2426</v>
      </c>
      <c r="G219" s="89" t="b">
        <v>0</v>
      </c>
      <c r="H219" s="89" t="b">
        <v>0</v>
      </c>
      <c r="I219" s="89" t="b">
        <v>0</v>
      </c>
      <c r="J219" s="89" t="b">
        <v>0</v>
      </c>
      <c r="K219" s="89" t="b">
        <v>0</v>
      </c>
      <c r="L219" s="89" t="b">
        <v>0</v>
      </c>
    </row>
    <row r="220" spans="1:12" ht="15">
      <c r="A220" s="85" t="s">
        <v>2478</v>
      </c>
      <c r="B220" s="89" t="s">
        <v>2476</v>
      </c>
      <c r="C220" s="89">
        <v>3</v>
      </c>
      <c r="D220" s="111">
        <v>0.008319385249071597</v>
      </c>
      <c r="E220" s="111">
        <v>2.1543225142935096</v>
      </c>
      <c r="F220" s="89" t="s">
        <v>2426</v>
      </c>
      <c r="G220" s="89" t="b">
        <v>0</v>
      </c>
      <c r="H220" s="89" t="b">
        <v>0</v>
      </c>
      <c r="I220" s="89" t="b">
        <v>0</v>
      </c>
      <c r="J220" s="89" t="b">
        <v>0</v>
      </c>
      <c r="K220" s="89" t="b">
        <v>0</v>
      </c>
      <c r="L220" s="89" t="b">
        <v>0</v>
      </c>
    </row>
    <row r="221" spans="1:12" ht="15">
      <c r="A221" s="85" t="s">
        <v>2476</v>
      </c>
      <c r="B221" s="89" t="s">
        <v>591</v>
      </c>
      <c r="C221" s="89">
        <v>3</v>
      </c>
      <c r="D221" s="111">
        <v>0.008319385249071597</v>
      </c>
      <c r="E221" s="111">
        <v>1.4273237863572472</v>
      </c>
      <c r="F221" s="89" t="s">
        <v>2426</v>
      </c>
      <c r="G221" s="89" t="b">
        <v>0</v>
      </c>
      <c r="H221" s="89" t="b">
        <v>0</v>
      </c>
      <c r="I221" s="89" t="b">
        <v>0</v>
      </c>
      <c r="J221" s="89" t="b">
        <v>0</v>
      </c>
      <c r="K221" s="89" t="b">
        <v>0</v>
      </c>
      <c r="L221" s="89" t="b">
        <v>0</v>
      </c>
    </row>
    <row r="222" spans="1:12" ht="15">
      <c r="A222" s="85" t="s">
        <v>591</v>
      </c>
      <c r="B222" s="89" t="s">
        <v>2475</v>
      </c>
      <c r="C222" s="89">
        <v>3</v>
      </c>
      <c r="D222" s="111">
        <v>0.008319385249071597</v>
      </c>
      <c r="E222" s="111">
        <v>0.4061344872873092</v>
      </c>
      <c r="F222" s="89" t="s">
        <v>2426</v>
      </c>
      <c r="G222" s="89" t="b">
        <v>0</v>
      </c>
      <c r="H222" s="89" t="b">
        <v>0</v>
      </c>
      <c r="I222" s="89" t="b">
        <v>0</v>
      </c>
      <c r="J222" s="89" t="b">
        <v>0</v>
      </c>
      <c r="K222" s="89" t="b">
        <v>0</v>
      </c>
      <c r="L222" s="89" t="b">
        <v>0</v>
      </c>
    </row>
    <row r="223" spans="1:12" ht="15">
      <c r="A223" s="85" t="s">
        <v>2475</v>
      </c>
      <c r="B223" s="89" t="s">
        <v>2490</v>
      </c>
      <c r="C223" s="89">
        <v>3</v>
      </c>
      <c r="D223" s="111">
        <v>0.008319385249071597</v>
      </c>
      <c r="E223" s="111">
        <v>1.8532925186295284</v>
      </c>
      <c r="F223" s="89" t="s">
        <v>2426</v>
      </c>
      <c r="G223" s="89" t="b">
        <v>0</v>
      </c>
      <c r="H223" s="89" t="b">
        <v>0</v>
      </c>
      <c r="I223" s="89" t="b">
        <v>0</v>
      </c>
      <c r="J223" s="89" t="b">
        <v>0</v>
      </c>
      <c r="K223" s="89" t="b">
        <v>0</v>
      </c>
      <c r="L223" s="89" t="b">
        <v>0</v>
      </c>
    </row>
    <row r="224" spans="1:12" ht="15">
      <c r="A224" s="85" t="s">
        <v>2490</v>
      </c>
      <c r="B224" s="89" t="s">
        <v>2491</v>
      </c>
      <c r="C224" s="89">
        <v>3</v>
      </c>
      <c r="D224" s="111">
        <v>0.008319385249071597</v>
      </c>
      <c r="E224" s="111">
        <v>2.1543225142935096</v>
      </c>
      <c r="F224" s="89" t="s">
        <v>2426</v>
      </c>
      <c r="G224" s="89" t="b">
        <v>0</v>
      </c>
      <c r="H224" s="89" t="b">
        <v>0</v>
      </c>
      <c r="I224" s="89" t="b">
        <v>0</v>
      </c>
      <c r="J224" s="89" t="b">
        <v>0</v>
      </c>
      <c r="K224" s="89" t="b">
        <v>0</v>
      </c>
      <c r="L224" s="89" t="b">
        <v>0</v>
      </c>
    </row>
    <row r="225" spans="1:12" ht="15">
      <c r="A225" s="85" t="s">
        <v>2491</v>
      </c>
      <c r="B225" s="89" t="s">
        <v>591</v>
      </c>
      <c r="C225" s="89">
        <v>3</v>
      </c>
      <c r="D225" s="111">
        <v>0.008319385249071597</v>
      </c>
      <c r="E225" s="111">
        <v>1.4273237863572472</v>
      </c>
      <c r="F225" s="89" t="s">
        <v>2426</v>
      </c>
      <c r="G225" s="89" t="b">
        <v>0</v>
      </c>
      <c r="H225" s="89" t="b">
        <v>0</v>
      </c>
      <c r="I225" s="89" t="b">
        <v>0</v>
      </c>
      <c r="J225" s="89" t="b">
        <v>0</v>
      </c>
      <c r="K225" s="89" t="b">
        <v>0</v>
      </c>
      <c r="L225" s="89" t="b">
        <v>0</v>
      </c>
    </row>
    <row r="226" spans="1:12" ht="15">
      <c r="A226" s="85" t="s">
        <v>591</v>
      </c>
      <c r="B226" s="89" t="s">
        <v>2474</v>
      </c>
      <c r="C226" s="89">
        <v>17</v>
      </c>
      <c r="D226" s="111">
        <v>0.013815601794616501</v>
      </c>
      <c r="E226" s="111">
        <v>1.1183791109592949</v>
      </c>
      <c r="F226" s="89" t="s">
        <v>2427</v>
      </c>
      <c r="G226" s="89" t="b">
        <v>0</v>
      </c>
      <c r="H226" s="89" t="b">
        <v>0</v>
      </c>
      <c r="I226" s="89" t="b">
        <v>0</v>
      </c>
      <c r="J226" s="89" t="b">
        <v>0</v>
      </c>
      <c r="K226" s="89" t="b">
        <v>0</v>
      </c>
      <c r="L226" s="89" t="b">
        <v>0</v>
      </c>
    </row>
    <row r="227" spans="1:12" ht="15">
      <c r="A227" s="85" t="s">
        <v>2647</v>
      </c>
      <c r="B227" s="89" t="s">
        <v>2648</v>
      </c>
      <c r="C227" s="89">
        <v>2</v>
      </c>
      <c r="D227" s="111">
        <v>0.005657016644656311</v>
      </c>
      <c r="E227" s="111">
        <v>2.312811826212088</v>
      </c>
      <c r="F227" s="89" t="s">
        <v>2427</v>
      </c>
      <c r="G227" s="89" t="b">
        <v>0</v>
      </c>
      <c r="H227" s="89" t="b">
        <v>0</v>
      </c>
      <c r="I227" s="89" t="b">
        <v>0</v>
      </c>
      <c r="J227" s="89" t="b">
        <v>0</v>
      </c>
      <c r="K227" s="89" t="b">
        <v>0</v>
      </c>
      <c r="L227" s="89" t="b">
        <v>0</v>
      </c>
    </row>
    <row r="228" spans="1:12" ht="15">
      <c r="A228" s="85" t="s">
        <v>2648</v>
      </c>
      <c r="B228" s="89" t="s">
        <v>2649</v>
      </c>
      <c r="C228" s="89">
        <v>2</v>
      </c>
      <c r="D228" s="111">
        <v>0.005657016644656311</v>
      </c>
      <c r="E228" s="111">
        <v>2.312811826212088</v>
      </c>
      <c r="F228" s="89" t="s">
        <v>2427</v>
      </c>
      <c r="G228" s="89" t="b">
        <v>0</v>
      </c>
      <c r="H228" s="89" t="b">
        <v>0</v>
      </c>
      <c r="I228" s="89" t="b">
        <v>0</v>
      </c>
      <c r="J228" s="89" t="b">
        <v>0</v>
      </c>
      <c r="K228" s="89" t="b">
        <v>0</v>
      </c>
      <c r="L228" s="89" t="b">
        <v>0</v>
      </c>
    </row>
    <row r="229" spans="1:12" ht="15">
      <c r="A229" s="85" t="s">
        <v>2649</v>
      </c>
      <c r="B229" s="89" t="s">
        <v>591</v>
      </c>
      <c r="C229" s="89">
        <v>2</v>
      </c>
      <c r="D229" s="111">
        <v>0.005657016644656311</v>
      </c>
      <c r="E229" s="111">
        <v>1.312811826212088</v>
      </c>
      <c r="F229" s="89" t="s">
        <v>2427</v>
      </c>
      <c r="G229" s="89" t="b">
        <v>0</v>
      </c>
      <c r="H229" s="89" t="b">
        <v>0</v>
      </c>
      <c r="I229" s="89" t="b">
        <v>0</v>
      </c>
      <c r="J229" s="89" t="b">
        <v>0</v>
      </c>
      <c r="K229" s="89" t="b">
        <v>0</v>
      </c>
      <c r="L229" s="89" t="b">
        <v>0</v>
      </c>
    </row>
    <row r="230" spans="1:12" ht="15">
      <c r="A230" s="85" t="s">
        <v>591</v>
      </c>
      <c r="B230" s="89" t="s">
        <v>2650</v>
      </c>
      <c r="C230" s="89">
        <v>2</v>
      </c>
      <c r="D230" s="111">
        <v>0.005657016644656311</v>
      </c>
      <c r="E230" s="111">
        <v>1.16668379053385</v>
      </c>
      <c r="F230" s="89" t="s">
        <v>2427</v>
      </c>
      <c r="G230" s="89" t="b">
        <v>0</v>
      </c>
      <c r="H230" s="89" t="b">
        <v>0</v>
      </c>
      <c r="I230" s="89" t="b">
        <v>0</v>
      </c>
      <c r="J230" s="89" t="b">
        <v>0</v>
      </c>
      <c r="K230" s="89" t="b">
        <v>0</v>
      </c>
      <c r="L230" s="89" t="b">
        <v>0</v>
      </c>
    </row>
    <row r="231" spans="1:12" ht="15">
      <c r="A231" s="85" t="s">
        <v>2650</v>
      </c>
      <c r="B231" s="89" t="s">
        <v>2651</v>
      </c>
      <c r="C231" s="89">
        <v>2</v>
      </c>
      <c r="D231" s="111">
        <v>0.005657016644656311</v>
      </c>
      <c r="E231" s="111">
        <v>2.312811826212088</v>
      </c>
      <c r="F231" s="89" t="s">
        <v>2427</v>
      </c>
      <c r="G231" s="89" t="b">
        <v>0</v>
      </c>
      <c r="H231" s="89" t="b">
        <v>0</v>
      </c>
      <c r="I231" s="89" t="b">
        <v>0</v>
      </c>
      <c r="J231" s="89" t="b">
        <v>0</v>
      </c>
      <c r="K231" s="89" t="b">
        <v>0</v>
      </c>
      <c r="L231" s="89" t="b">
        <v>0</v>
      </c>
    </row>
    <row r="232" spans="1:12" ht="15">
      <c r="A232" s="85" t="s">
        <v>2651</v>
      </c>
      <c r="B232" s="89" t="s">
        <v>2652</v>
      </c>
      <c r="C232" s="89">
        <v>2</v>
      </c>
      <c r="D232" s="111">
        <v>0.005657016644656311</v>
      </c>
      <c r="E232" s="111">
        <v>2.312811826212088</v>
      </c>
      <c r="F232" s="89" t="s">
        <v>2427</v>
      </c>
      <c r="G232" s="89" t="b">
        <v>0</v>
      </c>
      <c r="H232" s="89" t="b">
        <v>0</v>
      </c>
      <c r="I232" s="89" t="b">
        <v>0</v>
      </c>
      <c r="J232" s="89" t="b">
        <v>0</v>
      </c>
      <c r="K232" s="89" t="b">
        <v>0</v>
      </c>
      <c r="L232" s="89" t="b">
        <v>0</v>
      </c>
    </row>
    <row r="233" spans="1:12" ht="15">
      <c r="A233" s="85" t="s">
        <v>2652</v>
      </c>
      <c r="B233" s="89" t="s">
        <v>2653</v>
      </c>
      <c r="C233" s="89">
        <v>2</v>
      </c>
      <c r="D233" s="111">
        <v>0.005657016644656311</v>
      </c>
      <c r="E233" s="111">
        <v>2.312811826212088</v>
      </c>
      <c r="F233" s="89" t="s">
        <v>2427</v>
      </c>
      <c r="G233" s="89" t="b">
        <v>0</v>
      </c>
      <c r="H233" s="89" t="b">
        <v>0</v>
      </c>
      <c r="I233" s="89" t="b">
        <v>0</v>
      </c>
      <c r="J233" s="89" t="b">
        <v>0</v>
      </c>
      <c r="K233" s="89" t="b">
        <v>0</v>
      </c>
      <c r="L233" s="89" t="b">
        <v>0</v>
      </c>
    </row>
    <row r="234" spans="1:12" ht="15">
      <c r="A234" s="85" t="s">
        <v>2653</v>
      </c>
      <c r="B234" s="89" t="s">
        <v>2654</v>
      </c>
      <c r="C234" s="89">
        <v>2</v>
      </c>
      <c r="D234" s="111">
        <v>0.005657016644656311</v>
      </c>
      <c r="E234" s="111">
        <v>2.312811826212088</v>
      </c>
      <c r="F234" s="89" t="s">
        <v>2427</v>
      </c>
      <c r="G234" s="89" t="b">
        <v>0</v>
      </c>
      <c r="H234" s="89" t="b">
        <v>0</v>
      </c>
      <c r="I234" s="89" t="b">
        <v>0</v>
      </c>
      <c r="J234" s="89" t="b">
        <v>0</v>
      </c>
      <c r="K234" s="89" t="b">
        <v>0</v>
      </c>
      <c r="L234" s="89" t="b">
        <v>0</v>
      </c>
    </row>
    <row r="235" spans="1:12" ht="15">
      <c r="A235" s="85" t="s">
        <v>2654</v>
      </c>
      <c r="B235" s="89" t="s">
        <v>2655</v>
      </c>
      <c r="C235" s="89">
        <v>2</v>
      </c>
      <c r="D235" s="111">
        <v>0.005657016644656311</v>
      </c>
      <c r="E235" s="111">
        <v>2.312811826212088</v>
      </c>
      <c r="F235" s="89" t="s">
        <v>2427</v>
      </c>
      <c r="G235" s="89" t="b">
        <v>0</v>
      </c>
      <c r="H235" s="89" t="b">
        <v>0</v>
      </c>
      <c r="I235" s="89" t="b">
        <v>0</v>
      </c>
      <c r="J235" s="89" t="b">
        <v>0</v>
      </c>
      <c r="K235" s="89" t="b">
        <v>0</v>
      </c>
      <c r="L235" s="89" t="b">
        <v>0</v>
      </c>
    </row>
    <row r="236" spans="1:12" ht="15">
      <c r="A236" s="85" t="s">
        <v>2655</v>
      </c>
      <c r="B236" s="89" t="s">
        <v>2656</v>
      </c>
      <c r="C236" s="89">
        <v>2</v>
      </c>
      <c r="D236" s="111">
        <v>0.005657016644656311</v>
      </c>
      <c r="E236" s="111">
        <v>2.312811826212088</v>
      </c>
      <c r="F236" s="89" t="s">
        <v>2427</v>
      </c>
      <c r="G236" s="89" t="b">
        <v>0</v>
      </c>
      <c r="H236" s="89" t="b">
        <v>0</v>
      </c>
      <c r="I236" s="89" t="b">
        <v>0</v>
      </c>
      <c r="J236" s="89" t="b">
        <v>0</v>
      </c>
      <c r="K236" s="89" t="b">
        <v>0</v>
      </c>
      <c r="L236" s="89" t="b">
        <v>0</v>
      </c>
    </row>
    <row r="237" spans="1:12" ht="15">
      <c r="A237" s="85" t="s">
        <v>2656</v>
      </c>
      <c r="B237" s="89" t="s">
        <v>2657</v>
      </c>
      <c r="C237" s="89">
        <v>2</v>
      </c>
      <c r="D237" s="111">
        <v>0.005657016644656311</v>
      </c>
      <c r="E237" s="111">
        <v>2.312811826212088</v>
      </c>
      <c r="F237" s="89" t="s">
        <v>2427</v>
      </c>
      <c r="G237" s="89" t="b">
        <v>0</v>
      </c>
      <c r="H237" s="89" t="b">
        <v>0</v>
      </c>
      <c r="I237" s="89" t="b">
        <v>0</v>
      </c>
      <c r="J237" s="89" t="b">
        <v>0</v>
      </c>
      <c r="K237" s="89" t="b">
        <v>0</v>
      </c>
      <c r="L237" s="89" t="b">
        <v>0</v>
      </c>
    </row>
    <row r="238" spans="1:12" ht="15">
      <c r="A238" s="85" t="s">
        <v>2474</v>
      </c>
      <c r="B238" s="89" t="s">
        <v>2641</v>
      </c>
      <c r="C238" s="89">
        <v>2</v>
      </c>
      <c r="D238" s="111">
        <v>0.005657016644656311</v>
      </c>
      <c r="E238" s="111">
        <v>1.3833929004977954</v>
      </c>
      <c r="F238" s="89" t="s">
        <v>2427</v>
      </c>
      <c r="G238" s="89" t="b">
        <v>0</v>
      </c>
      <c r="H238" s="89" t="b">
        <v>0</v>
      </c>
      <c r="I238" s="89" t="b">
        <v>0</v>
      </c>
      <c r="J238" s="89" t="b">
        <v>0</v>
      </c>
      <c r="K238" s="89" t="b">
        <v>0</v>
      </c>
      <c r="L238" s="89" t="b">
        <v>0</v>
      </c>
    </row>
    <row r="239" spans="1:12" ht="15">
      <c r="A239" s="85" t="s">
        <v>2572</v>
      </c>
      <c r="B239" s="89" t="s">
        <v>2573</v>
      </c>
      <c r="C239" s="89">
        <v>2</v>
      </c>
      <c r="D239" s="111">
        <v>0.005657016644656311</v>
      </c>
      <c r="E239" s="111">
        <v>2.312811826212088</v>
      </c>
      <c r="F239" s="89" t="s">
        <v>2427</v>
      </c>
      <c r="G239" s="89" t="b">
        <v>0</v>
      </c>
      <c r="H239" s="89" t="b">
        <v>0</v>
      </c>
      <c r="I239" s="89" t="b">
        <v>0</v>
      </c>
      <c r="J239" s="89" t="b">
        <v>0</v>
      </c>
      <c r="K239" s="89" t="b">
        <v>0</v>
      </c>
      <c r="L239" s="89" t="b">
        <v>0</v>
      </c>
    </row>
    <row r="240" spans="1:12" ht="15">
      <c r="A240" s="85" t="s">
        <v>2522</v>
      </c>
      <c r="B240" s="89" t="s">
        <v>591</v>
      </c>
      <c r="C240" s="89">
        <v>2</v>
      </c>
      <c r="D240" s="111">
        <v>0.005657016644656311</v>
      </c>
      <c r="E240" s="111">
        <v>1.312811826212088</v>
      </c>
      <c r="F240" s="89" t="s">
        <v>2427</v>
      </c>
      <c r="G240" s="89" t="b">
        <v>0</v>
      </c>
      <c r="H240" s="89" t="b">
        <v>0</v>
      </c>
      <c r="I240" s="89" t="b">
        <v>0</v>
      </c>
      <c r="J240" s="89" t="b">
        <v>0</v>
      </c>
      <c r="K240" s="89" t="b">
        <v>0</v>
      </c>
      <c r="L240" s="89" t="b">
        <v>0</v>
      </c>
    </row>
    <row r="241" spans="1:12" ht="15">
      <c r="A241" s="85" t="s">
        <v>2521</v>
      </c>
      <c r="B241" s="89" t="s">
        <v>2523</v>
      </c>
      <c r="C241" s="89">
        <v>2</v>
      </c>
      <c r="D241" s="111">
        <v>0.005657016644656311</v>
      </c>
      <c r="E241" s="111">
        <v>2.312811826212088</v>
      </c>
      <c r="F241" s="89" t="s">
        <v>2427</v>
      </c>
      <c r="G241" s="89" t="b">
        <v>0</v>
      </c>
      <c r="H241" s="89" t="b">
        <v>0</v>
      </c>
      <c r="I241" s="89" t="b">
        <v>0</v>
      </c>
      <c r="J241" s="89" t="b">
        <v>0</v>
      </c>
      <c r="K241" s="89" t="b">
        <v>0</v>
      </c>
      <c r="L241" s="89" t="b">
        <v>0</v>
      </c>
    </row>
    <row r="242" spans="1:12" ht="15">
      <c r="A242" s="85" t="s">
        <v>2519</v>
      </c>
      <c r="B242" s="89" t="s">
        <v>2496</v>
      </c>
      <c r="C242" s="89">
        <v>2</v>
      </c>
      <c r="D242" s="111">
        <v>0.005657016644656311</v>
      </c>
      <c r="E242" s="111">
        <v>1.2246757375115367</v>
      </c>
      <c r="F242" s="89" t="s">
        <v>2427</v>
      </c>
      <c r="G242" s="89" t="b">
        <v>0</v>
      </c>
      <c r="H242" s="89" t="b">
        <v>0</v>
      </c>
      <c r="I242" s="89" t="b">
        <v>0</v>
      </c>
      <c r="J242" s="89" t="b">
        <v>0</v>
      </c>
      <c r="K242" s="89" t="b">
        <v>0</v>
      </c>
      <c r="L242" s="89" t="b">
        <v>0</v>
      </c>
    </row>
    <row r="243" spans="1:12" ht="15">
      <c r="A243" s="85" t="s">
        <v>2615</v>
      </c>
      <c r="B243" s="89" t="s">
        <v>2616</v>
      </c>
      <c r="C243" s="89">
        <v>2</v>
      </c>
      <c r="D243" s="111">
        <v>0.005657016644656311</v>
      </c>
      <c r="E243" s="111">
        <v>2.312811826212088</v>
      </c>
      <c r="F243" s="89" t="s">
        <v>2427</v>
      </c>
      <c r="G243" s="89" t="b">
        <v>0</v>
      </c>
      <c r="H243" s="89" t="b">
        <v>0</v>
      </c>
      <c r="I243" s="89" t="b">
        <v>0</v>
      </c>
      <c r="J243" s="89" t="b">
        <v>0</v>
      </c>
      <c r="K243" s="89" t="b">
        <v>0</v>
      </c>
      <c r="L243" s="89" t="b">
        <v>0</v>
      </c>
    </row>
    <row r="244" spans="1:12" ht="15">
      <c r="A244" s="85" t="s">
        <v>2616</v>
      </c>
      <c r="B244" s="89" t="s">
        <v>2617</v>
      </c>
      <c r="C244" s="89">
        <v>2</v>
      </c>
      <c r="D244" s="111">
        <v>0.005657016644656311</v>
      </c>
      <c r="E244" s="111">
        <v>2.312811826212088</v>
      </c>
      <c r="F244" s="89" t="s">
        <v>2427</v>
      </c>
      <c r="G244" s="89" t="b">
        <v>0</v>
      </c>
      <c r="H244" s="89" t="b">
        <v>0</v>
      </c>
      <c r="I244" s="89" t="b">
        <v>0</v>
      </c>
      <c r="J244" s="89" t="b">
        <v>0</v>
      </c>
      <c r="K244" s="89" t="b">
        <v>0</v>
      </c>
      <c r="L244" s="89" t="b">
        <v>0</v>
      </c>
    </row>
    <row r="245" spans="1:12" ht="15">
      <c r="A245" s="85" t="s">
        <v>2617</v>
      </c>
      <c r="B245" s="89" t="s">
        <v>2618</v>
      </c>
      <c r="C245" s="89">
        <v>2</v>
      </c>
      <c r="D245" s="111">
        <v>0.005657016644656311</v>
      </c>
      <c r="E245" s="111">
        <v>2.312811826212088</v>
      </c>
      <c r="F245" s="89" t="s">
        <v>2427</v>
      </c>
      <c r="G245" s="89" t="b">
        <v>0</v>
      </c>
      <c r="H245" s="89" t="b">
        <v>0</v>
      </c>
      <c r="I245" s="89" t="b">
        <v>0</v>
      </c>
      <c r="J245" s="89" t="b">
        <v>0</v>
      </c>
      <c r="K245" s="89" t="b">
        <v>0</v>
      </c>
      <c r="L245" s="89" t="b">
        <v>0</v>
      </c>
    </row>
    <row r="246" spans="1:12" ht="15">
      <c r="A246" s="85" t="s">
        <v>2618</v>
      </c>
      <c r="B246" s="89" t="s">
        <v>2619</v>
      </c>
      <c r="C246" s="89">
        <v>2</v>
      </c>
      <c r="D246" s="111">
        <v>0.005657016644656311</v>
      </c>
      <c r="E246" s="111">
        <v>2.312811826212088</v>
      </c>
      <c r="F246" s="89" t="s">
        <v>2427</v>
      </c>
      <c r="G246" s="89" t="b">
        <v>0</v>
      </c>
      <c r="H246" s="89" t="b">
        <v>0</v>
      </c>
      <c r="I246" s="89" t="b">
        <v>0</v>
      </c>
      <c r="J246" s="89" t="b">
        <v>0</v>
      </c>
      <c r="K246" s="89" t="b">
        <v>0</v>
      </c>
      <c r="L246" s="89" t="b">
        <v>0</v>
      </c>
    </row>
    <row r="247" spans="1:12" ht="15">
      <c r="A247" s="85" t="s">
        <v>2619</v>
      </c>
      <c r="B247" s="89" t="s">
        <v>2620</v>
      </c>
      <c r="C247" s="89">
        <v>2</v>
      </c>
      <c r="D247" s="111">
        <v>0.005657016644656311</v>
      </c>
      <c r="E247" s="111">
        <v>2.312811826212088</v>
      </c>
      <c r="F247" s="89" t="s">
        <v>2427</v>
      </c>
      <c r="G247" s="89" t="b">
        <v>0</v>
      </c>
      <c r="H247" s="89" t="b">
        <v>0</v>
      </c>
      <c r="I247" s="89" t="b">
        <v>0</v>
      </c>
      <c r="J247" s="89" t="b">
        <v>0</v>
      </c>
      <c r="K247" s="89" t="b">
        <v>0</v>
      </c>
      <c r="L247" s="89" t="b">
        <v>0</v>
      </c>
    </row>
    <row r="248" spans="1:12" ht="15">
      <c r="A248" s="85" t="s">
        <v>2620</v>
      </c>
      <c r="B248" s="89" t="s">
        <v>2549</v>
      </c>
      <c r="C248" s="89">
        <v>2</v>
      </c>
      <c r="D248" s="111">
        <v>0.005657016644656311</v>
      </c>
      <c r="E248" s="111">
        <v>2.1367205671564067</v>
      </c>
      <c r="F248" s="89" t="s">
        <v>2427</v>
      </c>
      <c r="G248" s="89" t="b">
        <v>0</v>
      </c>
      <c r="H248" s="89" t="b">
        <v>0</v>
      </c>
      <c r="I248" s="89" t="b">
        <v>0</v>
      </c>
      <c r="J248" s="89" t="b">
        <v>0</v>
      </c>
      <c r="K248" s="89" t="b">
        <v>0</v>
      </c>
      <c r="L248" s="89" t="b">
        <v>0</v>
      </c>
    </row>
    <row r="249" spans="1:12" ht="15">
      <c r="A249" s="85" t="s">
        <v>2549</v>
      </c>
      <c r="B249" s="89" t="s">
        <v>2621</v>
      </c>
      <c r="C249" s="89">
        <v>2</v>
      </c>
      <c r="D249" s="111">
        <v>0.005657016644656311</v>
      </c>
      <c r="E249" s="111">
        <v>2.1367205671564067</v>
      </c>
      <c r="F249" s="89" t="s">
        <v>2427</v>
      </c>
      <c r="G249" s="89" t="b">
        <v>0</v>
      </c>
      <c r="H249" s="89" t="b">
        <v>0</v>
      </c>
      <c r="I249" s="89" t="b">
        <v>0</v>
      </c>
      <c r="J249" s="89" t="b">
        <v>0</v>
      </c>
      <c r="K249" s="89" t="b">
        <v>0</v>
      </c>
      <c r="L249" s="89" t="b">
        <v>0</v>
      </c>
    </row>
    <row r="250" spans="1:12" ht="15">
      <c r="A250" s="85" t="s">
        <v>2621</v>
      </c>
      <c r="B250" s="89" t="s">
        <v>2519</v>
      </c>
      <c r="C250" s="89">
        <v>2</v>
      </c>
      <c r="D250" s="111">
        <v>0.005657016644656311</v>
      </c>
      <c r="E250" s="111">
        <v>1.6595993124367443</v>
      </c>
      <c r="F250" s="89" t="s">
        <v>2427</v>
      </c>
      <c r="G250" s="89" t="b">
        <v>0</v>
      </c>
      <c r="H250" s="89" t="b">
        <v>0</v>
      </c>
      <c r="I250" s="89" t="b">
        <v>0</v>
      </c>
      <c r="J250" s="89" t="b">
        <v>0</v>
      </c>
      <c r="K250" s="89" t="b">
        <v>0</v>
      </c>
      <c r="L250" s="89" t="b">
        <v>0</v>
      </c>
    </row>
    <row r="251" spans="1:12" ht="15">
      <c r="A251" s="85" t="s">
        <v>2519</v>
      </c>
      <c r="B251" s="89" t="s">
        <v>2622</v>
      </c>
      <c r="C251" s="89">
        <v>2</v>
      </c>
      <c r="D251" s="111">
        <v>0.005657016644656311</v>
      </c>
      <c r="E251" s="111">
        <v>1.7687437818618124</v>
      </c>
      <c r="F251" s="89" t="s">
        <v>2427</v>
      </c>
      <c r="G251" s="89" t="b">
        <v>0</v>
      </c>
      <c r="H251" s="89" t="b">
        <v>0</v>
      </c>
      <c r="I251" s="89" t="b">
        <v>0</v>
      </c>
      <c r="J251" s="89" t="b">
        <v>0</v>
      </c>
      <c r="K251" s="89" t="b">
        <v>0</v>
      </c>
      <c r="L251" s="89" t="b">
        <v>0</v>
      </c>
    </row>
    <row r="252" spans="1:12" ht="15">
      <c r="A252" s="85" t="s">
        <v>591</v>
      </c>
      <c r="B252" s="89" t="s">
        <v>2474</v>
      </c>
      <c r="C252" s="89">
        <v>29</v>
      </c>
      <c r="D252" s="111">
        <v>0.0011694932408423324</v>
      </c>
      <c r="E252" s="111">
        <v>1.3485482334562684</v>
      </c>
      <c r="F252" s="89" t="s">
        <v>2428</v>
      </c>
      <c r="G252" s="89" t="b">
        <v>0</v>
      </c>
      <c r="H252" s="89" t="b">
        <v>0</v>
      </c>
      <c r="I252" s="89" t="b">
        <v>0</v>
      </c>
      <c r="J252" s="89" t="b">
        <v>0</v>
      </c>
      <c r="K252" s="89" t="b">
        <v>0</v>
      </c>
      <c r="L252" s="89" t="b">
        <v>0</v>
      </c>
    </row>
    <row r="253" spans="1:12" ht="15">
      <c r="A253" s="85" t="s">
        <v>2478</v>
      </c>
      <c r="B253" s="89" t="s">
        <v>2476</v>
      </c>
      <c r="C253" s="89">
        <v>26</v>
      </c>
      <c r="D253" s="111">
        <v>0.002174758513418513</v>
      </c>
      <c r="E253" s="111">
        <v>1.4387248638053565</v>
      </c>
      <c r="F253" s="89" t="s">
        <v>2428</v>
      </c>
      <c r="G253" s="89" t="b">
        <v>0</v>
      </c>
      <c r="H253" s="89" t="b">
        <v>0</v>
      </c>
      <c r="I253" s="89" t="b">
        <v>0</v>
      </c>
      <c r="J253" s="89" t="b">
        <v>0</v>
      </c>
      <c r="K253" s="89" t="b">
        <v>0</v>
      </c>
      <c r="L253" s="89" t="b">
        <v>0</v>
      </c>
    </row>
    <row r="254" spans="1:12" ht="15">
      <c r="A254" s="85" t="s">
        <v>2497</v>
      </c>
      <c r="B254" s="89" t="s">
        <v>2500</v>
      </c>
      <c r="C254" s="89">
        <v>25</v>
      </c>
      <c r="D254" s="111">
        <v>0.002664241118695317</v>
      </c>
      <c r="E254" s="111">
        <v>1.4557582031041367</v>
      </c>
      <c r="F254" s="89" t="s">
        <v>2428</v>
      </c>
      <c r="G254" s="89" t="b">
        <v>0</v>
      </c>
      <c r="H254" s="89" t="b">
        <v>0</v>
      </c>
      <c r="I254" s="89" t="b">
        <v>0</v>
      </c>
      <c r="J254" s="89" t="b">
        <v>0</v>
      </c>
      <c r="K254" s="89" t="b">
        <v>0</v>
      </c>
      <c r="L254" s="89" t="b">
        <v>0</v>
      </c>
    </row>
    <row r="255" spans="1:12" ht="15">
      <c r="A255" s="85" t="s">
        <v>2500</v>
      </c>
      <c r="B255" s="89" t="s">
        <v>591</v>
      </c>
      <c r="C255" s="89">
        <v>25</v>
      </c>
      <c r="D255" s="111">
        <v>0.002664241118695317</v>
      </c>
      <c r="E255" s="111">
        <v>1.3485482334562684</v>
      </c>
      <c r="F255" s="89" t="s">
        <v>2428</v>
      </c>
      <c r="G255" s="89" t="b">
        <v>0</v>
      </c>
      <c r="H255" s="89" t="b">
        <v>0</v>
      </c>
      <c r="I255" s="89" t="b">
        <v>0</v>
      </c>
      <c r="J255" s="89" t="b">
        <v>0</v>
      </c>
      <c r="K255" s="89" t="b">
        <v>0</v>
      </c>
      <c r="L255" s="89" t="b">
        <v>0</v>
      </c>
    </row>
    <row r="256" spans="1:12" ht="15">
      <c r="A256" s="85" t="s">
        <v>2474</v>
      </c>
      <c r="B256" s="89" t="s">
        <v>2498</v>
      </c>
      <c r="C256" s="89">
        <v>25</v>
      </c>
      <c r="D256" s="111">
        <v>0.002664241118695317</v>
      </c>
      <c r="E256" s="111">
        <v>1.4065401804339552</v>
      </c>
      <c r="F256" s="89" t="s">
        <v>2428</v>
      </c>
      <c r="G256" s="89" t="b">
        <v>0</v>
      </c>
      <c r="H256" s="89" t="b">
        <v>0</v>
      </c>
      <c r="I256" s="89" t="b">
        <v>0</v>
      </c>
      <c r="J256" s="89" t="b">
        <v>0</v>
      </c>
      <c r="K256" s="89" t="b">
        <v>0</v>
      </c>
      <c r="L256" s="89" t="b">
        <v>0</v>
      </c>
    </row>
    <row r="257" spans="1:12" ht="15">
      <c r="A257" s="85" t="s">
        <v>2498</v>
      </c>
      <c r="B257" s="89" t="s">
        <v>2477</v>
      </c>
      <c r="C257" s="89">
        <v>25</v>
      </c>
      <c r="D257" s="111">
        <v>0.002664241118695317</v>
      </c>
      <c r="E257" s="111">
        <v>1.4387248638053565</v>
      </c>
      <c r="F257" s="89" t="s">
        <v>2428</v>
      </c>
      <c r="G257" s="89" t="b">
        <v>0</v>
      </c>
      <c r="H257" s="89" t="b">
        <v>0</v>
      </c>
      <c r="I257" s="89" t="b">
        <v>0</v>
      </c>
      <c r="J257" s="89" t="b">
        <v>0</v>
      </c>
      <c r="K257" s="89" t="b">
        <v>0</v>
      </c>
      <c r="L257" s="89" t="b">
        <v>0</v>
      </c>
    </row>
    <row r="258" spans="1:12" ht="15">
      <c r="A258" s="85" t="s">
        <v>2477</v>
      </c>
      <c r="B258" s="89" t="s">
        <v>2501</v>
      </c>
      <c r="C258" s="89">
        <v>25</v>
      </c>
      <c r="D258" s="111">
        <v>0.002664241118695317</v>
      </c>
      <c r="E258" s="111">
        <v>1.4387248638053565</v>
      </c>
      <c r="F258" s="89" t="s">
        <v>2428</v>
      </c>
      <c r="G258" s="89" t="b">
        <v>0</v>
      </c>
      <c r="H258" s="89" t="b">
        <v>0</v>
      </c>
      <c r="I258" s="89" t="b">
        <v>0</v>
      </c>
      <c r="J258" s="89" t="b">
        <v>0</v>
      </c>
      <c r="K258" s="89" t="b">
        <v>0</v>
      </c>
      <c r="L258" s="89" t="b">
        <v>0</v>
      </c>
    </row>
    <row r="259" spans="1:12" ht="15">
      <c r="A259" s="85" t="s">
        <v>2501</v>
      </c>
      <c r="B259" s="89" t="s">
        <v>2478</v>
      </c>
      <c r="C259" s="89">
        <v>25</v>
      </c>
      <c r="D259" s="111">
        <v>0.002664241118695317</v>
      </c>
      <c r="E259" s="111">
        <v>1.4387248638053565</v>
      </c>
      <c r="F259" s="89" t="s">
        <v>2428</v>
      </c>
      <c r="G259" s="89" t="b">
        <v>0</v>
      </c>
      <c r="H259" s="89" t="b">
        <v>0</v>
      </c>
      <c r="I259" s="89" t="b">
        <v>0</v>
      </c>
      <c r="J259" s="89" t="b">
        <v>0</v>
      </c>
      <c r="K259" s="89" t="b">
        <v>0</v>
      </c>
      <c r="L259" s="89" t="b">
        <v>0</v>
      </c>
    </row>
    <row r="260" spans="1:12" ht="15">
      <c r="A260" s="85" t="s">
        <v>2476</v>
      </c>
      <c r="B260" s="89" t="s">
        <v>2502</v>
      </c>
      <c r="C260" s="89">
        <v>25</v>
      </c>
      <c r="D260" s="111">
        <v>0.002664241118695317</v>
      </c>
      <c r="E260" s="111">
        <v>1.4387248638053565</v>
      </c>
      <c r="F260" s="89" t="s">
        <v>2428</v>
      </c>
      <c r="G260" s="89" t="b">
        <v>0</v>
      </c>
      <c r="H260" s="89" t="b">
        <v>0</v>
      </c>
      <c r="I260" s="89" t="b">
        <v>0</v>
      </c>
      <c r="J260" s="89" t="b">
        <v>0</v>
      </c>
      <c r="K260" s="89" t="b">
        <v>0</v>
      </c>
      <c r="L260" s="89" t="b">
        <v>0</v>
      </c>
    </row>
    <row r="261" spans="1:12" ht="15">
      <c r="A261" s="85" t="s">
        <v>2502</v>
      </c>
      <c r="B261" s="89" t="s">
        <v>2503</v>
      </c>
      <c r="C261" s="89">
        <v>25</v>
      </c>
      <c r="D261" s="111">
        <v>0.002664241118695317</v>
      </c>
      <c r="E261" s="111">
        <v>1.4557582031041367</v>
      </c>
      <c r="F261" s="89" t="s">
        <v>2428</v>
      </c>
      <c r="G261" s="89" t="b">
        <v>0</v>
      </c>
      <c r="H261" s="89" t="b">
        <v>0</v>
      </c>
      <c r="I261" s="89" t="b">
        <v>0</v>
      </c>
      <c r="J261" s="89" t="b">
        <v>0</v>
      </c>
      <c r="K261" s="89" t="b">
        <v>0</v>
      </c>
      <c r="L261" s="89" t="b">
        <v>0</v>
      </c>
    </row>
    <row r="262" spans="1:12" ht="15">
      <c r="A262" s="85" t="s">
        <v>2503</v>
      </c>
      <c r="B262" s="89" t="s">
        <v>2504</v>
      </c>
      <c r="C262" s="89">
        <v>25</v>
      </c>
      <c r="D262" s="111">
        <v>0.002664241118695317</v>
      </c>
      <c r="E262" s="111">
        <v>1.4557582031041367</v>
      </c>
      <c r="F262" s="89" t="s">
        <v>2428</v>
      </c>
      <c r="G262" s="89" t="b">
        <v>0</v>
      </c>
      <c r="H262" s="89" t="b">
        <v>0</v>
      </c>
      <c r="I262" s="89" t="b">
        <v>0</v>
      </c>
      <c r="J262" s="89" t="b">
        <v>0</v>
      </c>
      <c r="K262" s="89" t="b">
        <v>0</v>
      </c>
      <c r="L262" s="89" t="b">
        <v>0</v>
      </c>
    </row>
    <row r="263" spans="1:12" ht="15">
      <c r="A263" s="85" t="s">
        <v>2504</v>
      </c>
      <c r="B263" s="89" t="s">
        <v>2505</v>
      </c>
      <c r="C263" s="89">
        <v>25</v>
      </c>
      <c r="D263" s="111">
        <v>0.002664241118695317</v>
      </c>
      <c r="E263" s="111">
        <v>1.4557582031041367</v>
      </c>
      <c r="F263" s="89" t="s">
        <v>2428</v>
      </c>
      <c r="G263" s="89" t="b">
        <v>0</v>
      </c>
      <c r="H263" s="89" t="b">
        <v>0</v>
      </c>
      <c r="I263" s="89" t="b">
        <v>0</v>
      </c>
      <c r="J263" s="89" t="b">
        <v>0</v>
      </c>
      <c r="K263" s="89" t="b">
        <v>0</v>
      </c>
      <c r="L263" s="89" t="b">
        <v>0</v>
      </c>
    </row>
    <row r="264" spans="1:12" ht="15">
      <c r="A264" s="85" t="s">
        <v>2505</v>
      </c>
      <c r="B264" s="89" t="s">
        <v>2499</v>
      </c>
      <c r="C264" s="89">
        <v>25</v>
      </c>
      <c r="D264" s="111">
        <v>0.002664241118695317</v>
      </c>
      <c r="E264" s="111">
        <v>1.4557582031041367</v>
      </c>
      <c r="F264" s="89" t="s">
        <v>2428</v>
      </c>
      <c r="G264" s="89" t="b">
        <v>0</v>
      </c>
      <c r="H264" s="89" t="b">
        <v>0</v>
      </c>
      <c r="I264" s="89" t="b">
        <v>0</v>
      </c>
      <c r="J264" s="89" t="b">
        <v>0</v>
      </c>
      <c r="K264" s="89" t="b">
        <v>0</v>
      </c>
      <c r="L264" s="89" t="b">
        <v>0</v>
      </c>
    </row>
    <row r="265" spans="1:12" ht="15">
      <c r="A265" s="85" t="s">
        <v>2499</v>
      </c>
      <c r="B265" s="89" t="s">
        <v>2506</v>
      </c>
      <c r="C265" s="89">
        <v>25</v>
      </c>
      <c r="D265" s="111">
        <v>0.002664241118695317</v>
      </c>
      <c r="E265" s="111">
        <v>1.4557582031041367</v>
      </c>
      <c r="F265" s="89" t="s">
        <v>2428</v>
      </c>
      <c r="G265" s="89" t="b">
        <v>0</v>
      </c>
      <c r="H265" s="89" t="b">
        <v>0</v>
      </c>
      <c r="I265" s="89" t="b">
        <v>0</v>
      </c>
      <c r="J265" s="89" t="b">
        <v>0</v>
      </c>
      <c r="K265" s="89" t="b">
        <v>0</v>
      </c>
      <c r="L265" s="89" t="b">
        <v>0</v>
      </c>
    </row>
    <row r="266" spans="1:12" ht="15">
      <c r="A266" s="85" t="s">
        <v>2506</v>
      </c>
      <c r="B266" s="89" t="s">
        <v>2507</v>
      </c>
      <c r="C266" s="89">
        <v>25</v>
      </c>
      <c r="D266" s="111">
        <v>0.002664241118695317</v>
      </c>
      <c r="E266" s="111">
        <v>1.4557582031041367</v>
      </c>
      <c r="F266" s="89" t="s">
        <v>2428</v>
      </c>
      <c r="G266" s="89" t="b">
        <v>0</v>
      </c>
      <c r="H266" s="89" t="b">
        <v>0</v>
      </c>
      <c r="I266" s="89" t="b">
        <v>0</v>
      </c>
      <c r="J266" s="89" t="b">
        <v>0</v>
      </c>
      <c r="K266" s="89" t="b">
        <v>0</v>
      </c>
      <c r="L266" s="89" t="b">
        <v>0</v>
      </c>
    </row>
    <row r="267" spans="1:12" ht="15">
      <c r="A267" s="85" t="s">
        <v>2507</v>
      </c>
      <c r="B267" s="89" t="s">
        <v>2508</v>
      </c>
      <c r="C267" s="89">
        <v>25</v>
      </c>
      <c r="D267" s="111">
        <v>0.002664241118695317</v>
      </c>
      <c r="E267" s="111">
        <v>1.4557582031041367</v>
      </c>
      <c r="F267" s="89" t="s">
        <v>2428</v>
      </c>
      <c r="G267" s="89" t="b">
        <v>0</v>
      </c>
      <c r="H267" s="89" t="b">
        <v>0</v>
      </c>
      <c r="I267" s="89" t="b">
        <v>0</v>
      </c>
      <c r="J267" s="89" t="b">
        <v>0</v>
      </c>
      <c r="K267" s="89" t="b">
        <v>0</v>
      </c>
      <c r="L267" s="89" t="b">
        <v>0</v>
      </c>
    </row>
    <row r="268" spans="1:12" ht="15">
      <c r="A268" s="85" t="s">
        <v>2508</v>
      </c>
      <c r="B268" s="89" t="s">
        <v>2509</v>
      </c>
      <c r="C268" s="89">
        <v>25</v>
      </c>
      <c r="D268" s="111">
        <v>0.002664241118695317</v>
      </c>
      <c r="E268" s="111">
        <v>1.4557582031041367</v>
      </c>
      <c r="F268" s="89" t="s">
        <v>2428</v>
      </c>
      <c r="G268" s="89" t="b">
        <v>0</v>
      </c>
      <c r="H268" s="89" t="b">
        <v>0</v>
      </c>
      <c r="I268" s="89" t="b">
        <v>0</v>
      </c>
      <c r="J268" s="89" t="b">
        <v>0</v>
      </c>
      <c r="K268" s="89" t="b">
        <v>0</v>
      </c>
      <c r="L268" s="89" t="b">
        <v>0</v>
      </c>
    </row>
    <row r="269" spans="1:12" ht="15">
      <c r="A269" s="85" t="s">
        <v>2509</v>
      </c>
      <c r="B269" s="89" t="s">
        <v>2510</v>
      </c>
      <c r="C269" s="89">
        <v>25</v>
      </c>
      <c r="D269" s="111">
        <v>0.002664241118695317</v>
      </c>
      <c r="E269" s="111">
        <v>1.4557582031041367</v>
      </c>
      <c r="F269" s="89" t="s">
        <v>2428</v>
      </c>
      <c r="G269" s="89" t="b">
        <v>0</v>
      </c>
      <c r="H269" s="89" t="b">
        <v>0</v>
      </c>
      <c r="I269" s="89" t="b">
        <v>0</v>
      </c>
      <c r="J269" s="89" t="b">
        <v>0</v>
      </c>
      <c r="K269" s="89" t="b">
        <v>0</v>
      </c>
      <c r="L269" s="89" t="b">
        <v>0</v>
      </c>
    </row>
    <row r="270" spans="1:12" ht="15">
      <c r="A270" s="85" t="s">
        <v>2510</v>
      </c>
      <c r="B270" s="89" t="s">
        <v>2511</v>
      </c>
      <c r="C270" s="89">
        <v>25</v>
      </c>
      <c r="D270" s="111">
        <v>0.002664241118695317</v>
      </c>
      <c r="E270" s="111">
        <v>1.4557582031041367</v>
      </c>
      <c r="F270" s="89" t="s">
        <v>2428</v>
      </c>
      <c r="G270" s="89" t="b">
        <v>0</v>
      </c>
      <c r="H270" s="89" t="b">
        <v>0</v>
      </c>
      <c r="I270" s="89" t="b">
        <v>0</v>
      </c>
      <c r="J270" s="89" t="b">
        <v>0</v>
      </c>
      <c r="K270" s="89" t="b">
        <v>0</v>
      </c>
      <c r="L270" s="89" t="b">
        <v>0</v>
      </c>
    </row>
    <row r="271" spans="1:12" ht="15">
      <c r="A271" s="85" t="s">
        <v>2511</v>
      </c>
      <c r="B271" s="89" t="s">
        <v>2512</v>
      </c>
      <c r="C271" s="89">
        <v>25</v>
      </c>
      <c r="D271" s="111">
        <v>0.002664241118695317</v>
      </c>
      <c r="E271" s="111">
        <v>1.4557582031041367</v>
      </c>
      <c r="F271" s="89" t="s">
        <v>2428</v>
      </c>
      <c r="G271" s="89" t="b">
        <v>0</v>
      </c>
      <c r="H271" s="89" t="b">
        <v>0</v>
      </c>
      <c r="I271" s="89" t="b">
        <v>0</v>
      </c>
      <c r="J271" s="89" t="b">
        <v>0</v>
      </c>
      <c r="K271" s="89" t="b">
        <v>0</v>
      </c>
      <c r="L271" s="89" t="b">
        <v>0</v>
      </c>
    </row>
    <row r="272" spans="1:12" ht="15">
      <c r="A272" s="85" t="s">
        <v>2512</v>
      </c>
      <c r="B272" s="89" t="s">
        <v>2513</v>
      </c>
      <c r="C272" s="89">
        <v>25</v>
      </c>
      <c r="D272" s="111">
        <v>0.002664241118695317</v>
      </c>
      <c r="E272" s="111">
        <v>1.4557582031041367</v>
      </c>
      <c r="F272" s="89" t="s">
        <v>2428</v>
      </c>
      <c r="G272" s="89" t="b">
        <v>0</v>
      </c>
      <c r="H272" s="89" t="b">
        <v>0</v>
      </c>
      <c r="I272" s="89" t="b">
        <v>0</v>
      </c>
      <c r="J272" s="89" t="b">
        <v>0</v>
      </c>
      <c r="K272" s="89" t="b">
        <v>0</v>
      </c>
      <c r="L272" s="89" t="b">
        <v>0</v>
      </c>
    </row>
    <row r="273" spans="1:12" ht="15">
      <c r="A273" s="85" t="s">
        <v>2513</v>
      </c>
      <c r="B273" s="89" t="s">
        <v>2514</v>
      </c>
      <c r="C273" s="89">
        <v>25</v>
      </c>
      <c r="D273" s="111">
        <v>0.002664241118695317</v>
      </c>
      <c r="E273" s="111">
        <v>1.4557582031041367</v>
      </c>
      <c r="F273" s="89" t="s">
        <v>2428</v>
      </c>
      <c r="G273" s="89" t="b">
        <v>0</v>
      </c>
      <c r="H273" s="89" t="b">
        <v>0</v>
      </c>
      <c r="I273" s="89" t="b">
        <v>0</v>
      </c>
      <c r="J273" s="89" t="b">
        <v>0</v>
      </c>
      <c r="K273" s="89" t="b">
        <v>0</v>
      </c>
      <c r="L273" s="89" t="b">
        <v>0</v>
      </c>
    </row>
    <row r="274" spans="1:12" ht="15">
      <c r="A274" s="85" t="s">
        <v>2514</v>
      </c>
      <c r="B274" s="89" t="s">
        <v>2515</v>
      </c>
      <c r="C274" s="89">
        <v>25</v>
      </c>
      <c r="D274" s="111">
        <v>0.002664241118695317</v>
      </c>
      <c r="E274" s="111">
        <v>1.4557582031041367</v>
      </c>
      <c r="F274" s="89" t="s">
        <v>2428</v>
      </c>
      <c r="G274" s="89" t="b">
        <v>0</v>
      </c>
      <c r="H274" s="89" t="b">
        <v>0</v>
      </c>
      <c r="I274" s="89" t="b">
        <v>0</v>
      </c>
      <c r="J274" s="89" t="b">
        <v>0</v>
      </c>
      <c r="K274" s="89" t="b">
        <v>0</v>
      </c>
      <c r="L274" s="89" t="b">
        <v>0</v>
      </c>
    </row>
    <row r="275" spans="1:12" ht="15">
      <c r="A275" s="85" t="s">
        <v>2515</v>
      </c>
      <c r="B275" s="89" t="s">
        <v>2516</v>
      </c>
      <c r="C275" s="89">
        <v>25</v>
      </c>
      <c r="D275" s="111">
        <v>0.002664241118695317</v>
      </c>
      <c r="E275" s="111">
        <v>1.4557582031041367</v>
      </c>
      <c r="F275" s="89" t="s">
        <v>2428</v>
      </c>
      <c r="G275" s="89" t="b">
        <v>0</v>
      </c>
      <c r="H275" s="89" t="b">
        <v>0</v>
      </c>
      <c r="I275" s="89" t="b">
        <v>0</v>
      </c>
      <c r="J275" s="89" t="b">
        <v>0</v>
      </c>
      <c r="K275" s="89" t="b">
        <v>0</v>
      </c>
      <c r="L275" s="89" t="b">
        <v>0</v>
      </c>
    </row>
    <row r="276" spans="1:12" ht="15">
      <c r="A276" s="85" t="s">
        <v>2516</v>
      </c>
      <c r="B276" s="89" t="s">
        <v>2517</v>
      </c>
      <c r="C276" s="89">
        <v>25</v>
      </c>
      <c r="D276" s="111">
        <v>0.002664241118695317</v>
      </c>
      <c r="E276" s="111">
        <v>1.4557582031041367</v>
      </c>
      <c r="F276" s="89" t="s">
        <v>2428</v>
      </c>
      <c r="G276" s="89" t="b">
        <v>0</v>
      </c>
      <c r="H276" s="89" t="b">
        <v>0</v>
      </c>
      <c r="I276" s="89" t="b">
        <v>0</v>
      </c>
      <c r="J276" s="89" t="b">
        <v>0</v>
      </c>
      <c r="K276" s="89" t="b">
        <v>0</v>
      </c>
      <c r="L276" s="89" t="b">
        <v>0</v>
      </c>
    </row>
    <row r="277" spans="1:12" ht="15">
      <c r="A277" s="85" t="s">
        <v>2517</v>
      </c>
      <c r="B277" s="89" t="s">
        <v>2518</v>
      </c>
      <c r="C277" s="89">
        <v>25</v>
      </c>
      <c r="D277" s="111">
        <v>0.002664241118695317</v>
      </c>
      <c r="E277" s="111">
        <v>1.4557582031041367</v>
      </c>
      <c r="F277" s="89" t="s">
        <v>2428</v>
      </c>
      <c r="G277" s="89" t="b">
        <v>0</v>
      </c>
      <c r="H277" s="89" t="b">
        <v>0</v>
      </c>
      <c r="I277" s="89" t="b">
        <v>0</v>
      </c>
      <c r="J277" s="89" t="b">
        <v>0</v>
      </c>
      <c r="K277" s="89" t="b">
        <v>0</v>
      </c>
      <c r="L277" s="89" t="b">
        <v>0</v>
      </c>
    </row>
    <row r="278" spans="1:12" ht="15">
      <c r="A278" s="85" t="s">
        <v>2518</v>
      </c>
      <c r="B278" s="89" t="s">
        <v>2496</v>
      </c>
      <c r="C278" s="89">
        <v>25</v>
      </c>
      <c r="D278" s="111">
        <v>0.002664241118695317</v>
      </c>
      <c r="E278" s="111">
        <v>1.4387248638053565</v>
      </c>
      <c r="F278" s="89" t="s">
        <v>2428</v>
      </c>
      <c r="G278" s="89" t="b">
        <v>0</v>
      </c>
      <c r="H278" s="89" t="b">
        <v>0</v>
      </c>
      <c r="I278" s="89" t="b">
        <v>0</v>
      </c>
      <c r="J278" s="89" t="b">
        <v>0</v>
      </c>
      <c r="K278" s="89" t="b">
        <v>0</v>
      </c>
      <c r="L278" s="89" t="b">
        <v>0</v>
      </c>
    </row>
    <row r="279" spans="1:12" ht="15">
      <c r="A279" s="85" t="s">
        <v>483</v>
      </c>
      <c r="B279" s="89" t="s">
        <v>479</v>
      </c>
      <c r="C279" s="89">
        <v>2</v>
      </c>
      <c r="D279" s="111">
        <v>0.0031657907377003534</v>
      </c>
      <c r="E279" s="111">
        <v>2.552668216112193</v>
      </c>
      <c r="F279" s="89" t="s">
        <v>2428</v>
      </c>
      <c r="G279" s="89" t="b">
        <v>0</v>
      </c>
      <c r="H279" s="89" t="b">
        <v>0</v>
      </c>
      <c r="I279" s="89" t="b">
        <v>0</v>
      </c>
      <c r="J279" s="89" t="b">
        <v>0</v>
      </c>
      <c r="K279" s="89" t="b">
        <v>0</v>
      </c>
      <c r="L279" s="89" t="b">
        <v>0</v>
      </c>
    </row>
    <row r="280" spans="1:12" ht="15">
      <c r="A280" s="85" t="s">
        <v>479</v>
      </c>
      <c r="B280" s="89" t="s">
        <v>591</v>
      </c>
      <c r="C280" s="89">
        <v>2</v>
      </c>
      <c r="D280" s="111">
        <v>0.0031657907377003534</v>
      </c>
      <c r="E280" s="111">
        <v>1.3485482334562684</v>
      </c>
      <c r="F280" s="89" t="s">
        <v>2428</v>
      </c>
      <c r="G280" s="89" t="b">
        <v>0</v>
      </c>
      <c r="H280" s="89" t="b">
        <v>0</v>
      </c>
      <c r="I280" s="89" t="b">
        <v>0</v>
      </c>
      <c r="J280" s="89" t="b">
        <v>0</v>
      </c>
      <c r="K280" s="89" t="b">
        <v>0</v>
      </c>
      <c r="L280" s="89" t="b">
        <v>0</v>
      </c>
    </row>
    <row r="281" spans="1:12" ht="15">
      <c r="A281" s="85" t="s">
        <v>2526</v>
      </c>
      <c r="B281" s="89" t="s">
        <v>2522</v>
      </c>
      <c r="C281" s="89">
        <v>5</v>
      </c>
      <c r="D281" s="111">
        <v>0</v>
      </c>
      <c r="E281" s="111">
        <v>1.0791812460476249</v>
      </c>
      <c r="F281" s="89" t="s">
        <v>2429</v>
      </c>
      <c r="G281" s="89" t="b">
        <v>0</v>
      </c>
      <c r="H281" s="89" t="b">
        <v>0</v>
      </c>
      <c r="I281" s="89" t="b">
        <v>0</v>
      </c>
      <c r="J281" s="89" t="b">
        <v>0</v>
      </c>
      <c r="K281" s="89" t="b">
        <v>0</v>
      </c>
      <c r="L281" s="89" t="b">
        <v>0</v>
      </c>
    </row>
    <row r="282" spans="1:12" ht="15">
      <c r="A282" s="85" t="s">
        <v>2522</v>
      </c>
      <c r="B282" s="89" t="s">
        <v>591</v>
      </c>
      <c r="C282" s="89">
        <v>5</v>
      </c>
      <c r="D282" s="111">
        <v>0</v>
      </c>
      <c r="E282" s="111">
        <v>1.0791812460476249</v>
      </c>
      <c r="F282" s="89" t="s">
        <v>2429</v>
      </c>
      <c r="G282" s="89" t="b">
        <v>0</v>
      </c>
      <c r="H282" s="89" t="b">
        <v>0</v>
      </c>
      <c r="I282" s="89" t="b">
        <v>0</v>
      </c>
      <c r="J282" s="89" t="b">
        <v>0</v>
      </c>
      <c r="K282" s="89" t="b">
        <v>0</v>
      </c>
      <c r="L282" s="89" t="b">
        <v>0</v>
      </c>
    </row>
    <row r="283" spans="1:12" ht="15">
      <c r="A283" s="85" t="s">
        <v>591</v>
      </c>
      <c r="B283" s="89" t="s">
        <v>2474</v>
      </c>
      <c r="C283" s="89">
        <v>5</v>
      </c>
      <c r="D283" s="111">
        <v>0</v>
      </c>
      <c r="E283" s="111">
        <v>1.0791812460476249</v>
      </c>
      <c r="F283" s="89" t="s">
        <v>2429</v>
      </c>
      <c r="G283" s="89" t="b">
        <v>0</v>
      </c>
      <c r="H283" s="89" t="b">
        <v>0</v>
      </c>
      <c r="I283" s="89" t="b">
        <v>0</v>
      </c>
      <c r="J283" s="89" t="b">
        <v>0</v>
      </c>
      <c r="K283" s="89" t="b">
        <v>0</v>
      </c>
      <c r="L283" s="89" t="b">
        <v>0</v>
      </c>
    </row>
    <row r="284" spans="1:12" ht="15">
      <c r="A284" s="85" t="s">
        <v>2474</v>
      </c>
      <c r="B284" s="89" t="s">
        <v>2520</v>
      </c>
      <c r="C284" s="89">
        <v>5</v>
      </c>
      <c r="D284" s="111">
        <v>0</v>
      </c>
      <c r="E284" s="111">
        <v>1.0791812460476249</v>
      </c>
      <c r="F284" s="89" t="s">
        <v>2429</v>
      </c>
      <c r="G284" s="89" t="b">
        <v>0</v>
      </c>
      <c r="H284" s="89" t="b">
        <v>0</v>
      </c>
      <c r="I284" s="89" t="b">
        <v>0</v>
      </c>
      <c r="J284" s="89" t="b">
        <v>0</v>
      </c>
      <c r="K284" s="89" t="b">
        <v>0</v>
      </c>
      <c r="L284" s="89" t="b">
        <v>0</v>
      </c>
    </row>
    <row r="285" spans="1:12" ht="15">
      <c r="A285" s="85" t="s">
        <v>2520</v>
      </c>
      <c r="B285" s="89" t="s">
        <v>2527</v>
      </c>
      <c r="C285" s="89">
        <v>5</v>
      </c>
      <c r="D285" s="111">
        <v>0</v>
      </c>
      <c r="E285" s="111">
        <v>1.0791812460476249</v>
      </c>
      <c r="F285" s="89" t="s">
        <v>2429</v>
      </c>
      <c r="G285" s="89" t="b">
        <v>0</v>
      </c>
      <c r="H285" s="89" t="b">
        <v>0</v>
      </c>
      <c r="I285" s="89" t="b">
        <v>0</v>
      </c>
      <c r="J285" s="89" t="b">
        <v>0</v>
      </c>
      <c r="K285" s="89" t="b">
        <v>0</v>
      </c>
      <c r="L285" s="89" t="b">
        <v>0</v>
      </c>
    </row>
    <row r="286" spans="1:12" ht="15">
      <c r="A286" s="85" t="s">
        <v>2527</v>
      </c>
      <c r="B286" s="89" t="s">
        <v>2476</v>
      </c>
      <c r="C286" s="89">
        <v>5</v>
      </c>
      <c r="D286" s="111">
        <v>0</v>
      </c>
      <c r="E286" s="111">
        <v>1.0791812460476249</v>
      </c>
      <c r="F286" s="89" t="s">
        <v>2429</v>
      </c>
      <c r="G286" s="89" t="b">
        <v>0</v>
      </c>
      <c r="H286" s="89" t="b">
        <v>0</v>
      </c>
      <c r="I286" s="89" t="b">
        <v>0</v>
      </c>
      <c r="J286" s="89" t="b">
        <v>0</v>
      </c>
      <c r="K286" s="89" t="b">
        <v>0</v>
      </c>
      <c r="L286" s="89" t="b">
        <v>0</v>
      </c>
    </row>
    <row r="287" spans="1:12" ht="15">
      <c r="A287" s="85" t="s">
        <v>2476</v>
      </c>
      <c r="B287" s="89" t="s">
        <v>2532</v>
      </c>
      <c r="C287" s="89">
        <v>5</v>
      </c>
      <c r="D287" s="111">
        <v>0</v>
      </c>
      <c r="E287" s="111">
        <v>1.0791812460476249</v>
      </c>
      <c r="F287" s="89" t="s">
        <v>2429</v>
      </c>
      <c r="G287" s="89" t="b">
        <v>0</v>
      </c>
      <c r="H287" s="89" t="b">
        <v>0</v>
      </c>
      <c r="I287" s="89" t="b">
        <v>0</v>
      </c>
      <c r="J287" s="89" t="b">
        <v>0</v>
      </c>
      <c r="K287" s="89" t="b">
        <v>0</v>
      </c>
      <c r="L287" s="89" t="b">
        <v>0</v>
      </c>
    </row>
    <row r="288" spans="1:12" ht="15">
      <c r="A288" s="85" t="s">
        <v>2532</v>
      </c>
      <c r="B288" s="89" t="s">
        <v>2521</v>
      </c>
      <c r="C288" s="89">
        <v>5</v>
      </c>
      <c r="D288" s="111">
        <v>0</v>
      </c>
      <c r="E288" s="111">
        <v>1.0791812460476249</v>
      </c>
      <c r="F288" s="89" t="s">
        <v>2429</v>
      </c>
      <c r="G288" s="89" t="b">
        <v>0</v>
      </c>
      <c r="H288" s="89" t="b">
        <v>0</v>
      </c>
      <c r="I288" s="89" t="b">
        <v>0</v>
      </c>
      <c r="J288" s="89" t="b">
        <v>0</v>
      </c>
      <c r="K288" s="89" t="b">
        <v>0</v>
      </c>
      <c r="L288" s="89" t="b">
        <v>0</v>
      </c>
    </row>
    <row r="289" spans="1:12" ht="15">
      <c r="A289" s="85" t="s">
        <v>2521</v>
      </c>
      <c r="B289" s="89" t="s">
        <v>2523</v>
      </c>
      <c r="C289" s="89">
        <v>5</v>
      </c>
      <c r="D289" s="111">
        <v>0</v>
      </c>
      <c r="E289" s="111">
        <v>1.0791812460476249</v>
      </c>
      <c r="F289" s="89" t="s">
        <v>2429</v>
      </c>
      <c r="G289" s="89" t="b">
        <v>0</v>
      </c>
      <c r="H289" s="89" t="b">
        <v>0</v>
      </c>
      <c r="I289" s="89" t="b">
        <v>0</v>
      </c>
      <c r="J289" s="89" t="b">
        <v>0</v>
      </c>
      <c r="K289" s="89" t="b">
        <v>0</v>
      </c>
      <c r="L289" s="89" t="b">
        <v>0</v>
      </c>
    </row>
    <row r="290" spans="1:12" ht="15">
      <c r="A290" s="85" t="s">
        <v>2523</v>
      </c>
      <c r="B290" s="89" t="s">
        <v>2528</v>
      </c>
      <c r="C290" s="89">
        <v>5</v>
      </c>
      <c r="D290" s="111">
        <v>0</v>
      </c>
      <c r="E290" s="111">
        <v>1.0791812460476249</v>
      </c>
      <c r="F290" s="89" t="s">
        <v>2429</v>
      </c>
      <c r="G290" s="89" t="b">
        <v>0</v>
      </c>
      <c r="H290" s="89" t="b">
        <v>0</v>
      </c>
      <c r="I290" s="89" t="b">
        <v>0</v>
      </c>
      <c r="J290" s="89" t="b">
        <v>0</v>
      </c>
      <c r="K290" s="89" t="b">
        <v>0</v>
      </c>
      <c r="L290" s="89" t="b">
        <v>0</v>
      </c>
    </row>
    <row r="291" spans="1:12" ht="15">
      <c r="A291" s="85" t="s">
        <v>2528</v>
      </c>
      <c r="B291" s="89" t="s">
        <v>2529</v>
      </c>
      <c r="C291" s="89">
        <v>5</v>
      </c>
      <c r="D291" s="111">
        <v>0</v>
      </c>
      <c r="E291" s="111">
        <v>1.0791812460476249</v>
      </c>
      <c r="F291" s="89" t="s">
        <v>2429</v>
      </c>
      <c r="G291" s="89" t="b">
        <v>0</v>
      </c>
      <c r="H291" s="89" t="b">
        <v>0</v>
      </c>
      <c r="I291" s="89" t="b">
        <v>0</v>
      </c>
      <c r="J291" s="89" t="b">
        <v>0</v>
      </c>
      <c r="K291" s="89" t="b">
        <v>0</v>
      </c>
      <c r="L291" s="89" t="b">
        <v>0</v>
      </c>
    </row>
    <row r="292" spans="1:12" ht="15">
      <c r="A292" s="85" t="s">
        <v>2529</v>
      </c>
      <c r="B292" s="89" t="s">
        <v>2530</v>
      </c>
      <c r="C292" s="89">
        <v>5</v>
      </c>
      <c r="D292" s="111">
        <v>0</v>
      </c>
      <c r="E292" s="111">
        <v>1.0791812460476249</v>
      </c>
      <c r="F292" s="89" t="s">
        <v>2429</v>
      </c>
      <c r="G292" s="89" t="b">
        <v>0</v>
      </c>
      <c r="H292" s="89" t="b">
        <v>0</v>
      </c>
      <c r="I292" s="89" t="b">
        <v>0</v>
      </c>
      <c r="J292" s="89" t="b">
        <v>0</v>
      </c>
      <c r="K292" s="89" t="b">
        <v>0</v>
      </c>
      <c r="L292" s="89" t="b">
        <v>0</v>
      </c>
    </row>
    <row r="293" spans="1:12" ht="15">
      <c r="A293" s="85" t="s">
        <v>2602</v>
      </c>
      <c r="B293" s="89" t="s">
        <v>2603</v>
      </c>
      <c r="C293" s="89">
        <v>2</v>
      </c>
      <c r="D293" s="111">
        <v>0.02446775665229038</v>
      </c>
      <c r="E293" s="111">
        <v>1.255272505103306</v>
      </c>
      <c r="F293" s="89" t="s">
        <v>2430</v>
      </c>
      <c r="G293" s="89" t="b">
        <v>0</v>
      </c>
      <c r="H293" s="89" t="b">
        <v>0</v>
      </c>
      <c r="I293" s="89" t="b">
        <v>0</v>
      </c>
      <c r="J293" s="89" t="b">
        <v>0</v>
      </c>
      <c r="K293" s="89" t="b">
        <v>0</v>
      </c>
      <c r="L293" s="89" t="b">
        <v>0</v>
      </c>
    </row>
    <row r="294" spans="1:12" ht="15">
      <c r="A294" s="85" t="s">
        <v>591</v>
      </c>
      <c r="B294" s="89" t="s">
        <v>2474</v>
      </c>
      <c r="C294" s="89">
        <v>2</v>
      </c>
      <c r="D294" s="111">
        <v>0.009030320977214422</v>
      </c>
      <c r="E294" s="111">
        <v>1.0791812460476249</v>
      </c>
      <c r="F294" s="89" t="s">
        <v>2430</v>
      </c>
      <c r="G294" s="89" t="b">
        <v>0</v>
      </c>
      <c r="H294" s="89" t="b">
        <v>0</v>
      </c>
      <c r="I294" s="89" t="b">
        <v>0</v>
      </c>
      <c r="J294" s="89" t="b">
        <v>0</v>
      </c>
      <c r="K294" s="89" t="b">
        <v>0</v>
      </c>
      <c r="L294" s="89" t="b">
        <v>0</v>
      </c>
    </row>
    <row r="295" spans="1:12" ht="15">
      <c r="A295" s="85" t="s">
        <v>2552</v>
      </c>
      <c r="B295" s="89" t="s">
        <v>2553</v>
      </c>
      <c r="C295" s="89">
        <v>3</v>
      </c>
      <c r="D295" s="111">
        <v>0</v>
      </c>
      <c r="E295" s="111">
        <v>1.146128035678238</v>
      </c>
      <c r="F295" s="89" t="s">
        <v>2431</v>
      </c>
      <c r="G295" s="89" t="b">
        <v>0</v>
      </c>
      <c r="H295" s="89" t="b">
        <v>0</v>
      </c>
      <c r="I295" s="89" t="b">
        <v>0</v>
      </c>
      <c r="J295" s="89" t="b">
        <v>0</v>
      </c>
      <c r="K295" s="89" t="b">
        <v>0</v>
      </c>
      <c r="L295" s="89" t="b">
        <v>0</v>
      </c>
    </row>
    <row r="296" spans="1:12" ht="15">
      <c r="A296" s="85" t="s">
        <v>2553</v>
      </c>
      <c r="B296" s="89" t="s">
        <v>2554</v>
      </c>
      <c r="C296" s="89">
        <v>3</v>
      </c>
      <c r="D296" s="111">
        <v>0</v>
      </c>
      <c r="E296" s="111">
        <v>1.146128035678238</v>
      </c>
      <c r="F296" s="89" t="s">
        <v>2431</v>
      </c>
      <c r="G296" s="89" t="b">
        <v>0</v>
      </c>
      <c r="H296" s="89" t="b">
        <v>0</v>
      </c>
      <c r="I296" s="89" t="b">
        <v>0</v>
      </c>
      <c r="J296" s="89" t="b">
        <v>0</v>
      </c>
      <c r="K296" s="89" t="b">
        <v>0</v>
      </c>
      <c r="L296" s="89" t="b">
        <v>0</v>
      </c>
    </row>
    <row r="297" spans="1:12" ht="15">
      <c r="A297" s="85" t="s">
        <v>2554</v>
      </c>
      <c r="B297" s="89" t="s">
        <v>2555</v>
      </c>
      <c r="C297" s="89">
        <v>3</v>
      </c>
      <c r="D297" s="111">
        <v>0</v>
      </c>
      <c r="E297" s="111">
        <v>1.146128035678238</v>
      </c>
      <c r="F297" s="89" t="s">
        <v>2431</v>
      </c>
      <c r="G297" s="89" t="b">
        <v>0</v>
      </c>
      <c r="H297" s="89" t="b">
        <v>0</v>
      </c>
      <c r="I297" s="89" t="b">
        <v>0</v>
      </c>
      <c r="J297" s="89" t="b">
        <v>0</v>
      </c>
      <c r="K297" s="89" t="b">
        <v>0</v>
      </c>
      <c r="L297" s="89" t="b">
        <v>0</v>
      </c>
    </row>
    <row r="298" spans="1:12" ht="15">
      <c r="A298" s="85" t="s">
        <v>2555</v>
      </c>
      <c r="B298" s="89" t="s">
        <v>2556</v>
      </c>
      <c r="C298" s="89">
        <v>3</v>
      </c>
      <c r="D298" s="111">
        <v>0</v>
      </c>
      <c r="E298" s="111">
        <v>1.146128035678238</v>
      </c>
      <c r="F298" s="89" t="s">
        <v>2431</v>
      </c>
      <c r="G298" s="89" t="b">
        <v>0</v>
      </c>
      <c r="H298" s="89" t="b">
        <v>0</v>
      </c>
      <c r="I298" s="89" t="b">
        <v>0</v>
      </c>
      <c r="J298" s="89" t="b">
        <v>0</v>
      </c>
      <c r="K298" s="89" t="b">
        <v>0</v>
      </c>
      <c r="L298" s="89" t="b">
        <v>0</v>
      </c>
    </row>
    <row r="299" spans="1:12" ht="15">
      <c r="A299" s="85" t="s">
        <v>2556</v>
      </c>
      <c r="B299" s="89" t="s">
        <v>2557</v>
      </c>
      <c r="C299" s="89">
        <v>3</v>
      </c>
      <c r="D299" s="111">
        <v>0</v>
      </c>
      <c r="E299" s="111">
        <v>1.146128035678238</v>
      </c>
      <c r="F299" s="89" t="s">
        <v>2431</v>
      </c>
      <c r="G299" s="89" t="b">
        <v>0</v>
      </c>
      <c r="H299" s="89" t="b">
        <v>0</v>
      </c>
      <c r="I299" s="89" t="b">
        <v>0</v>
      </c>
      <c r="J299" s="89" t="b">
        <v>0</v>
      </c>
      <c r="K299" s="89" t="b">
        <v>0</v>
      </c>
      <c r="L299" s="89" t="b">
        <v>0</v>
      </c>
    </row>
    <row r="300" spans="1:12" ht="15">
      <c r="A300" s="85" t="s">
        <v>2557</v>
      </c>
      <c r="B300" s="89" t="s">
        <v>2558</v>
      </c>
      <c r="C300" s="89">
        <v>3</v>
      </c>
      <c r="D300" s="111">
        <v>0</v>
      </c>
      <c r="E300" s="111">
        <v>1.146128035678238</v>
      </c>
      <c r="F300" s="89" t="s">
        <v>2431</v>
      </c>
      <c r="G300" s="89" t="b">
        <v>0</v>
      </c>
      <c r="H300" s="89" t="b">
        <v>0</v>
      </c>
      <c r="I300" s="89" t="b">
        <v>0</v>
      </c>
      <c r="J300" s="89" t="b">
        <v>0</v>
      </c>
      <c r="K300" s="89" t="b">
        <v>0</v>
      </c>
      <c r="L300" s="89" t="b">
        <v>0</v>
      </c>
    </row>
    <row r="301" spans="1:12" ht="15">
      <c r="A301" s="85" t="s">
        <v>2558</v>
      </c>
      <c r="B301" s="89" t="s">
        <v>2519</v>
      </c>
      <c r="C301" s="89">
        <v>3</v>
      </c>
      <c r="D301" s="111">
        <v>0</v>
      </c>
      <c r="E301" s="111">
        <v>1.146128035678238</v>
      </c>
      <c r="F301" s="89" t="s">
        <v>2431</v>
      </c>
      <c r="G301" s="89" t="b">
        <v>0</v>
      </c>
      <c r="H301" s="89" t="b">
        <v>0</v>
      </c>
      <c r="I301" s="89" t="b">
        <v>0</v>
      </c>
      <c r="J301" s="89" t="b">
        <v>0</v>
      </c>
      <c r="K301" s="89" t="b">
        <v>0</v>
      </c>
      <c r="L301" s="89" t="b">
        <v>0</v>
      </c>
    </row>
    <row r="302" spans="1:12" ht="15">
      <c r="A302" s="85" t="s">
        <v>2519</v>
      </c>
      <c r="B302" s="89" t="s">
        <v>2559</v>
      </c>
      <c r="C302" s="89">
        <v>3</v>
      </c>
      <c r="D302" s="111">
        <v>0</v>
      </c>
      <c r="E302" s="111">
        <v>1.146128035678238</v>
      </c>
      <c r="F302" s="89" t="s">
        <v>2431</v>
      </c>
      <c r="G302" s="89" t="b">
        <v>0</v>
      </c>
      <c r="H302" s="89" t="b">
        <v>0</v>
      </c>
      <c r="I302" s="89" t="b">
        <v>0</v>
      </c>
      <c r="J302" s="89" t="b">
        <v>0</v>
      </c>
      <c r="K302" s="89" t="b">
        <v>0</v>
      </c>
      <c r="L302" s="89" t="b">
        <v>0</v>
      </c>
    </row>
    <row r="303" spans="1:12" ht="15">
      <c r="A303" s="85" t="s">
        <v>2559</v>
      </c>
      <c r="B303" s="89" t="s">
        <v>2560</v>
      </c>
      <c r="C303" s="89">
        <v>3</v>
      </c>
      <c r="D303" s="111">
        <v>0</v>
      </c>
      <c r="E303" s="111">
        <v>1.146128035678238</v>
      </c>
      <c r="F303" s="89" t="s">
        <v>2431</v>
      </c>
      <c r="G303" s="89" t="b">
        <v>0</v>
      </c>
      <c r="H303" s="89" t="b">
        <v>0</v>
      </c>
      <c r="I303" s="89" t="b">
        <v>0</v>
      </c>
      <c r="J303" s="89" t="b">
        <v>0</v>
      </c>
      <c r="K303" s="89" t="b">
        <v>0</v>
      </c>
      <c r="L303" s="89" t="b">
        <v>0</v>
      </c>
    </row>
    <row r="304" spans="1:12" ht="15">
      <c r="A304" s="85" t="s">
        <v>2560</v>
      </c>
      <c r="B304" s="89" t="s">
        <v>2561</v>
      </c>
      <c r="C304" s="89">
        <v>3</v>
      </c>
      <c r="D304" s="111">
        <v>0</v>
      </c>
      <c r="E304" s="111">
        <v>1.146128035678238</v>
      </c>
      <c r="F304" s="89" t="s">
        <v>2431</v>
      </c>
      <c r="G304" s="89" t="b">
        <v>0</v>
      </c>
      <c r="H304" s="89" t="b">
        <v>0</v>
      </c>
      <c r="I304" s="89" t="b">
        <v>0</v>
      </c>
      <c r="J304" s="89" t="b">
        <v>0</v>
      </c>
      <c r="K304" s="89" t="b">
        <v>0</v>
      </c>
      <c r="L304" s="89" t="b">
        <v>0</v>
      </c>
    </row>
    <row r="305" spans="1:12" ht="15">
      <c r="A305" s="85" t="s">
        <v>2561</v>
      </c>
      <c r="B305" s="89" t="s">
        <v>2562</v>
      </c>
      <c r="C305" s="89">
        <v>3</v>
      </c>
      <c r="D305" s="111">
        <v>0</v>
      </c>
      <c r="E305" s="111">
        <v>1.146128035678238</v>
      </c>
      <c r="F305" s="89" t="s">
        <v>2431</v>
      </c>
      <c r="G305" s="89" t="b">
        <v>0</v>
      </c>
      <c r="H305" s="89" t="b">
        <v>0</v>
      </c>
      <c r="I305" s="89" t="b">
        <v>0</v>
      </c>
      <c r="J305" s="89" t="b">
        <v>0</v>
      </c>
      <c r="K305" s="89" t="b">
        <v>0</v>
      </c>
      <c r="L305" s="89" t="b">
        <v>0</v>
      </c>
    </row>
    <row r="306" spans="1:12" ht="15">
      <c r="A306" s="85" t="s">
        <v>2562</v>
      </c>
      <c r="B306" s="89" t="s">
        <v>2563</v>
      </c>
      <c r="C306" s="89">
        <v>3</v>
      </c>
      <c r="D306" s="111">
        <v>0</v>
      </c>
      <c r="E306" s="111">
        <v>1.146128035678238</v>
      </c>
      <c r="F306" s="89" t="s">
        <v>2431</v>
      </c>
      <c r="G306" s="89" t="b">
        <v>0</v>
      </c>
      <c r="H306" s="89" t="b">
        <v>0</v>
      </c>
      <c r="I306" s="89" t="b">
        <v>0</v>
      </c>
      <c r="J306" s="89" t="b">
        <v>0</v>
      </c>
      <c r="K306" s="89" t="b">
        <v>0</v>
      </c>
      <c r="L306" s="89" t="b">
        <v>0</v>
      </c>
    </row>
    <row r="307" spans="1:12" ht="15">
      <c r="A307" s="85" t="s">
        <v>2563</v>
      </c>
      <c r="B307" s="89" t="s">
        <v>2545</v>
      </c>
      <c r="C307" s="89">
        <v>3</v>
      </c>
      <c r="D307" s="111">
        <v>0</v>
      </c>
      <c r="E307" s="111">
        <v>1.146128035678238</v>
      </c>
      <c r="F307" s="89" t="s">
        <v>2431</v>
      </c>
      <c r="G307" s="89" t="b">
        <v>0</v>
      </c>
      <c r="H307" s="89" t="b">
        <v>0</v>
      </c>
      <c r="I307" s="89" t="b">
        <v>0</v>
      </c>
      <c r="J307" s="89" t="b">
        <v>0</v>
      </c>
      <c r="K307" s="89" t="b">
        <v>0</v>
      </c>
      <c r="L307" s="89" t="b">
        <v>0</v>
      </c>
    </row>
    <row r="308" spans="1:12" ht="15">
      <c r="A308" s="85" t="s">
        <v>2545</v>
      </c>
      <c r="B308" s="89" t="s">
        <v>490</v>
      </c>
      <c r="C308" s="89">
        <v>3</v>
      </c>
      <c r="D308" s="111">
        <v>0</v>
      </c>
      <c r="E308" s="111">
        <v>1.146128035678238</v>
      </c>
      <c r="F308" s="89" t="s">
        <v>2431</v>
      </c>
      <c r="G308" s="89" t="b">
        <v>0</v>
      </c>
      <c r="H308" s="89" t="b">
        <v>0</v>
      </c>
      <c r="I308" s="89" t="b">
        <v>0</v>
      </c>
      <c r="J308" s="89" t="b">
        <v>0</v>
      </c>
      <c r="K308" s="89" t="b">
        <v>0</v>
      </c>
      <c r="L308" s="89" t="b">
        <v>0</v>
      </c>
    </row>
    <row r="309" spans="1:12" ht="15">
      <c r="A309" s="85" t="s">
        <v>591</v>
      </c>
      <c r="B309" s="89" t="s">
        <v>2474</v>
      </c>
      <c r="C309" s="89">
        <v>2</v>
      </c>
      <c r="D309" s="111">
        <v>0.01720171403794178</v>
      </c>
      <c r="E309" s="111">
        <v>0.8195439355418687</v>
      </c>
      <c r="F309" s="89" t="s">
        <v>2434</v>
      </c>
      <c r="G309" s="89" t="b">
        <v>0</v>
      </c>
      <c r="H309" s="89" t="b">
        <v>0</v>
      </c>
      <c r="I309" s="89" t="b">
        <v>0</v>
      </c>
      <c r="J309" s="89" t="b">
        <v>0</v>
      </c>
      <c r="K309" s="89" t="b">
        <v>0</v>
      </c>
      <c r="L309" s="89" t="b">
        <v>0</v>
      </c>
    </row>
    <row r="310" spans="1:12" ht="15">
      <c r="A310" s="85" t="s">
        <v>2496</v>
      </c>
      <c r="B310" s="89" t="s">
        <v>2583</v>
      </c>
      <c r="C310" s="89">
        <v>2</v>
      </c>
      <c r="D310" s="111">
        <v>0</v>
      </c>
      <c r="E310" s="111">
        <v>1.3222192947339193</v>
      </c>
      <c r="F310" s="89" t="s">
        <v>2436</v>
      </c>
      <c r="G310" s="89" t="b">
        <v>0</v>
      </c>
      <c r="H310" s="89" t="b">
        <v>0</v>
      </c>
      <c r="I310" s="89" t="b">
        <v>0</v>
      </c>
      <c r="J310" s="89" t="b">
        <v>0</v>
      </c>
      <c r="K310" s="89" t="b">
        <v>0</v>
      </c>
      <c r="L310" s="89" t="b">
        <v>0</v>
      </c>
    </row>
    <row r="311" spans="1:12" ht="15">
      <c r="A311" s="85" t="s">
        <v>2583</v>
      </c>
      <c r="B311" s="89" t="s">
        <v>2584</v>
      </c>
      <c r="C311" s="89">
        <v>2</v>
      </c>
      <c r="D311" s="111">
        <v>0</v>
      </c>
      <c r="E311" s="111">
        <v>1.3222192947339193</v>
      </c>
      <c r="F311" s="89" t="s">
        <v>2436</v>
      </c>
      <c r="G311" s="89" t="b">
        <v>0</v>
      </c>
      <c r="H311" s="89" t="b">
        <v>0</v>
      </c>
      <c r="I311" s="89" t="b">
        <v>0</v>
      </c>
      <c r="J311" s="89" t="b">
        <v>0</v>
      </c>
      <c r="K311" s="89" t="b">
        <v>0</v>
      </c>
      <c r="L311" s="89" t="b">
        <v>0</v>
      </c>
    </row>
    <row r="312" spans="1:12" ht="15">
      <c r="A312" s="85" t="s">
        <v>2584</v>
      </c>
      <c r="B312" s="89" t="s">
        <v>2585</v>
      </c>
      <c r="C312" s="89">
        <v>2</v>
      </c>
      <c r="D312" s="111">
        <v>0</v>
      </c>
      <c r="E312" s="111">
        <v>1.3222192947339193</v>
      </c>
      <c r="F312" s="89" t="s">
        <v>2436</v>
      </c>
      <c r="G312" s="89" t="b">
        <v>0</v>
      </c>
      <c r="H312" s="89" t="b">
        <v>0</v>
      </c>
      <c r="I312" s="89" t="b">
        <v>0</v>
      </c>
      <c r="J312" s="89" t="b">
        <v>0</v>
      </c>
      <c r="K312" s="89" t="b">
        <v>0</v>
      </c>
      <c r="L312" s="89" t="b">
        <v>0</v>
      </c>
    </row>
    <row r="313" spans="1:12" ht="15">
      <c r="A313" s="85" t="s">
        <v>2585</v>
      </c>
      <c r="B313" s="89" t="s">
        <v>2586</v>
      </c>
      <c r="C313" s="89">
        <v>2</v>
      </c>
      <c r="D313" s="111">
        <v>0</v>
      </c>
      <c r="E313" s="111">
        <v>1.3222192947339193</v>
      </c>
      <c r="F313" s="89" t="s">
        <v>2436</v>
      </c>
      <c r="G313" s="89" t="b">
        <v>0</v>
      </c>
      <c r="H313" s="89" t="b">
        <v>0</v>
      </c>
      <c r="I313" s="89" t="b">
        <v>0</v>
      </c>
      <c r="J313" s="89" t="b">
        <v>0</v>
      </c>
      <c r="K313" s="89" t="b">
        <v>0</v>
      </c>
      <c r="L313" s="89" t="b">
        <v>0</v>
      </c>
    </row>
    <row r="314" spans="1:12" ht="15">
      <c r="A314" s="85" t="s">
        <v>2586</v>
      </c>
      <c r="B314" s="89" t="s">
        <v>2587</v>
      </c>
      <c r="C314" s="89">
        <v>2</v>
      </c>
      <c r="D314" s="111">
        <v>0</v>
      </c>
      <c r="E314" s="111">
        <v>1.3222192947339193</v>
      </c>
      <c r="F314" s="89" t="s">
        <v>2436</v>
      </c>
      <c r="G314" s="89" t="b">
        <v>0</v>
      </c>
      <c r="H314" s="89" t="b">
        <v>0</v>
      </c>
      <c r="I314" s="89" t="b">
        <v>0</v>
      </c>
      <c r="J314" s="89" t="b">
        <v>0</v>
      </c>
      <c r="K314" s="89" t="b">
        <v>0</v>
      </c>
      <c r="L314" s="89" t="b">
        <v>0</v>
      </c>
    </row>
    <row r="315" spans="1:12" ht="15">
      <c r="A315" s="85" t="s">
        <v>2587</v>
      </c>
      <c r="B315" s="89" t="s">
        <v>2588</v>
      </c>
      <c r="C315" s="89">
        <v>2</v>
      </c>
      <c r="D315" s="111">
        <v>0</v>
      </c>
      <c r="E315" s="111">
        <v>1.3222192947339193</v>
      </c>
      <c r="F315" s="89" t="s">
        <v>2436</v>
      </c>
      <c r="G315" s="89" t="b">
        <v>0</v>
      </c>
      <c r="H315" s="89" t="b">
        <v>0</v>
      </c>
      <c r="I315" s="89" t="b">
        <v>0</v>
      </c>
      <c r="J315" s="89" t="b">
        <v>0</v>
      </c>
      <c r="K315" s="89" t="b">
        <v>0</v>
      </c>
      <c r="L315" s="89" t="b">
        <v>0</v>
      </c>
    </row>
    <row r="316" spans="1:12" ht="15">
      <c r="A316" s="85" t="s">
        <v>2588</v>
      </c>
      <c r="B316" s="89" t="s">
        <v>2589</v>
      </c>
      <c r="C316" s="89">
        <v>2</v>
      </c>
      <c r="D316" s="111">
        <v>0</v>
      </c>
      <c r="E316" s="111">
        <v>1.3222192947339193</v>
      </c>
      <c r="F316" s="89" t="s">
        <v>2436</v>
      </c>
      <c r="G316" s="89" t="b">
        <v>0</v>
      </c>
      <c r="H316" s="89" t="b">
        <v>0</v>
      </c>
      <c r="I316" s="89" t="b">
        <v>0</v>
      </c>
      <c r="J316" s="89" t="b">
        <v>0</v>
      </c>
      <c r="K316" s="89" t="b">
        <v>0</v>
      </c>
      <c r="L316" s="89" t="b">
        <v>0</v>
      </c>
    </row>
    <row r="317" spans="1:12" ht="15">
      <c r="A317" s="85" t="s">
        <v>2589</v>
      </c>
      <c r="B317" s="89" t="s">
        <v>2590</v>
      </c>
      <c r="C317" s="89">
        <v>2</v>
      </c>
      <c r="D317" s="111">
        <v>0</v>
      </c>
      <c r="E317" s="111">
        <v>1.3222192947339193</v>
      </c>
      <c r="F317" s="89" t="s">
        <v>2436</v>
      </c>
      <c r="G317" s="89" t="b">
        <v>0</v>
      </c>
      <c r="H317" s="89" t="b">
        <v>0</v>
      </c>
      <c r="I317" s="89" t="b">
        <v>0</v>
      </c>
      <c r="J317" s="89" t="b">
        <v>0</v>
      </c>
      <c r="K317" s="89" t="b">
        <v>0</v>
      </c>
      <c r="L317" s="89" t="b">
        <v>0</v>
      </c>
    </row>
    <row r="318" spans="1:12" ht="15">
      <c r="A318" s="85" t="s">
        <v>2590</v>
      </c>
      <c r="B318" s="89" t="s">
        <v>2550</v>
      </c>
      <c r="C318" s="89">
        <v>2</v>
      </c>
      <c r="D318" s="111">
        <v>0</v>
      </c>
      <c r="E318" s="111">
        <v>1.3222192947339193</v>
      </c>
      <c r="F318" s="89" t="s">
        <v>2436</v>
      </c>
      <c r="G318" s="89" t="b">
        <v>0</v>
      </c>
      <c r="H318" s="89" t="b">
        <v>0</v>
      </c>
      <c r="I318" s="89" t="b">
        <v>0</v>
      </c>
      <c r="J318" s="89" t="b">
        <v>0</v>
      </c>
      <c r="K318" s="89" t="b">
        <v>0</v>
      </c>
      <c r="L318" s="89" t="b">
        <v>0</v>
      </c>
    </row>
    <row r="319" spans="1:12" ht="15">
      <c r="A319" s="85" t="s">
        <v>2550</v>
      </c>
      <c r="B319" s="89" t="s">
        <v>2591</v>
      </c>
      <c r="C319" s="89">
        <v>2</v>
      </c>
      <c r="D319" s="111">
        <v>0</v>
      </c>
      <c r="E319" s="111">
        <v>1.3222192947339193</v>
      </c>
      <c r="F319" s="89" t="s">
        <v>2436</v>
      </c>
      <c r="G319" s="89" t="b">
        <v>0</v>
      </c>
      <c r="H319" s="89" t="b">
        <v>0</v>
      </c>
      <c r="I319" s="89" t="b">
        <v>0</v>
      </c>
      <c r="J319" s="89" t="b">
        <v>0</v>
      </c>
      <c r="K319" s="89" t="b">
        <v>0</v>
      </c>
      <c r="L319" s="89" t="b">
        <v>0</v>
      </c>
    </row>
    <row r="320" spans="1:12" ht="15">
      <c r="A320" s="85" t="s">
        <v>2591</v>
      </c>
      <c r="B320" s="89" t="s">
        <v>2592</v>
      </c>
      <c r="C320" s="89">
        <v>2</v>
      </c>
      <c r="D320" s="111">
        <v>0</v>
      </c>
      <c r="E320" s="111">
        <v>1.3222192947339193</v>
      </c>
      <c r="F320" s="89" t="s">
        <v>2436</v>
      </c>
      <c r="G320" s="89" t="b">
        <v>0</v>
      </c>
      <c r="H320" s="89" t="b">
        <v>0</v>
      </c>
      <c r="I320" s="89" t="b">
        <v>0</v>
      </c>
      <c r="J320" s="89" t="b">
        <v>0</v>
      </c>
      <c r="K320" s="89" t="b">
        <v>0</v>
      </c>
      <c r="L320" s="89" t="b">
        <v>0</v>
      </c>
    </row>
    <row r="321" spans="1:12" ht="15">
      <c r="A321" s="85" t="s">
        <v>2592</v>
      </c>
      <c r="B321" s="89" t="s">
        <v>2593</v>
      </c>
      <c r="C321" s="89">
        <v>2</v>
      </c>
      <c r="D321" s="111">
        <v>0</v>
      </c>
      <c r="E321" s="111">
        <v>1.3222192947339193</v>
      </c>
      <c r="F321" s="89" t="s">
        <v>2436</v>
      </c>
      <c r="G321" s="89" t="b">
        <v>0</v>
      </c>
      <c r="H321" s="89" t="b">
        <v>0</v>
      </c>
      <c r="I321" s="89" t="b">
        <v>0</v>
      </c>
      <c r="J321" s="89" t="b">
        <v>0</v>
      </c>
      <c r="K321" s="89" t="b">
        <v>0</v>
      </c>
      <c r="L321" s="89" t="b">
        <v>0</v>
      </c>
    </row>
    <row r="322" spans="1:12" ht="15">
      <c r="A322" s="85" t="s">
        <v>2593</v>
      </c>
      <c r="B322" s="89" t="s">
        <v>2594</v>
      </c>
      <c r="C322" s="89">
        <v>2</v>
      </c>
      <c r="D322" s="111">
        <v>0</v>
      </c>
      <c r="E322" s="111">
        <v>1.3222192947339193</v>
      </c>
      <c r="F322" s="89" t="s">
        <v>2436</v>
      </c>
      <c r="G322" s="89" t="b">
        <v>0</v>
      </c>
      <c r="H322" s="89" t="b">
        <v>0</v>
      </c>
      <c r="I322" s="89" t="b">
        <v>0</v>
      </c>
      <c r="J322" s="89" t="b">
        <v>0</v>
      </c>
      <c r="K322" s="89" t="b">
        <v>0</v>
      </c>
      <c r="L322" s="89" t="b">
        <v>0</v>
      </c>
    </row>
    <row r="323" spans="1:12" ht="15">
      <c r="A323" s="85" t="s">
        <v>2594</v>
      </c>
      <c r="B323" s="89" t="s">
        <v>2595</v>
      </c>
      <c r="C323" s="89">
        <v>2</v>
      </c>
      <c r="D323" s="111">
        <v>0</v>
      </c>
      <c r="E323" s="111">
        <v>1.3222192947339193</v>
      </c>
      <c r="F323" s="89" t="s">
        <v>2436</v>
      </c>
      <c r="G323" s="89" t="b">
        <v>0</v>
      </c>
      <c r="H323" s="89" t="b">
        <v>0</v>
      </c>
      <c r="I323" s="89" t="b">
        <v>0</v>
      </c>
      <c r="J323" s="89" t="b">
        <v>0</v>
      </c>
      <c r="K323" s="89" t="b">
        <v>0</v>
      </c>
      <c r="L323" s="89" t="b">
        <v>0</v>
      </c>
    </row>
    <row r="324" spans="1:12" ht="15">
      <c r="A324" s="85" t="s">
        <v>2595</v>
      </c>
      <c r="B324" s="89" t="s">
        <v>2596</v>
      </c>
      <c r="C324" s="89">
        <v>2</v>
      </c>
      <c r="D324" s="111">
        <v>0</v>
      </c>
      <c r="E324" s="111">
        <v>1.3222192947339193</v>
      </c>
      <c r="F324" s="89" t="s">
        <v>2436</v>
      </c>
      <c r="G324" s="89" t="b">
        <v>0</v>
      </c>
      <c r="H324" s="89" t="b">
        <v>0</v>
      </c>
      <c r="I324" s="89" t="b">
        <v>0</v>
      </c>
      <c r="J324" s="89" t="b">
        <v>0</v>
      </c>
      <c r="K324" s="89" t="b">
        <v>0</v>
      </c>
      <c r="L324" s="89" t="b">
        <v>0</v>
      </c>
    </row>
    <row r="325" spans="1:12" ht="15">
      <c r="A325" s="85" t="s">
        <v>2596</v>
      </c>
      <c r="B325" s="89" t="s">
        <v>2525</v>
      </c>
      <c r="C325" s="89">
        <v>2</v>
      </c>
      <c r="D325" s="111">
        <v>0</v>
      </c>
      <c r="E325" s="111">
        <v>0.8450980400142569</v>
      </c>
      <c r="F325" s="89" t="s">
        <v>2436</v>
      </c>
      <c r="G325" s="89" t="b">
        <v>0</v>
      </c>
      <c r="H325" s="89" t="b">
        <v>0</v>
      </c>
      <c r="I325" s="89" t="b">
        <v>0</v>
      </c>
      <c r="J325" s="89" t="b">
        <v>0</v>
      </c>
      <c r="K325" s="89" t="b">
        <v>0</v>
      </c>
      <c r="L325" s="89" t="b">
        <v>0</v>
      </c>
    </row>
    <row r="326" spans="1:12" ht="15">
      <c r="A326" s="85" t="s">
        <v>2525</v>
      </c>
      <c r="B326" s="89" t="s">
        <v>2597</v>
      </c>
      <c r="C326" s="89">
        <v>2</v>
      </c>
      <c r="D326" s="111">
        <v>0</v>
      </c>
      <c r="E326" s="111">
        <v>0.8450980400142569</v>
      </c>
      <c r="F326" s="89" t="s">
        <v>2436</v>
      </c>
      <c r="G326" s="89" t="b">
        <v>0</v>
      </c>
      <c r="H326" s="89" t="b">
        <v>0</v>
      </c>
      <c r="I326" s="89" t="b">
        <v>0</v>
      </c>
      <c r="J326" s="89" t="b">
        <v>0</v>
      </c>
      <c r="K326" s="89" t="b">
        <v>0</v>
      </c>
      <c r="L326" s="89" t="b">
        <v>0</v>
      </c>
    </row>
    <row r="327" spans="1:12" ht="15">
      <c r="A327" s="85" t="s">
        <v>2597</v>
      </c>
      <c r="B327" s="89" t="s">
        <v>2525</v>
      </c>
      <c r="C327" s="89">
        <v>2</v>
      </c>
      <c r="D327" s="111">
        <v>0</v>
      </c>
      <c r="E327" s="111">
        <v>0.8450980400142569</v>
      </c>
      <c r="F327" s="89" t="s">
        <v>2436</v>
      </c>
      <c r="G327" s="89" t="b">
        <v>0</v>
      </c>
      <c r="H327" s="89" t="b">
        <v>0</v>
      </c>
      <c r="I327" s="89" t="b">
        <v>0</v>
      </c>
      <c r="J327" s="89" t="b">
        <v>0</v>
      </c>
      <c r="K327" s="89" t="b">
        <v>0</v>
      </c>
      <c r="L327" s="89" t="b">
        <v>0</v>
      </c>
    </row>
    <row r="328" spans="1:12" ht="15">
      <c r="A328" s="85" t="s">
        <v>2525</v>
      </c>
      <c r="B328" s="89" t="s">
        <v>2598</v>
      </c>
      <c r="C328" s="89">
        <v>2</v>
      </c>
      <c r="D328" s="111">
        <v>0</v>
      </c>
      <c r="E328" s="111">
        <v>0.8450980400142569</v>
      </c>
      <c r="F328" s="89" t="s">
        <v>2436</v>
      </c>
      <c r="G328" s="89" t="b">
        <v>0</v>
      </c>
      <c r="H328" s="89" t="b">
        <v>0</v>
      </c>
      <c r="I328" s="89" t="b">
        <v>0</v>
      </c>
      <c r="J328" s="89" t="b">
        <v>0</v>
      </c>
      <c r="K328" s="89" t="b">
        <v>0</v>
      </c>
      <c r="L328" s="89" t="b">
        <v>0</v>
      </c>
    </row>
    <row r="329" spans="1:12" ht="15">
      <c r="A329" s="85" t="s">
        <v>2598</v>
      </c>
      <c r="B329" s="89" t="s">
        <v>2525</v>
      </c>
      <c r="C329" s="89">
        <v>2</v>
      </c>
      <c r="D329" s="111">
        <v>0</v>
      </c>
      <c r="E329" s="111">
        <v>0.8450980400142569</v>
      </c>
      <c r="F329" s="89" t="s">
        <v>2436</v>
      </c>
      <c r="G329" s="89" t="b">
        <v>0</v>
      </c>
      <c r="H329" s="89" t="b">
        <v>0</v>
      </c>
      <c r="I329" s="89" t="b">
        <v>0</v>
      </c>
      <c r="J329" s="89" t="b">
        <v>0</v>
      </c>
      <c r="K329" s="89" t="b">
        <v>0</v>
      </c>
      <c r="L329" s="89" t="b">
        <v>0</v>
      </c>
    </row>
    <row r="330" spans="1:12" ht="15">
      <c r="A330" s="85" t="s">
        <v>2525</v>
      </c>
      <c r="B330" s="89" t="s">
        <v>2599</v>
      </c>
      <c r="C330" s="89">
        <v>2</v>
      </c>
      <c r="D330" s="111">
        <v>0</v>
      </c>
      <c r="E330" s="111">
        <v>0.8450980400142569</v>
      </c>
      <c r="F330" s="89" t="s">
        <v>2436</v>
      </c>
      <c r="G330" s="89" t="b">
        <v>0</v>
      </c>
      <c r="H330" s="89" t="b">
        <v>0</v>
      </c>
      <c r="I330" s="89" t="b">
        <v>0</v>
      </c>
      <c r="J330" s="89" t="b">
        <v>0</v>
      </c>
      <c r="K330" s="89" t="b">
        <v>0</v>
      </c>
      <c r="L330" s="89" t="b">
        <v>0</v>
      </c>
    </row>
    <row r="331" spans="1:12" ht="15">
      <c r="A331" s="85" t="s">
        <v>2604</v>
      </c>
      <c r="B331" s="89" t="s">
        <v>2605</v>
      </c>
      <c r="C331" s="89">
        <v>2</v>
      </c>
      <c r="D331" s="111">
        <v>0</v>
      </c>
      <c r="E331" s="111">
        <v>0.8450980400142568</v>
      </c>
      <c r="F331" s="89" t="s">
        <v>2437</v>
      </c>
      <c r="G331" s="89" t="b">
        <v>0</v>
      </c>
      <c r="H331" s="89" t="b">
        <v>0</v>
      </c>
      <c r="I331" s="89" t="b">
        <v>0</v>
      </c>
      <c r="J331" s="89" t="b">
        <v>0</v>
      </c>
      <c r="K331" s="89" t="b">
        <v>0</v>
      </c>
      <c r="L331" s="89" t="b">
        <v>0</v>
      </c>
    </row>
    <row r="332" spans="1:12" ht="15">
      <c r="A332" s="85" t="s">
        <v>2605</v>
      </c>
      <c r="B332" s="89" t="s">
        <v>2606</v>
      </c>
      <c r="C332" s="89">
        <v>2</v>
      </c>
      <c r="D332" s="111">
        <v>0</v>
      </c>
      <c r="E332" s="111">
        <v>0.8450980400142568</v>
      </c>
      <c r="F332" s="89" t="s">
        <v>2437</v>
      </c>
      <c r="G332" s="89" t="b">
        <v>0</v>
      </c>
      <c r="H332" s="89" t="b">
        <v>0</v>
      </c>
      <c r="I332" s="89" t="b">
        <v>0</v>
      </c>
      <c r="J332" s="89" t="b">
        <v>0</v>
      </c>
      <c r="K332" s="89" t="b">
        <v>0</v>
      </c>
      <c r="L332" s="89" t="b">
        <v>0</v>
      </c>
    </row>
    <row r="333" spans="1:12" ht="15">
      <c r="A333" s="85" t="s">
        <v>2606</v>
      </c>
      <c r="B333" s="89" t="s">
        <v>2607</v>
      </c>
      <c r="C333" s="89">
        <v>2</v>
      </c>
      <c r="D333" s="111">
        <v>0</v>
      </c>
      <c r="E333" s="111">
        <v>0.8450980400142568</v>
      </c>
      <c r="F333" s="89" t="s">
        <v>2437</v>
      </c>
      <c r="G333" s="89" t="b">
        <v>0</v>
      </c>
      <c r="H333" s="89" t="b">
        <v>0</v>
      </c>
      <c r="I333" s="89" t="b">
        <v>0</v>
      </c>
      <c r="J333" s="89" t="b">
        <v>0</v>
      </c>
      <c r="K333" s="89" t="b">
        <v>0</v>
      </c>
      <c r="L333" s="89" t="b">
        <v>0</v>
      </c>
    </row>
    <row r="334" spans="1:12" ht="15">
      <c r="A334" s="85" t="s">
        <v>2607</v>
      </c>
      <c r="B334" s="89" t="s">
        <v>2547</v>
      </c>
      <c r="C334" s="89">
        <v>2</v>
      </c>
      <c r="D334" s="111">
        <v>0</v>
      </c>
      <c r="E334" s="111">
        <v>0.8450980400142568</v>
      </c>
      <c r="F334" s="89" t="s">
        <v>2437</v>
      </c>
      <c r="G334" s="89" t="b">
        <v>0</v>
      </c>
      <c r="H334" s="89" t="b">
        <v>0</v>
      </c>
      <c r="I334" s="89" t="b">
        <v>0</v>
      </c>
      <c r="J334" s="89" t="b">
        <v>0</v>
      </c>
      <c r="K334" s="89" t="b">
        <v>0</v>
      </c>
      <c r="L334" s="89" t="b">
        <v>0</v>
      </c>
    </row>
    <row r="335" spans="1:12" ht="15">
      <c r="A335" s="85" t="s">
        <v>2547</v>
      </c>
      <c r="B335" s="89" t="s">
        <v>591</v>
      </c>
      <c r="C335" s="89">
        <v>2</v>
      </c>
      <c r="D335" s="111">
        <v>0</v>
      </c>
      <c r="E335" s="111">
        <v>0.8450980400142568</v>
      </c>
      <c r="F335" s="89" t="s">
        <v>2437</v>
      </c>
      <c r="G335" s="89" t="b">
        <v>0</v>
      </c>
      <c r="H335" s="89" t="b">
        <v>0</v>
      </c>
      <c r="I335" s="89" t="b">
        <v>0</v>
      </c>
      <c r="J335" s="89" t="b">
        <v>0</v>
      </c>
      <c r="K335" s="89" t="b">
        <v>0</v>
      </c>
      <c r="L335" s="89" t="b">
        <v>0</v>
      </c>
    </row>
    <row r="336" spans="1:12" ht="15">
      <c r="A336" s="85" t="s">
        <v>591</v>
      </c>
      <c r="B336" s="89" t="s">
        <v>2474</v>
      </c>
      <c r="C336" s="89">
        <v>2</v>
      </c>
      <c r="D336" s="111">
        <v>0</v>
      </c>
      <c r="E336" s="111">
        <v>0.8450980400142568</v>
      </c>
      <c r="F336" s="89" t="s">
        <v>2437</v>
      </c>
      <c r="G336" s="89" t="b">
        <v>0</v>
      </c>
      <c r="H336" s="89" t="b">
        <v>0</v>
      </c>
      <c r="I336" s="89" t="b">
        <v>0</v>
      </c>
      <c r="J336" s="89" t="b">
        <v>0</v>
      </c>
      <c r="K336" s="89" t="b">
        <v>0</v>
      </c>
      <c r="L336" s="89" t="b">
        <v>0</v>
      </c>
    </row>
    <row r="337" spans="1:12" ht="15">
      <c r="A337" s="85" t="s">
        <v>2474</v>
      </c>
      <c r="B337" s="89" t="s">
        <v>2608</v>
      </c>
      <c r="C337" s="89">
        <v>2</v>
      </c>
      <c r="D337" s="111">
        <v>0</v>
      </c>
      <c r="E337" s="111">
        <v>0.8450980400142568</v>
      </c>
      <c r="F337" s="89" t="s">
        <v>2437</v>
      </c>
      <c r="G337" s="89" t="b">
        <v>0</v>
      </c>
      <c r="H337" s="89" t="b">
        <v>0</v>
      </c>
      <c r="I337" s="89" t="b">
        <v>0</v>
      </c>
      <c r="J337" s="89" t="b">
        <v>0</v>
      </c>
      <c r="K337" s="89" t="b">
        <v>0</v>
      </c>
      <c r="L337" s="89" t="b">
        <v>0</v>
      </c>
    </row>
    <row r="338" spans="1:12" ht="15">
      <c r="A338" s="85" t="s">
        <v>591</v>
      </c>
      <c r="B338" s="89" t="s">
        <v>2474</v>
      </c>
      <c r="C338" s="89">
        <v>2</v>
      </c>
      <c r="D338" s="111">
        <v>0</v>
      </c>
      <c r="E338" s="111">
        <v>0.6020599913279624</v>
      </c>
      <c r="F338" s="89" t="s">
        <v>2439</v>
      </c>
      <c r="G338" s="89" t="b">
        <v>0</v>
      </c>
      <c r="H338" s="89" t="b">
        <v>0</v>
      </c>
      <c r="I338" s="89" t="b">
        <v>0</v>
      </c>
      <c r="J338" s="89" t="b">
        <v>0</v>
      </c>
      <c r="K338" s="89" t="b">
        <v>0</v>
      </c>
      <c r="L338" s="89" t="b">
        <v>0</v>
      </c>
    </row>
    <row r="339" spans="1:12" ht="15">
      <c r="A339" s="85" t="s">
        <v>2474</v>
      </c>
      <c r="B339" s="89" t="s">
        <v>2551</v>
      </c>
      <c r="C339" s="89">
        <v>2</v>
      </c>
      <c r="D339" s="111">
        <v>0</v>
      </c>
      <c r="E339" s="111">
        <v>0.6020599913279624</v>
      </c>
      <c r="F339" s="89" t="s">
        <v>2439</v>
      </c>
      <c r="G339" s="89" t="b">
        <v>0</v>
      </c>
      <c r="H339" s="89" t="b">
        <v>0</v>
      </c>
      <c r="I339" s="89" t="b">
        <v>0</v>
      </c>
      <c r="J339" s="89" t="b">
        <v>0</v>
      </c>
      <c r="K339" s="89" t="b">
        <v>0</v>
      </c>
      <c r="L339" s="89" t="b">
        <v>0</v>
      </c>
    </row>
    <row r="340" spans="1:12" ht="15">
      <c r="A340" s="85" t="s">
        <v>2551</v>
      </c>
      <c r="B340" s="89" t="s">
        <v>2625</v>
      </c>
      <c r="C340" s="89">
        <v>2</v>
      </c>
      <c r="D340" s="111">
        <v>0</v>
      </c>
      <c r="E340" s="111">
        <v>0.6020599913279624</v>
      </c>
      <c r="F340" s="89" t="s">
        <v>2439</v>
      </c>
      <c r="G340" s="89" t="b">
        <v>0</v>
      </c>
      <c r="H340" s="89" t="b">
        <v>0</v>
      </c>
      <c r="I340" s="89" t="b">
        <v>0</v>
      </c>
      <c r="J340" s="89" t="b">
        <v>0</v>
      </c>
      <c r="K340" s="89" t="b">
        <v>0</v>
      </c>
      <c r="L340" s="89" t="b">
        <v>0</v>
      </c>
    </row>
    <row r="341" spans="1:12" ht="15">
      <c r="A341" s="85" t="s">
        <v>2625</v>
      </c>
      <c r="B341" s="89" t="s">
        <v>2626</v>
      </c>
      <c r="C341" s="89">
        <v>2</v>
      </c>
      <c r="D341" s="111">
        <v>0</v>
      </c>
      <c r="E341" s="111">
        <v>0.6020599913279624</v>
      </c>
      <c r="F341" s="89" t="s">
        <v>2439</v>
      </c>
      <c r="G341" s="89" t="b">
        <v>0</v>
      </c>
      <c r="H341" s="89" t="b">
        <v>0</v>
      </c>
      <c r="I341" s="89" t="b">
        <v>0</v>
      </c>
      <c r="J341" s="89" t="b">
        <v>0</v>
      </c>
      <c r="K341" s="89" t="b">
        <v>0</v>
      </c>
      <c r="L341" s="89" t="b">
        <v>0</v>
      </c>
    </row>
    <row r="342" spans="1:12" ht="15">
      <c r="A342" s="85" t="s">
        <v>591</v>
      </c>
      <c r="B342" s="89" t="s">
        <v>2474</v>
      </c>
      <c r="C342" s="89">
        <v>2</v>
      </c>
      <c r="D342" s="111">
        <v>0</v>
      </c>
      <c r="E342" s="111">
        <v>0.47712125471966244</v>
      </c>
      <c r="F342" s="89" t="s">
        <v>2440</v>
      </c>
      <c r="G342" s="89" t="b">
        <v>0</v>
      </c>
      <c r="H342" s="89" t="b">
        <v>0</v>
      </c>
      <c r="I342" s="89" t="b">
        <v>0</v>
      </c>
      <c r="J342" s="89" t="b">
        <v>0</v>
      </c>
      <c r="K342" s="89" t="b">
        <v>0</v>
      </c>
      <c r="L342" s="89" t="b">
        <v>0</v>
      </c>
    </row>
    <row r="343" spans="1:12" ht="15">
      <c r="A343" s="85" t="s">
        <v>2474</v>
      </c>
      <c r="B343" s="89" t="s">
        <v>2627</v>
      </c>
      <c r="C343" s="89">
        <v>2</v>
      </c>
      <c r="D343" s="111">
        <v>0</v>
      </c>
      <c r="E343" s="111">
        <v>0.47712125471966244</v>
      </c>
      <c r="F343" s="89" t="s">
        <v>2440</v>
      </c>
      <c r="G343" s="89" t="b">
        <v>0</v>
      </c>
      <c r="H343" s="89" t="b">
        <v>0</v>
      </c>
      <c r="I343" s="89" t="b">
        <v>0</v>
      </c>
      <c r="J343" s="89" t="b">
        <v>0</v>
      </c>
      <c r="K343" s="89" t="b">
        <v>0</v>
      </c>
      <c r="L343" s="89" t="b">
        <v>0</v>
      </c>
    </row>
    <row r="344" spans="1:12" ht="15">
      <c r="A344" s="85" t="s">
        <v>2627</v>
      </c>
      <c r="B344" s="89" t="s">
        <v>2628</v>
      </c>
      <c r="C344" s="89">
        <v>2</v>
      </c>
      <c r="D344" s="111">
        <v>0</v>
      </c>
      <c r="E344" s="111">
        <v>0.47712125471966244</v>
      </c>
      <c r="F344" s="89" t="s">
        <v>2440</v>
      </c>
      <c r="G344" s="89" t="b">
        <v>0</v>
      </c>
      <c r="H344" s="89" t="b">
        <v>0</v>
      </c>
      <c r="I344" s="89" t="b">
        <v>0</v>
      </c>
      <c r="J344" s="89" t="b">
        <v>0</v>
      </c>
      <c r="K344" s="89" t="b">
        <v>0</v>
      </c>
      <c r="L344" s="89" t="b">
        <v>0</v>
      </c>
    </row>
    <row r="345" spans="1:12" ht="15">
      <c r="A345" s="85" t="s">
        <v>2631</v>
      </c>
      <c r="B345" s="89" t="s">
        <v>2632</v>
      </c>
      <c r="C345" s="89">
        <v>2</v>
      </c>
      <c r="D345" s="111">
        <v>0</v>
      </c>
      <c r="E345" s="111">
        <v>0.9999999999999999</v>
      </c>
      <c r="F345" s="89" t="s">
        <v>2442</v>
      </c>
      <c r="G345" s="89" t="b">
        <v>0</v>
      </c>
      <c r="H345" s="89" t="b">
        <v>0</v>
      </c>
      <c r="I345" s="89" t="b">
        <v>0</v>
      </c>
      <c r="J345" s="89" t="b">
        <v>0</v>
      </c>
      <c r="K345" s="89" t="b">
        <v>0</v>
      </c>
      <c r="L345" s="89" t="b">
        <v>0</v>
      </c>
    </row>
    <row r="346" spans="1:12" ht="15">
      <c r="A346" s="85" t="s">
        <v>2632</v>
      </c>
      <c r="B346" s="89" t="s">
        <v>2546</v>
      </c>
      <c r="C346" s="89">
        <v>2</v>
      </c>
      <c r="D346" s="111">
        <v>0</v>
      </c>
      <c r="E346" s="111">
        <v>0.9999999999999999</v>
      </c>
      <c r="F346" s="89" t="s">
        <v>2442</v>
      </c>
      <c r="G346" s="89" t="b">
        <v>0</v>
      </c>
      <c r="H346" s="89" t="b">
        <v>0</v>
      </c>
      <c r="I346" s="89" t="b">
        <v>0</v>
      </c>
      <c r="J346" s="89" t="b">
        <v>0</v>
      </c>
      <c r="K346" s="89" t="b">
        <v>0</v>
      </c>
      <c r="L346" s="89" t="b">
        <v>0</v>
      </c>
    </row>
    <row r="347" spans="1:12" ht="15">
      <c r="A347" s="85" t="s">
        <v>2546</v>
      </c>
      <c r="B347" s="89" t="s">
        <v>2633</v>
      </c>
      <c r="C347" s="89">
        <v>2</v>
      </c>
      <c r="D347" s="111">
        <v>0</v>
      </c>
      <c r="E347" s="111">
        <v>0.9999999999999999</v>
      </c>
      <c r="F347" s="89" t="s">
        <v>2442</v>
      </c>
      <c r="G347" s="89" t="b">
        <v>0</v>
      </c>
      <c r="H347" s="89" t="b">
        <v>0</v>
      </c>
      <c r="I347" s="89" t="b">
        <v>0</v>
      </c>
      <c r="J347" s="89" t="b">
        <v>0</v>
      </c>
      <c r="K347" s="89" t="b">
        <v>0</v>
      </c>
      <c r="L347" s="89" t="b">
        <v>0</v>
      </c>
    </row>
    <row r="348" spans="1:12" ht="15">
      <c r="A348" s="85" t="s">
        <v>2633</v>
      </c>
      <c r="B348" s="89" t="s">
        <v>2634</v>
      </c>
      <c r="C348" s="89">
        <v>2</v>
      </c>
      <c r="D348" s="111">
        <v>0</v>
      </c>
      <c r="E348" s="111">
        <v>0.9999999999999999</v>
      </c>
      <c r="F348" s="89" t="s">
        <v>2442</v>
      </c>
      <c r="G348" s="89" t="b">
        <v>0</v>
      </c>
      <c r="H348" s="89" t="b">
        <v>0</v>
      </c>
      <c r="I348" s="89" t="b">
        <v>0</v>
      </c>
      <c r="J348" s="89" t="b">
        <v>0</v>
      </c>
      <c r="K348" s="89" t="b">
        <v>0</v>
      </c>
      <c r="L348" s="89" t="b">
        <v>0</v>
      </c>
    </row>
    <row r="349" spans="1:12" ht="15">
      <c r="A349" s="85" t="s">
        <v>2634</v>
      </c>
      <c r="B349" s="89" t="s">
        <v>2635</v>
      </c>
      <c r="C349" s="89">
        <v>2</v>
      </c>
      <c r="D349" s="111">
        <v>0</v>
      </c>
      <c r="E349" s="111">
        <v>0.9999999999999999</v>
      </c>
      <c r="F349" s="89" t="s">
        <v>2442</v>
      </c>
      <c r="G349" s="89" t="b">
        <v>0</v>
      </c>
      <c r="H349" s="89" t="b">
        <v>0</v>
      </c>
      <c r="I349" s="89" t="b">
        <v>0</v>
      </c>
      <c r="J349" s="89" t="b">
        <v>0</v>
      </c>
      <c r="K349" s="89" t="b">
        <v>0</v>
      </c>
      <c r="L349" s="89" t="b">
        <v>0</v>
      </c>
    </row>
    <row r="350" spans="1:12" ht="15">
      <c r="A350" s="85" t="s">
        <v>2635</v>
      </c>
      <c r="B350" s="89" t="s">
        <v>2636</v>
      </c>
      <c r="C350" s="89">
        <v>2</v>
      </c>
      <c r="D350" s="111">
        <v>0</v>
      </c>
      <c r="E350" s="111">
        <v>0.9999999999999999</v>
      </c>
      <c r="F350" s="89" t="s">
        <v>2442</v>
      </c>
      <c r="G350" s="89" t="b">
        <v>0</v>
      </c>
      <c r="H350" s="89" t="b">
        <v>0</v>
      </c>
      <c r="I350" s="89" t="b">
        <v>0</v>
      </c>
      <c r="J350" s="89" t="b">
        <v>0</v>
      </c>
      <c r="K350" s="89" t="b">
        <v>0</v>
      </c>
      <c r="L350" s="89" t="b">
        <v>0</v>
      </c>
    </row>
    <row r="351" spans="1:12" ht="15">
      <c r="A351" s="85" t="s">
        <v>2636</v>
      </c>
      <c r="B351" s="89" t="s">
        <v>2637</v>
      </c>
      <c r="C351" s="89">
        <v>2</v>
      </c>
      <c r="D351" s="111">
        <v>0</v>
      </c>
      <c r="E351" s="111">
        <v>0.9999999999999999</v>
      </c>
      <c r="F351" s="89" t="s">
        <v>2442</v>
      </c>
      <c r="G351" s="89" t="b">
        <v>0</v>
      </c>
      <c r="H351" s="89" t="b">
        <v>0</v>
      </c>
      <c r="I351" s="89" t="b">
        <v>0</v>
      </c>
      <c r="J351" s="89" t="b">
        <v>0</v>
      </c>
      <c r="K351" s="89" t="b">
        <v>0</v>
      </c>
      <c r="L351" s="89" t="b">
        <v>0</v>
      </c>
    </row>
    <row r="352" spans="1:12" ht="15">
      <c r="A352" s="85" t="s">
        <v>2637</v>
      </c>
      <c r="B352" s="89" t="s">
        <v>2638</v>
      </c>
      <c r="C352" s="89">
        <v>2</v>
      </c>
      <c r="D352" s="111">
        <v>0</v>
      </c>
      <c r="E352" s="111">
        <v>0.9999999999999999</v>
      </c>
      <c r="F352" s="89" t="s">
        <v>2442</v>
      </c>
      <c r="G352" s="89" t="b">
        <v>0</v>
      </c>
      <c r="H352" s="89" t="b">
        <v>0</v>
      </c>
      <c r="I352" s="89" t="b">
        <v>0</v>
      </c>
      <c r="J352" s="89" t="b">
        <v>0</v>
      </c>
      <c r="K352" s="89" t="b">
        <v>0</v>
      </c>
      <c r="L352" s="89" t="b">
        <v>0</v>
      </c>
    </row>
    <row r="353" spans="1:12" ht="15">
      <c r="A353" s="85" t="s">
        <v>2638</v>
      </c>
      <c r="B353" s="89" t="s">
        <v>2639</v>
      </c>
      <c r="C353" s="89">
        <v>2</v>
      </c>
      <c r="D353" s="111">
        <v>0</v>
      </c>
      <c r="E353" s="111">
        <v>0.9999999999999999</v>
      </c>
      <c r="F353" s="89" t="s">
        <v>2442</v>
      </c>
      <c r="G353" s="89" t="b">
        <v>0</v>
      </c>
      <c r="H353" s="89" t="b">
        <v>0</v>
      </c>
      <c r="I353" s="89" t="b">
        <v>0</v>
      </c>
      <c r="J353" s="89" t="b">
        <v>0</v>
      </c>
      <c r="K353" s="89" t="b">
        <v>0</v>
      </c>
      <c r="L353" s="89" t="b">
        <v>0</v>
      </c>
    </row>
    <row r="354" spans="1:12" ht="15">
      <c r="A354" s="85" t="s">
        <v>2639</v>
      </c>
      <c r="B354" s="89" t="s">
        <v>2640</v>
      </c>
      <c r="C354" s="89">
        <v>2</v>
      </c>
      <c r="D354" s="111">
        <v>0</v>
      </c>
      <c r="E354" s="111">
        <v>0.9999999999999999</v>
      </c>
      <c r="F354" s="89" t="s">
        <v>2442</v>
      </c>
      <c r="G354" s="89" t="b">
        <v>0</v>
      </c>
      <c r="H354" s="89" t="b">
        <v>0</v>
      </c>
      <c r="I354" s="89" t="b">
        <v>0</v>
      </c>
      <c r="J354" s="89" t="b">
        <v>0</v>
      </c>
      <c r="K354" s="89" t="b">
        <v>0</v>
      </c>
      <c r="L35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13044BC-AA33-44C0-997E-E5BDA50B3F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2022-03-25T10:58:42Z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