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defaultThemeVersion="124226"/>
  <bookViews>
    <workbookView xWindow="35700" yWindow="2832" windowWidth="17280" windowHeight="888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Edges" sheetId="16" state="hidden" r:id="rId14"/>
    <sheet name="Time Series" sheetId="17" r:id="rId15"/>
  </sheets>
  <definedNames>
    <definedName name="BinDivisor">'Overall Metrics'!$X$2</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7"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<sst xmlns="http://schemas.openxmlformats.org/spreadsheetml/2006/main" count="4713" uniqueCount="1038">
  <si>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</si>
  <si>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</si>
  <si>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</si>
  <si>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</si>
  <si>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</si>
  <si>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</si>
  <si>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</si>
  <si>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</si>
  <si>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</si>
  <si>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</si>
  <si>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</si>
  <si>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</si>
  <si>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</si>
  <si>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</si>
  <si>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</si>
  <si>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</si>
  <si>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</si>
  <si>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</si>
  <si>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</si>
  <si>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</si>
  <si>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</si>
  <si>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</si>
  <si>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</si>
  <si>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</si>
  <si>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</si>
  <si>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</si>
  <si>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</si>
  <si>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</si>
  <si>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</si>
  <si>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</si>
  <si>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</si>
  <si>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</si>
  <si>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</si>
  <si>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</si>
  <si>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</si>
  <si>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</si>
  <si>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</si>
  <si>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</si>
  <si>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</si>
  <si>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</si>
  <si>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</si>
  <si>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</si>
  <si>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</si>
  <si>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</si>
  <si>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</si>
  <si>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</si>
  <si>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</si>
  <si>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</si>
  <si>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</si>
  <si>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</si>
  <si>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</si>
  <si>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</si>
  <si>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</si>
  <si>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</si>
  <si>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</si>
  <si>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</si>
  <si>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</si>
  <si>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</si>
  <si>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</si>
  <si>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</si>
  <si>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</si>
  <si>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</si>
  <si>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</si>
  <si>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</si>
  <si>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</si>
  <si>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</si>
  <si>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</si>
  <si>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</si>
  <si>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</si>
  <si>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</si>
  <si>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</si>
  <si>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</si>
  <si>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</si>
  <si>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</si>
  <si>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</si>
  <si>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</si>
  <si>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</si>
  <si>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</si>
  <si>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</si>
  <si>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</si>
  <si>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</si>
  <si>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</si>
  <si>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</si>
  <si>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</si>
  <si>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</si>
  <si>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</si>
  <si>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</si>
  <si>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</si>
  <si>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</si>
  <si>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</si>
  <si>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</si>
  <si>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</si>
  <si>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</si>
  <si>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</si>
  <si>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</si>
  <si>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</si>
  <si>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</si>
  <si>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</si>
  <si>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</si>
  <si>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</si>
  <si>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</si>
  <si>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</si>
  <si>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</si>
  <si>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</si>
  <si>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</si>
  <si>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</si>
  <si>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</si>
  <si>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</si>
  <si>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</si>
  <si>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</si>
  <si>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</si>
  <si>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</si>
  <si>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</si>
  <si>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</si>
  <si>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</si>
  <si>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</si>
  <si>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</si>
  <si>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</si>
  <si>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</si>
  <si>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</si>
  <si>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</si>
  <si>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</si>
  <si>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</si>
  <si>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</si>
  <si>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</si>
  <si>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</si>
  <si>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</si>
  <si>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</si>
  <si>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</si>
  <si>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</si>
  <si>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</si>
  <si>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</si>
  <si>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</si>
  <si>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</si>
  <si>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</si>
  <si>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</si>
  <si>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</si>
  <si>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</si>
  <si>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</si>
  <si>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</si>
  <si>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</si>
  <si>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</si>
  <si>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</si>
  <si>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</si>
  <si>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</si>
  <si>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</si>
  <si>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</si>
  <si>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</si>
  <si>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</si>
  <si>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</si>
  <si>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</si>
  <si>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</si>
  <si>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</si>
  <si>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</si>
  <si>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</si>
  <si>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</si>
  <si>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</si>
  <si>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</si>
  <si>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</si>
  <si>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</si>
  <si>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</si>
  <si>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</si>
  <si>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</si>
  <si>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</si>
  <si>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</si>
  <si>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</si>
  <si>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</si>
  <si>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</si>
  <si>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</si>
  <si>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</si>
  <si>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</si>
  <si>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</si>
  <si>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</si>
  <si>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</si>
  <si>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name="AutomateTasksDialog2" type="System.Configuration.ClientSettingsSection, Syst</t>
  </si>
  <si>
    <t>Workbook Settings 2</t>
  </si>
  <si>
    <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t>
  </si>
  <si>
    <t>Workbook Settings 3</t>
  </si>
  <si>
    <t>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t>
  </si>
  <si>
    <t>Workbook Settings 4</t>
  </si>
  <si>
    <t xml:space="preserv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t>
  </si>
  <si>
    <t>Workbook Settings 5</t>
  </si>
  <si>
    <t xml:space="preserve">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t>
  </si>
  <si>
    <t>Workbook Settings 6</t>
  </si>
  <si>
    <t>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t>
  </si>
  <si>
    <t>Workbook Settings 7</t>
  </si>
  <si>
    <t>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t>
  </si>
  <si>
    <t>Workbook Settings 8</t>
  </si>
  <si>
    <t>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t>
  </si>
  <si>
    <t>Workbook Settings 9</t>
  </si>
  <si>
    <t xml:space="preserve">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t>
  </si>
  <si>
    <t>Workbook Settings 10</t>
  </si>
  <si>
    <t xml:space="preserve">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t>
  </si>
  <si>
    <t>Workbook Settings 11</t>
  </si>
  <si>
    <t xml:space="preserve">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t>
  </si>
  <si>
    <t>Workbook Settings 12</t>
  </si>
  <si>
    <t xml:space="preserve">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t>
  </si>
  <si>
    <t>Workbook Settings 13</t>
  </si>
  <si>
    <t>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t>
  </si>
  <si>
    <t>Workbook Settings 14</t>
  </si>
  <si>
    <t>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t>
  </si>
  <si>
    <t>Workbook Settings 15</t>
  </si>
  <si>
    <t xml:space="preserve">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
  </si>
  <si>
    <t>Workbook Settings 16</t>
  </si>
  <si>
    <t>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t>
  </si>
  <si>
    <t>Workbook Settings 17</t>
  </si>
  <si>
    <t>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
  </si>
  <si>
    <t>Workbook Settings 18</t>
  </si>
  <si>
    <t>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t>
  </si>
  <si>
    <t>Workbook Settings 19</t>
  </si>
  <si>
    <t>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&lt;value&gt;C:\Users\Space Lab\Desktop&lt;/value&gt;
      &lt;/setting&gt;
    &lt;/Au</t>
  </si>
  <si>
    <t>Workbook Settings 20</t>
  </si>
  <si>
    <t>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t>
  </si>
  <si>
    <t>Workbook Settings 21</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</si>
  <si>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</si>
  <si>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</si>
  <si>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</si>
  <si>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</si>
  <si>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</si>
  <si>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</si>
  <si>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</si>
  <si>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</si>
  <si>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</si>
  <si>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</si>
  <si>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</si>
  <si>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</si>
  <si>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</si>
  <si>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</si>
  <si>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</si>
  <si>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</si>
  <si>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</si>
  <si>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</si>
  <si>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</si>
  <si>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</si>
  <si>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</si>
  <si>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</si>
  <si>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</si>
  <si>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</si>
  <si>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</si>
  <si>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</si>
  <si>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</si>
  <si>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</si>
  <si>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</si>
  <si>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</si>
  <si>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</si>
  <si>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</si>
  <si>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</si>
  <si>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</si>
  <si>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</si>
  <si>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</si>
  <si>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</si>
  <si>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</si>
  <si>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</si>
  <si>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</si>
  <si>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</si>
  <si>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</si>
  <si>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matthewhootonnz</t>
  </si>
  <si>
    <t>jacindaardern</t>
  </si>
  <si>
    <t>nzpol</t>
  </si>
  <si>
    <t>Mentions</t>
  </si>
  <si>
    <t>Replies to</t>
  </si>
  <si>
    <t>Retweet</t>
  </si>
  <si>
    <t>MentionsInRetweet</t>
  </si>
  <si>
    <t>twitter.com</t>
  </si>
  <si>
    <t>co.nz</t>
  </si>
  <si>
    <t>21:00:27</t>
  </si>
  <si>
    <t/>
  </si>
  <si>
    <t>1445096998990860290</t>
  </si>
  <si>
    <t>en</t>
  </si>
  <si>
    <t>Twitter Web App</t>
  </si>
  <si>
    <t>Twitter for iPhone</t>
  </si>
  <si>
    <t>Twitter for Android</t>
  </si>
  <si>
    <t>Twitter for iPad</t>
  </si>
  <si>
    <t>Buffer</t>
  </si>
  <si>
    <t>New Zealand</t>
  </si>
  <si>
    <t>Christchurch City, New Zealand</t>
  </si>
  <si>
    <t>Auckland, New Zealand</t>
  </si>
  <si>
    <t>Auckland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</si>
  <si>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</si>
  <si>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</si>
  <si>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</si>
  <si>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</si>
  <si>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</si>
  <si>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</si>
  <si>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</si>
  <si>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</si>
  <si>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</si>
  <si>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</si>
  <si>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</si>
  <si>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</si>
  <si>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</si>
  <si>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</si>
  <si>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</si>
  <si>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</si>
  <si>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</si>
  <si>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</si>
  <si>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</si>
  <si>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</si>
  <si>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</si>
  <si>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</si>
  <si>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Jacinda Ardern</t>
  </si>
  <si>
    <t>Matthew Hooton</t>
  </si>
  <si>
    <t>22959763</t>
  </si>
  <si>
    <t>Prime Minister of NZ. Leader @nzlabour. Won't tweet what I ate for breakfast-make no promises beyond that. Authorised by Timothy Grigg 160 Willis St, Wellington</t>
  </si>
  <si>
    <t>I do lots of things. One of them is this: https://t.co/2rOM9XoaFY</t>
  </si>
  <si>
    <t>Aotearoa</t>
  </si>
  <si>
    <t>Aotearoa New Zealand</t>
  </si>
  <si>
    <t>aotearoa</t>
  </si>
  <si>
    <t>Wellington, New Zealand</t>
  </si>
  <si>
    <t>auckland</t>
  </si>
  <si>
    <t>Open Twitter Page for This Person</t>
  </si>
  <si>
    <t xml:space="preserve">jacindaardern
</t>
  </si>
  <si>
    <t>Directed</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</si>
  <si>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</si>
  <si>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</si>
  <si>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</si>
  <si>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</si>
  <si>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</si>
  <si>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</si>
  <si>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</si>
  <si>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</si>
  <si>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</si>
  <si>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</si>
  <si>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</si>
  <si>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</si>
  <si>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</si>
  <si>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</si>
  <si>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</si>
  <si>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</si>
  <si>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</si>
  <si>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</si>
  <si>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</si>
  <si>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</si>
  <si>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</si>
  <si>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</si>
  <si>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</si>
  <si>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</si>
  <si>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</si>
  <si>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</si>
  <si>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</si>
  <si>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</si>
  <si>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</si>
  <si>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</si>
  <si>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#nzpol</t>
  </si>
  <si>
    <t>amp</t>
  </si>
  <si>
    <t>nz</t>
  </si>
  <si>
    <t>working</t>
  </si>
  <si>
    <t>government</t>
  </si>
  <si>
    <t>more</t>
  </si>
  <si>
    <t>people</t>
  </si>
  <si>
    <t>current</t>
  </si>
  <si>
    <t>much</t>
  </si>
  <si>
    <t>time</t>
  </si>
  <si>
    <t>minister</t>
  </si>
  <si>
    <t>one</t>
  </si>
  <si>
    <t>sharp</t>
  </si>
  <si>
    <t>journalist</t>
  </si>
  <si>
    <t>way</t>
  </si>
  <si>
    <t>zealand</t>
  </si>
  <si>
    <t>getting</t>
  </si>
  <si>
    <t>make</t>
  </si>
  <si>
    <t>best</t>
  </si>
  <si>
    <t>another</t>
  </si>
  <si>
    <t>making</t>
  </si>
  <si>
    <t>good</t>
  </si>
  <si>
    <t>country</t>
  </si>
  <si>
    <t>see</t>
  </si>
  <si>
    <t>difficult</t>
  </si>
  <si>
    <t>read</t>
  </si>
  <si>
    <t>work</t>
  </si>
  <si>
    <t>open</t>
  </si>
  <si>
    <t>child</t>
  </si>
  <si>
    <t>students</t>
  </si>
  <si>
    <t>come</t>
  </si>
  <si>
    <t>daughter</t>
  </si>
  <si>
    <t>policies</t>
  </si>
  <si>
    <t>matters</t>
  </si>
  <si>
    <t>staff</t>
  </si>
  <si>
    <t>future</t>
  </si>
  <si>
    <t>reason</t>
  </si>
  <si>
    <t>kids</t>
  </si>
  <si>
    <t>talking</t>
  </si>
  <si>
    <t>sense</t>
  </si>
  <si>
    <t>visas</t>
  </si>
  <si>
    <t>2022</t>
  </si>
  <si>
    <t>website</t>
  </si>
  <si>
    <t>decisions</t>
  </si>
  <si>
    <t>including</t>
  </si>
  <si>
    <t>clear</t>
  </si>
  <si>
    <t>second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</si>
  <si>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</si>
  <si>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</si>
  <si>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</si>
  <si>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</si>
  <si>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</si>
  <si>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</si>
  <si>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</si>
  <si>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</si>
  <si>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</si>
  <si>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</si>
  <si>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</si>
  <si>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</si>
  <si>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</si>
  <si>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</si>
  <si>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</si>
  <si>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</si>
  <si>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</si>
  <si>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</si>
  <si>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</si>
  <si>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</si>
  <si>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</si>
  <si>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</si>
  <si>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</si>
  <si>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</si>
  <si>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</si>
  <si>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</si>
  <si>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</si>
  <si>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</si>
  <si>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</si>
  <si>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</si>
  <si>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</si>
  <si>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</si>
  <si>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</si>
  <si>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</si>
  <si>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</si>
  <si>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</si>
  <si>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</si>
  <si>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</si>
  <si>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</si>
  <si>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</si>
  <si>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</si>
  <si>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</si>
  <si>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</si>
  <si>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</si>
  <si>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</si>
  <si>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</si>
  <si>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</si>
  <si>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</si>
  <si>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</si>
  <si>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</si>
  <si>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</si>
  <si>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</si>
  <si>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</si>
  <si>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</si>
  <si>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</si>
  <si>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</si>
  <si>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</si>
  <si>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</si>
  <si>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</si>
  <si>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</si>
  <si>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</si>
  <si>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</si>
  <si>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</si>
  <si>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</si>
  <si>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</si>
  <si>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</si>
  <si>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</si>
  <si>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</si>
  <si>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</si>
  <si>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</si>
  <si>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</si>
  <si>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</si>
  <si>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</si>
  <si>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</si>
  <si>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</si>
  <si>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</si>
  <si>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</si>
  <si>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</si>
  <si>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</si>
  <si>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</si>
  <si>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</si>
  <si>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</si>
  <si>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</si>
  <si>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</si>
  <si>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</si>
  <si>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</si>
  <si>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</si>
  <si>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</si>
  <si>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</si>
  <si>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</si>
  <si>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</si>
  <si>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</si>
  <si>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</si>
  <si>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co.nz twitter.com</t>
  </si>
  <si>
    <t>twitter.com co.nz</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</si>
  <si>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</si>
  <si>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</si>
  <si>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</si>
  <si>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</si>
  <si>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</si>
  <si>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</si>
  <si>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</si>
  <si>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</si>
  <si>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</si>
  <si>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</si>
  <si>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</si>
  <si>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</si>
  <si>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</si>
  <si>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</si>
  <si>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</si>
  <si>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</si>
  <si>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</si>
  <si>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</si>
  <si>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</si>
  <si>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</si>
  <si>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</si>
  <si>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</si>
  <si>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</si>
  <si>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</si>
  <si>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</si>
  <si>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</si>
  <si>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</si>
  <si>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</si>
  <si>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</si>
  <si>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</si>
  <si>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</si>
  <si>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</si>
  <si>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</si>
  <si>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</si>
  <si>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</si>
  <si>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</si>
  <si>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</si>
  <si>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</si>
  <si>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</si>
  <si>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</si>
  <si>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</si>
  <si>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</si>
  <si>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</si>
  <si>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</si>
  <si>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</si>
  <si>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</si>
  <si>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</si>
  <si>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</si>
  <si>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</si>
  <si>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</si>
  <si>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</si>
  <si>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</si>
  <si>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</si>
  <si>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</si>
  <si>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</si>
  <si>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</si>
  <si>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</si>
  <si>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</si>
  <si>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</si>
  <si>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</si>
  <si>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</si>
  <si>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</si>
  <si>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</si>
  <si>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</si>
  <si>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</si>
  <si>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</si>
  <si>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</si>
  <si>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</si>
  <si>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</si>
  <si>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</si>
  <si>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Relationship Date (UTC)</t>
  </si>
  <si>
    <t>Row Labels</t>
  </si>
  <si>
    <t>Grand Total</t>
  </si>
  <si>
    <t>May</t>
  </si>
  <si>
    <t>8-May</t>
  </si>
  <si>
    <t>9-May</t>
  </si>
  <si>
    <t>10-May</t>
  </si>
  <si>
    <t>11-May</t>
  </si>
  <si>
    <t>12-May</t>
  </si>
  <si>
    <t>13-May</t>
  </si>
  <si>
    <t>14-May</t>
  </si>
  <si>
    <t>15-May</t>
  </si>
  <si>
    <t>16-May</t>
  </si>
  <si>
    <t>128, 128, 128</t>
  </si>
  <si>
    <t>Red</t>
  </si>
  <si>
    <t>193, 62, 62</t>
  </si>
  <si>
    <t>TwitterSearch</t>
  </si>
  <si>
    <t>The graph was laid out using the Harel-Koren Fast Multiscale layout algorithm.</t>
  </si>
  <si>
    <t>The graph's vertices were grouped by cluster using the Clauset-Newman-Moore cluster algorithm.</t>
  </si>
  <si>
    <t>tomboyoptional</t>
  </si>
  <si>
    <t>batdoyle</t>
  </si>
  <si>
    <t>mariojunior</t>
  </si>
  <si>
    <t>tramorabroad</t>
  </si>
  <si>
    <t>indianweekender</t>
  </si>
  <si>
    <t>sureshk01547631</t>
  </si>
  <si>
    <t>ariannagail1</t>
  </si>
  <si>
    <t>jennykaynz</t>
  </si>
  <si>
    <t>endashnow</t>
  </si>
  <si>
    <t>jackfra34133784</t>
  </si>
  <si>
    <t>nz_visa_adviser</t>
  </si>
  <si>
    <t>dhruvpa39231878</t>
  </si>
  <si>
    <t>bullxbear</t>
  </si>
  <si>
    <t>krisinmana</t>
  </si>
  <si>
    <t>mbiegovtnz</t>
  </si>
  <si>
    <t>leila_fas</t>
  </si>
  <si>
    <t>nzlabour</t>
  </si>
  <si>
    <t>nzccss</t>
  </si>
  <si>
    <t>lisaowennz</t>
  </si>
  <si>
    <t>checkpointrnz</t>
  </si>
  <si>
    <t>mikeythenurse</t>
  </si>
  <si>
    <t>philtwyford</t>
  </si>
  <si>
    <t>nzqanda</t>
  </si>
  <si>
    <t>jacktame</t>
  </si>
  <si>
    <t>@KrisinMana #ImmigrationNZ  "They then got another call from Immigration letting them know she could in fact apply for another student visa while waiting, contradicting the former advice."
https://t.co/eIdTOwSVTT</t>
  </si>
  <si>
    <t>@MBIEgovtnz How do I find any info on transferring my Permanent Resident Visa from my expired Irish passport to my new Irish passport? No one answers the ImmigrationNZ phones and the website has no clear advice! Help!!</t>
  </si>
  <si>
    <t>@Leila_FAS Sorry for hearing that. Indeed ImmigrationNZ IS THE WORST public service in this country and I talk by my experience too. Hope you got this situation, at least, easier.</t>
  </si>
  <si>
    <t>I expected a hefty legal grade paper that I could frame. Maybe some nice ink or font. My expectations should have been as low as the treatment immigrants here get, but it still surprised me. _xD83D__xDE02_ #nzimmigration #immigrationnz</t>
  </si>
  <si>
    <t>Advocates say Migrants NZ was a popular site - with hundreds of posts a day from migrants, who felt isolated and ignored by official channels during a time of policy flux and visa delays.
#Migrants #ImmigrationNZ
https://t.co/WcOTLqC9jX</t>
  </si>
  <si>
    <t>"Confronted with a clear failure, the immigration minister is set to backtrack on this 12-month target." | Read: https://t.co/9iYJqcNrNx
#Immigration #migrants #immigrationnz https://t.co/Mi8WF0mFKo</t>
  </si>
  <si>
    <t>#Read: The government is steaming ahead on its bold plans for immigration re-balance by taking some sweeping decisions around work visas and residence criteria
#workvisa #immigrationNZ #NZ  
https://t.co/DBcraK4X4v</t>
  </si>
  <si>
    <t>Students will not be able to apply for a second post-study visa in New Zealand.
#Immigrationnz #nz #Students #Internationalstudents https://t.co/f2JMzxrBoJ</t>
  </si>
  <si>
    <t>One of the important decisions in this regard is making it difficult for the partners of future work visa applicants to arrive in the country to automatically get an open work visa – a sharp departure from current practice.
#iwk #nz #Immigrationnz #newzealand https://t.co/qTelngAIiG</t>
  </si>
  <si>
    <t>Understanding immigration rebalance with Alastair McClymont. Today 4:00 pm, Don't miss it!!
#iwk #Immigrationnz #nz #migrants #migration https://t.co/Xotx4fr2Sf</t>
  </si>
  <si>
    <t>International students coming to New Zealand will have to show $5000 in their account at the time of applying for post-study work visa.
#Internationalstudents #nz #immigrationnz
https://t.co/vETXtqZY7T</t>
  </si>
  <si>
    <t>If families ties are a good reason to make ImmigrationNZ see sense @KrisInMana @PhilTwyford @MBIEgovtNZ what about letting 12YO Arianna join her working parents in NZ? @EndASHnow #EndASHnow 
https://t.co/A1hCE2VS6r</t>
  </si>
  <si>
    <t>Here's an update from @NZCCSS on where @NZLabour Government is at on fulfilling Labour 2020 Manifesto. More work needed on #ImmigrationNZ &amp;amp; #DisabilityRights #Accessibility. Lots already achieved ✔️_xD83D__xDC4D_ Shows Govt plans are more than PM's wishlist #nzpol
https://t.co/M4m38yx0di</t>
  </si>
  <si>
    <t>More questions about unfair rules by #ImmigrationNZ including them separating families if one child is disabled. Where is #BeKind in their policies? @CheckpointRNZ @lisaowennz 
https://t.co/SdAXsftcXV https://t.co/hOgFpkvPfH</t>
  </si>
  <si>
    <t>@mikeythenurse So many problems with ImmigrationNZ policies &amp;amp; processes. There have been for years. Cuts in their own staff &amp;amp; offices hasn't helped with access to visas. Their website processes creak. Their rules are structurally racist. Admission tests aren't fit for purpose. Need faster fixes</t>
  </si>
  <si>
    <t>Where are changes to #ImmigrationNZ Rules &amp;amp; Policies to make them more humane? @JacindaArdern @KrisInMana @PhilTwyford When can @AriannaGail1 welcome her 12YO daughter to Aotearoa? Will you #EndASHnow @EndASHnow &amp;amp; unite families with disabled kids? #nzpol
https://t.co/RWkwbApNp0</t>
  </si>
  <si>
    <t>Saw @KrisInMana &amp;amp; @JackTame talking on #ImmigrationNZ on @NZQandA. Minister talks of getting people to come to NZ. What of their families? NZ separates families &amp;amp; won't let disabled kids stay with parents. So much for #BeKind. Reputational harm #EndASHnow #EndASHnow #NZQandA</t>
  </si>
  <si>
    <t>Want to get the best assistance for immigration facilities to make your way to NZ? If so, then reaching the Immigration Office in Auckland may become the solitary choice.
#immigrationnz
#nzimmigration
#immigrationtonewzealand
#nzvisa
#immigrationadvisers
https://t.co/TFkbOiYn2D https://t.co/cpvUWU1TIk</t>
  </si>
  <si>
    <t>Want to get the best assistance for immigration facilities to make your way to NZ? If so, then reaching the Immigration Office in Auckland may become the solitary choice.
#immigrationnz
#nzimmigration
#immigrationtonewzealand
#nzvisa
#immigrationadvisers
https://t.co/TFkbOiYn2D https://t.co/v4pGHIooSC</t>
  </si>
  <si>
    <t>_xD83D__xDCDD_ Get immigration advice that matters.
_xD83D__xDC49_ Get Assessed - https://t.co/HsqeC3qmTK
#Immigrants #ImmigrationPolicy #ImmigrationNZ #ImmigrationNews #PartnershipVisa #Migration #ResidenceVisa #NZ #NewZealand  #VandanaRai #IANZ #FreeAssessment #ImmigrationLawyer  #ImmigrationAdvisers https://t.co/nyPrSgbjeh</t>
  </si>
  <si>
    <t>_xD83D__xDCDD_ Why is it #important to declare #VisaRefusals 
_xD83D__xDCCC_ Making #FalseDeclaration has #implications
_xD83D__xDC49_ Read More - https://t.co/au0iFIO5lq
#Blogs #MigrationAdvice #Visa #VandanaRai #ImmigrationNZ #ImmigrationAdvisers #IANZ #Newblog #Blogger #Newsletter #Policies #VisaRefusal #Blog</t>
  </si>
  <si>
    <t>@MatthewHootonNZ 500 more staff at ImmigrationNZ processing 1/3 fewer visas. 
Spend more, do less. 
https://t.co/TrfLLjvEeS</t>
  </si>
  <si>
    <t>https://www.stuff.co.nz/pou-tiaki/128476403/very-painful-family-split-between-nz-and-philippines-over-immigration-health-policy https://twitter.com/JennyKayNZ/status/1524249856658747392</t>
  </si>
  <si>
    <t>org.nz</t>
  </si>
  <si>
    <t>nzimmigration.info</t>
  </si>
  <si>
    <t>immigrationnz</t>
  </si>
  <si>
    <t>nzimmigration immigrationnz</t>
  </si>
  <si>
    <t>migrants immigrationnz</t>
  </si>
  <si>
    <t>immigration migrants immigrationnz</t>
  </si>
  <si>
    <t>read workvisa immigrationnz nz</t>
  </si>
  <si>
    <t>immigrationnz nz students internationalstudents</t>
  </si>
  <si>
    <t>iwk nz immigrationnz newzealand</t>
  </si>
  <si>
    <t>iwk immigrationnz nz migrants migration</t>
  </si>
  <si>
    <t>internationalstudents nz immigrationnz</t>
  </si>
  <si>
    <t>immigrationnz disabilityrights accessibility nzpol</t>
  </si>
  <si>
    <t>immigrationnz bekind</t>
  </si>
  <si>
    <t>immigrationnz endashnow nzpol</t>
  </si>
  <si>
    <t>immigrationnz bekind endashnow endashnow nzqanda</t>
  </si>
  <si>
    <t>immigrationnz nzimmigration immigrationtonewzealand nzvisa immigrationadvisers</t>
  </si>
  <si>
    <t>immigrants immigrationpolicy immigrationnz immigrationnews partnershipvisa migration residencevisa nz newzealand vandanarai ianz freeassessment immigrationlawyer immigrationadvisers</t>
  </si>
  <si>
    <t>important visarefusals falsedeclaration implications blogs migrationadvice visa vandanarai immigrationnz immigrationadvisers ianz newblog blogger newsletter policies visarefusal blog</t>
  </si>
  <si>
    <t>immigrants immigrationpolicy</t>
  </si>
  <si>
    <t>01:58:48</t>
  </si>
  <si>
    <t>21:50:10</t>
  </si>
  <si>
    <t>02:20:07</t>
  </si>
  <si>
    <t>23:57:40</t>
  </si>
  <si>
    <t>02:00:06</t>
  </si>
  <si>
    <t>03:14:48</t>
  </si>
  <si>
    <t>01:30:00</t>
  </si>
  <si>
    <t>02:30:02</t>
  </si>
  <si>
    <t>02:30:05</t>
  </si>
  <si>
    <t>03:08:53</t>
  </si>
  <si>
    <t>05:12:25</t>
  </si>
  <si>
    <t>03:46:13</t>
  </si>
  <si>
    <t>03:46:29</t>
  </si>
  <si>
    <t>03:15:38</t>
  </si>
  <si>
    <t>01:23:13</t>
  </si>
  <si>
    <t>03:07:35</t>
  </si>
  <si>
    <t>06:41:58</t>
  </si>
  <si>
    <t>05:50:42</t>
  </si>
  <si>
    <t>05:22:45</t>
  </si>
  <si>
    <t>06:54:15</t>
  </si>
  <si>
    <t>04:47:39</t>
  </si>
  <si>
    <t>07:15:42</t>
  </si>
  <si>
    <t>23:40:18</t>
  </si>
  <si>
    <t>02:52:50</t>
  </si>
  <si>
    <t>05:44:41</t>
  </si>
  <si>
    <t>05:55:38</t>
  </si>
  <si>
    <t>21:00:08</t>
  </si>
  <si>
    <t>06:30:44</t>
  </si>
  <si>
    <t>19:32:51</t>
  </si>
  <si>
    <t>1523844973837570048</t>
  </si>
  <si>
    <t>1524144791302598656</t>
  </si>
  <si>
    <t>1524212727773753345</t>
  </si>
  <si>
    <t>1524901656751579142</t>
  </si>
  <si>
    <t>1523482914993827842</t>
  </si>
  <si>
    <t>1523864102195679232</t>
  </si>
  <si>
    <t>1524562505112117248</t>
  </si>
  <si>
    <t>1524577612542189568</t>
  </si>
  <si>
    <t>1524577623720054786</t>
  </si>
  <si>
    <t>1524587386654572550</t>
  </si>
  <si>
    <t>1524618478250246144</t>
  </si>
  <si>
    <t>1524959171522613248</t>
  </si>
  <si>
    <t>1524959238547574784</t>
  </si>
  <si>
    <t>1523864310879223809</t>
  </si>
  <si>
    <t>1523473630767706112</t>
  </si>
  <si>
    <t>1523499898741555202</t>
  </si>
  <si>
    <t>1524278622798102529</t>
  </si>
  <si>
    <t>1524265722628608000</t>
  </si>
  <si>
    <t>1524983462850990080</t>
  </si>
  <si>
    <t>1524281715971457024</t>
  </si>
  <si>
    <t>1524249856658747392</t>
  </si>
  <si>
    <t>1524287114099179521</t>
  </si>
  <si>
    <t>1525622058943582208</t>
  </si>
  <si>
    <t>1525670511443083264</t>
  </si>
  <si>
    <t>1524626596770226176</t>
  </si>
  <si>
    <t>1526078903378661376</t>
  </si>
  <si>
    <t>1522682651693535233</t>
  </si>
  <si>
    <t>1523769891697926146</t>
  </si>
  <si>
    <t>1526087738331521024</t>
  </si>
  <si>
    <t>1523385460218757120</t>
  </si>
  <si>
    <t>1523562332881793024</t>
  </si>
  <si>
    <t>1524900558355673088</t>
  </si>
  <si>
    <t>1524503894365130753</t>
  </si>
  <si>
    <t>1523377870202019840</t>
  </si>
  <si>
    <t>204154654</t>
  </si>
  <si>
    <t>532682706</t>
  </si>
  <si>
    <t>1259431052084305920</t>
  </si>
  <si>
    <t>737297861331849216</t>
  </si>
  <si>
    <t>1421988157</t>
  </si>
  <si>
    <t>Kontentino</t>
  </si>
  <si>
    <t>T. Optional - vaxed, masked, madding crowd avoider</t>
  </si>
  <si>
    <t>Kris Faafoi Mana</t>
  </si>
  <si>
    <t>mark doyle</t>
  </si>
  <si>
    <t>MBIE</t>
  </si>
  <si>
    <t>Mario Junior</t>
  </si>
  <si>
    <t>Leila Figueiredo</t>
  </si>
  <si>
    <t>its me !</t>
  </si>
  <si>
    <t>Indian Weekender</t>
  </si>
  <si>
    <t>Suresh Kumar</t>
  </si>
  <si>
    <t>Gail Alfonzo</t>
  </si>
  <si>
    <t>What matters? _xD83C__xDF0F_ _xD83D__xDC97__xD83D__xDC9C__xD83D__xDC99_ _xD83C__xDFF3_️‍_xD83C__xDF08_</t>
  </si>
  <si>
    <t>New Zealand Labour</t>
  </si>
  <si>
    <t>NZCCSS</t>
  </si>
  <si>
    <t>Lisa Owen</t>
  </si>
  <si>
    <t>Checkpoint</t>
  </si>
  <si>
    <t>Mikey Brenndorfer RN _xD83C__xDFF4_</t>
  </si>
  <si>
    <t>Migrants against the Acceptable Standard of Health</t>
  </si>
  <si>
    <t>Phil Twyford</t>
  </si>
  <si>
    <t>Q+A</t>
  </si>
  <si>
    <t>Jack Tame</t>
  </si>
  <si>
    <t>Jack Franklin</t>
  </si>
  <si>
    <t>Immigration Advisers New Zealand Ltd</t>
  </si>
  <si>
    <t>Dhruv Patel</t>
  </si>
  <si>
    <t>Bull and Bear</t>
  </si>
  <si>
    <t>761028751752777729</t>
  </si>
  <si>
    <t>23297692</t>
  </si>
  <si>
    <t>13667982</t>
  </si>
  <si>
    <t>51667665</t>
  </si>
  <si>
    <t>1447801595836567556</t>
  </si>
  <si>
    <t>1447690651512938499</t>
  </si>
  <si>
    <t>50943610</t>
  </si>
  <si>
    <t>15466126</t>
  </si>
  <si>
    <t>2399235553</t>
  </si>
  <si>
    <t>3032013158</t>
  </si>
  <si>
    <t>2191205012</t>
  </si>
  <si>
    <t>1505117539063508992</t>
  </si>
  <si>
    <t>40409545</t>
  </si>
  <si>
    <t>268005830</t>
  </si>
  <si>
    <t>251287921</t>
  </si>
  <si>
    <t>1481207347271905282</t>
  </si>
  <si>
    <t>2928092958</t>
  </si>
  <si>
    <t>1362657554308861959</t>
  </si>
  <si>
    <t>890671603</t>
  </si>
  <si>
    <t>Lives in New Zealand</t>
  </si>
  <si>
    <t>Proud to be the MP for Mana. Authorised by Kris Faafoi, 6 Hartham Place, Porirua.</t>
  </si>
  <si>
    <t>Live and let live. Enjoy the special moments of family</t>
  </si>
  <si>
    <t>The official Twitter feed for New Zealand's Ministry of Business, Innovation and Employment. We're here 9-5 weekdays NZT. Terms of use https://t.co/CJGcBgaB0T</t>
  </si>
  <si>
    <t>Software Developer.  From Brazil, living around the World.</t>
  </si>
  <si>
    <t>@LincolnUniNZ Doctoral Scholar.
Postgraduate representative.
International student advocate.
Estudando ecologia política em Aotearoa NZ</t>
  </si>
  <si>
    <t>I’m in New Zealand, I don’t give a damn about US politics so leave me out of this _xD83D__xDE02_</t>
  </si>
  <si>
    <t>NZ's #1 and the first weekly newspaper for Kiwi-Indians and the most visited Indian Website in NZ: https://t.co/wzlmkBL2ft</t>
  </si>
  <si>
    <t>_xD83C__xDDF5__xD83C__xDDED__xD83C__xDDF3__xD83C__xDDFF_</t>
  </si>
  <si>
    <t>❤️ Aotearoa NZ _xD83C__xDF0F_ Tangata Tiriti _xD83D__xDE37_ _xD83D__xDC89__xD83D__xDC89__xD83D__xDC89_ For #accessibility. ❤️ _xD83D__xDCDA_ ND. She/Her, They/Them _xD83C__xDFF3_️‍_xD83C__xDF08_ Mastodon _xD83D__xDC18_ = @Kay@mastodon.nz _xD83E__xDD5D__xD83D__xDC26__xD83E__xDEBA_ _xD83C__xDDF3__xD83C__xDDFF_</t>
  </si>
  <si>
    <t>Let's keep moving →
Authorised by Rob Salmond, 160 Willis St, Wellington.</t>
  </si>
  <si>
    <t>The NZ Council of Christian Social Services represents the social services of Anglican, Baptist, Catholic Presbyterian, Methodist and Salvation Army churches</t>
  </si>
  <si>
    <t>Checkpoint with Lisa Owen, every weekday @ 5pm on 101FM, RNZ website &amp; app, Freeview 50 and Face TV, Sky 83.</t>
  </si>
  <si>
    <t>Youth Health Nurse Specialist/NP Intern (he/they) -
BHSc PGDip (Yth Hlth) MHPrac - 
Grumpy old hardcore punk - 
Proud co-parent to 4 cats</t>
  </si>
  <si>
    <t>Campaigning to end migrant disability and health discrimination in Aotearoa NZ. Calling on Govt to scrap the Acceptable Standard of Health (ASH). #EndASHNow</t>
  </si>
  <si>
    <t>Minister in 6th Labour Government, MP for Te Atatu. Authorised by Phil Twyford MP, Parliament Buildings, Wellington</t>
  </si>
  <si>
    <t>NZ's leading political current affairs programme. #NZQandA is Public Interest Journalism funded through @NZonAir. Join @jacktame on Sundays, 9am, TVNZ 1.</t>
  </si>
  <si>
    <t>Uncouth eyebrows and an awkward running technique.</t>
  </si>
  <si>
    <t>New Zealand Registered | Licensed Immigration Advisers |All Visa Categories | Student Visa | Spouse Visa | Work Visa | Visitor Visa | Section 61 Appeals</t>
  </si>
  <si>
    <t>Nothing to say ...good bay.</t>
  </si>
  <si>
    <t xml:space="preserve">matthewhootonnz
</t>
  </si>
  <si>
    <t>tomboyoptional
@KrisinMana #ImmigrationNZ "They
then got another call from Immigration
letting them know she could in
fact apply for another student
visa while waiting, contradicting
the former advice." https://t.co/eIdTOwSVTT</t>
  </si>
  <si>
    <t xml:space="preserve">krisinmana
</t>
  </si>
  <si>
    <t>batdoyle
@MBIEgovtnz How do I find any info
on transferring my Permanent Resident
Visa from my expired Irish passport
to my new Irish passport? No one
answers the ImmigrationNZ phones
and the website has no clear advice!
Help!!</t>
  </si>
  <si>
    <t xml:space="preserve">mbiegovtnz
</t>
  </si>
  <si>
    <t>mariojunior
@Leila_FAS Sorry for hearing that.
Indeed ImmigrationNZ IS THE WORST
public service in this country
and I talk by my experience too.
Hope you got this situation, at
least, easier.</t>
  </si>
  <si>
    <t xml:space="preserve">leila_fas
</t>
  </si>
  <si>
    <t>tramorabroad
I expected a hefty legal grade
paper that I could frame. Maybe
some nice ink or font. My expectations
should have been as low as the
treatment immigrants here get,
but it still surprised me. _xD83D__xDE02_ #nzimmigration
#immigrationnz</t>
  </si>
  <si>
    <t>indianweekender
International students coming to
New Zealand will have to show $5000
in their account at the time of
applying for post-study work visa.
#Internationalstudents #nz #immigrationnz
https://t.co/vETXtqZY7T</t>
  </si>
  <si>
    <t>sureshk01547631
Students will not be able to apply
for a second post-study visa in
New Zealand. #Immigrationnz #nz
#Students #Internationalstudents
https://t.co/f2JMzxrBoJ</t>
  </si>
  <si>
    <t>ariannagail1
Where are changes to #ImmigrationNZ
Rules &amp;amp; Policies to make them
more humane? @JacindaArdern @KrisInMana
@PhilTwyford When can @AriannaGail1
welcome her 12YO daughter to Aotearoa?
Will you #EndASHnow @EndASHnow
&amp;amp; unite families with disabled
kids? #nzpol https://t.co/RWkwbApNp0</t>
  </si>
  <si>
    <t>jennykaynz
Saw @KrisInMana &amp;amp; @JackTame
talking on #ImmigrationNZ on @NZQandA.
Minister talks of getting people
to come to NZ. What of their families?
NZ separates families &amp;amp; won't
let disabled kids stay with parents.
So much for #BeKind. Reputational
harm #EndASHnow #EndASHnow #NZQandA</t>
  </si>
  <si>
    <t xml:space="preserve">nzlabour
</t>
  </si>
  <si>
    <t xml:space="preserve">nzccss
</t>
  </si>
  <si>
    <t xml:space="preserve">lisaowennz
</t>
  </si>
  <si>
    <t xml:space="preserve">checkpointrnz
</t>
  </si>
  <si>
    <t xml:space="preserve">mikeythenurse
</t>
  </si>
  <si>
    <t>endashnow
Saw @KrisInMana &amp;amp; @JackTame
talking on #ImmigrationNZ on @NZQandA.
Minister talks of getting people
to come to NZ. What of their families?
NZ separates families &amp;amp; won't
let disabled kids stay with parents.
So much for #BeKind. Reputational
harm #EndASHnow #EndASHnow #NZQandA</t>
  </si>
  <si>
    <t xml:space="preserve">philtwyford
</t>
  </si>
  <si>
    <t xml:space="preserve">nzqanda
</t>
  </si>
  <si>
    <t xml:space="preserve">jacktame
</t>
  </si>
  <si>
    <t>jackfra34133784
Want to get the best assistance
for immigration facilities to make
your way to NZ? If so, then reaching
the Immigration Office in Auckland
may become the solitary choice.
#immigrationnz #nzimmigration #immigrationtonewzealand
#nzvisa #immigrationadvisers https://t.co/TFkbOiYn2D
https://t.co/v4pGHIooSC</t>
  </si>
  <si>
    <t>nz_visa_adviser
_xD83D__xDCDD_ Why is it #important to declare
#VisaRefusals _xD83D__xDCCC_ Making #FalseDeclaration
has #implications _xD83D__xDC49_ Read More
- https://t.co/au0iFIO5lq #Blogs
#MigrationAdvice #Visa #VandanaRai
#ImmigrationNZ #ImmigrationAdvisers
#IANZ #Newblog #Blogger #Newsletter
#Policies #VisaRefusal #Blog</t>
  </si>
  <si>
    <t>dhruvpa39231878
_xD83D__xDCDD_ Get immigration advice that
matters. _xD83D__xDC49_ Get Assessed - https://t.co/HsqeC3qmTK
#Immigrants #ImmigrationPolicy
#ImmigrationNZ #ImmigrationNews
#PartnershipVisa #Migration #ResidenceVisa
#NZ #NewZealand #VandanaRai #IANZ
#FreeAssessment #ImmigrationLawyer
#ImmigrationAdvisers https://t.co/nyPrSgbjeh</t>
  </si>
  <si>
    <t>bullxbear
@MatthewHootonNZ 500 more staff
at ImmigrationNZ processing 1/3
fewer visas. Spend more, do less.
https://t.co/TrfLLjvEeS</t>
  </si>
  <si>
    <t>#immigrationnz</t>
  </si>
  <si>
    <t>families</t>
  </si>
  <si>
    <t>immigration</t>
  </si>
  <si>
    <t>visa</t>
  </si>
  <si>
    <t>#nz</t>
  </si>
  <si>
    <t>#endashnow</t>
  </si>
  <si>
    <t>disabled</t>
  </si>
  <si>
    <t>rules</t>
  </si>
  <si>
    <t>#immigrationadvisers</t>
  </si>
  <si>
    <t>12yo</t>
  </si>
  <si>
    <t>advice</t>
  </si>
  <si>
    <t>#newzealand</t>
  </si>
  <si>
    <t>parents</t>
  </si>
  <si>
    <t>#bekind</t>
  </si>
  <si>
    <t>#migration</t>
  </si>
  <si>
    <t>#vandanarai</t>
  </si>
  <si>
    <t>#ianz</t>
  </si>
  <si>
    <t>#nzimmigration</t>
  </si>
  <si>
    <t>changes</t>
  </si>
  <si>
    <t>humane</t>
  </si>
  <si>
    <t>welcome</t>
  </si>
  <si>
    <t>unite</t>
  </si>
  <si>
    <t>letting</t>
  </si>
  <si>
    <t>apply</t>
  </si>
  <si>
    <t>study</t>
  </si>
  <si>
    <t>#internationalstudents</t>
  </si>
  <si>
    <t>#iwk</t>
  </si>
  <si>
    <t>#migrants</t>
  </si>
  <si>
    <t>assessed</t>
  </si>
  <si>
    <t>#immigrants</t>
  </si>
  <si>
    <t>#immigrationpolicy</t>
  </si>
  <si>
    <t>#immigrationnews</t>
  </si>
  <si>
    <t>#partnershipvisa</t>
  </si>
  <si>
    <t>#residencevisa</t>
  </si>
  <si>
    <t>#freeassessment</t>
  </si>
  <si>
    <t>#immigrationlawyer</t>
  </si>
  <si>
    <t>assistance</t>
  </si>
  <si>
    <t>facilities</t>
  </si>
  <si>
    <t>reaching</t>
  </si>
  <si>
    <t>office</t>
  </si>
  <si>
    <t>become</t>
  </si>
  <si>
    <t>solitary</t>
  </si>
  <si>
    <t>choice</t>
  </si>
  <si>
    <t>#immigrationtonewzealand</t>
  </si>
  <si>
    <t>#nzvisa</t>
  </si>
  <si>
    <t>saw</t>
  </si>
  <si>
    <t>talks</t>
  </si>
  <si>
    <t>separates</t>
  </si>
  <si>
    <t>stay</t>
  </si>
  <si>
    <t>reputational</t>
  </si>
  <si>
    <t>harm</t>
  </si>
  <si>
    <t>#nzqanda</t>
  </si>
  <si>
    <t>ties</t>
  </si>
  <si>
    <t>arianna</t>
  </si>
  <si>
    <t>join</t>
  </si>
  <si>
    <t>processes</t>
  </si>
  <si>
    <t>questions</t>
  </si>
  <si>
    <t>unfair</t>
  </si>
  <si>
    <t>separating</t>
  </si>
  <si>
    <t>plans</t>
  </si>
  <si>
    <t>#students</t>
  </si>
  <si>
    <t>important</t>
  </si>
  <si>
    <t>regard</t>
  </si>
  <si>
    <t>partners</t>
  </si>
  <si>
    <t>applicants</t>
  </si>
  <si>
    <t>arrive</t>
  </si>
  <si>
    <t>automatically</t>
  </si>
  <si>
    <t>departure</t>
  </si>
  <si>
    <t>practice</t>
  </si>
  <si>
    <t>migrants</t>
  </si>
  <si>
    <t>irish</t>
  </si>
  <si>
    <t>passport</t>
  </si>
  <si>
    <t>https://www.stuff.co.nz/national/politics/300585646/immigration-overhaul-government-introduces-fasttrack-to-residency-for-some-migrants--but-with-hefty-pay-requirement</t>
  </si>
  <si>
    <t>https://nzimmigration.info/visa-query-form/?utm_source=Social+Media&amp;utm_medium=FB&amp;utm_campaign=Branding+SJ+7+May+2022</t>
  </si>
  <si>
    <t>https://nzimmigration.info/</t>
  </si>
  <si>
    <t>https://www.stuff.co.nz/national/immigration/300580917/woman-who-has-overstayed-in-nz-for-16-years-granted-residence-due-to-family-ties</t>
  </si>
  <si>
    <t>https://www.stuff.co.nz/pou-tiaki/128476403/very-painful-family-split-between-nz-and-philippines-over-immigration-health-policy</t>
  </si>
  <si>
    <t>https://twitter.com/JennyKayNZ/status/1524249856658747392</t>
  </si>
  <si>
    <t>https://nzimmigration.info/visa-application-why-must-you-always-declare-your-previous-visa-refusals/?utm_source=Social+Media&amp;utm_medium=FB&amp;utm_campaign=+Study+Blog+SJ++10+May+2022</t>
  </si>
  <si>
    <t>https://nzccss.org.nz/wp-content/uploads/NZCCSS-Manifesto-Tracker-May-2022.pdf</t>
  </si>
  <si>
    <t>https://www.indianweekender.co.nz/Pages/ArticleDetails/7/19650/New-Zealand/Immigration-Rebalance-International-students-will-have-to-show-5000-for-post-st</t>
  </si>
  <si>
    <t>https://www.indianweekender.co.nz/Pages/ArticleDetails/7/19648/New-Zealand/Immigration-re-balance-plan-Partners-of-future-work-visa-holders-to-not-get-ope</t>
  </si>
  <si>
    <t>https://www.odt.co.nz/news/national/defeated-couples-visa-heartbreak-after-application-fiasco</t>
  </si>
  <si>
    <t>https://www.indianweekender.co.nz/Pages/ArticleDetails/7/19623/New-Zealand/Migrants-Facebook-group-folds-over-legal-fears</t>
  </si>
  <si>
    <t>https://www.indianweekender.co.nz/Pages/ArticleDetails/7/19630/New-Zealand/Government-expected-to-reveal-new-border-re-opening-date</t>
  </si>
  <si>
    <t>https://www.newsroom.co.nz/hold-ups-at-immigration-despite-surge-in-staff-and-expenditure</t>
  </si>
  <si>
    <t>https://www.stuff.co.nz/national/politics/300585646/immigration-overhaul-government-introduces-fasttrack-to-residency-for-some-migrants--but-with-hefty-pay-requirement https://nzccss.org.nz/wp-content/uploads/NZCCSS-Manifesto-Tracker-May-2022.pdf https://www.stuff.co.nz/pou-tiaki/128476403/very-painful-family-split-between-nz-and-philippines-over-immigration-health-policy https://twitter.com/JennyKayNZ/status/1524249856658747392 https://www.stuff.co.nz/national/immigration/300580917/woman-who-has-overstayed-in-nz-for-16-years-granted-residence-due-to-family-ties</t>
  </si>
  <si>
    <t>https://www.stuff.co.nz/national/politics/300585646/immigration-overhaul-government-introduces-fasttrack-to-residency-for-some-migrants--but-with-hefty-pay-requirement https://www.stuff.co.nz/pou-tiaki/128476403/very-painful-family-split-between-nz-and-philippines-over-immigration-health-policy https://twitter.com/JennyKayNZ/status/1524249856658747392 https://www.stuff.co.nz/national/immigration/300580917/woman-who-has-overstayed-in-nz-for-16-years-granted-residence-due-to-family-ties</t>
  </si>
  <si>
    <t>https://nzimmigration.info/visa-query-form/?utm_source=Social+Media&amp;utm_medium=FB&amp;utm_campaign=Branding+SJ+7+May+2022 https://nzimmigration.info/visa-application-why-must-you-always-declare-your-previous-visa-refusals/?utm_source=Social+Media&amp;utm_medium=FB&amp;utm_campaign=+Study+Blog+SJ++10+May+2022</t>
  </si>
  <si>
    <t>https://www.indianweekender.co.nz/Pages/ArticleDetails/7/19650/New-Zealand/Immigration-Rebalance-International-students-will-have-to-show-5000-for-post-st https://www.indianweekender.co.nz/Pages/ArticleDetails/7/19623/New-Zealand/Migrants-Facebook-group-folds-over-legal-fears https://www.indianweekender.co.nz/Pages/ArticleDetails/7/19630/New-Zealand/Government-expected-to-reveal-new-border-re-opening-date https://www.indianweekender.co.nz/Pages/ArticleDetails/7/19648/New-Zealand/Immigration-re-balance-plan-Partners-of-future-work-visa-holders-to-not-get-ope</t>
  </si>
  <si>
    <t>co.nz org.nz twitter.com</t>
  </si>
  <si>
    <t>immigrationadvisers</t>
  </si>
  <si>
    <t>bekind</t>
  </si>
  <si>
    <t>newzealand</t>
  </si>
  <si>
    <t>nzimmigration</t>
  </si>
  <si>
    <t>internationalstudents</t>
  </si>
  <si>
    <t>iwk</t>
  </si>
  <si>
    <t>disabilityrights</t>
  </si>
  <si>
    <t>accessibility</t>
  </si>
  <si>
    <t>immigrants</t>
  </si>
  <si>
    <t>immigrationpolicy</t>
  </si>
  <si>
    <t>vandanarai</t>
  </si>
  <si>
    <t>ianz</t>
  </si>
  <si>
    <t>visarefusals</t>
  </si>
  <si>
    <t>falsedeclaration</t>
  </si>
  <si>
    <t>implications</t>
  </si>
  <si>
    <t>workvisa</t>
  </si>
  <si>
    <t>immigrationtonewzealand</t>
  </si>
  <si>
    <t>nzvisa</t>
  </si>
  <si>
    <t>endashnow immigrationnz bekind nzpol nzqanda disabilityrights accessibility</t>
  </si>
  <si>
    <t>immigrationnz endashnow nzpol bekind</t>
  </si>
  <si>
    <t>immigrants immigrationpolicy vandanarai immigrationnz immigrationadvisers ianz important visarefusals falsedeclaration implications</t>
  </si>
  <si>
    <t>immigrationnz nz internationalstudents iwk migrants students newzealand immigration read workvisa</t>
  </si>
  <si>
    <t>nzimmigration immigrationnz immigrationtonewzealand nzvisa immigrationadvisers</t>
  </si>
  <si>
    <t>amp families #endashnow #immigrationnz krisinmana nz disabled more kids rules</t>
  </si>
  <si>
    <t>families #immigrationnz rules amp policies make more krisinmana philtwyford 12yo</t>
  </si>
  <si>
    <t>#immigrationnz #vandanarai #ianz #immigrationadvisers immigration advice matters assessed #immigrants #immigrationpolicy</t>
  </si>
  <si>
    <t>#immigrationnz visa #nz work students study zealand #internationalstudents decisions #iwk</t>
  </si>
  <si>
    <t>immigration #nzimmigration #immigrationnz best assistance facilities make way nz reaching</t>
  </si>
  <si>
    <t>disabled,kids</t>
  </si>
  <si>
    <t>krisinmana,philtwyford</t>
  </si>
  <si>
    <t>work,visa</t>
  </si>
  <si>
    <t>#immigrationnz,#nz</t>
  </si>
  <si>
    <t>changes,#immigrationnz</t>
  </si>
  <si>
    <t>#immigrationnz,rules</t>
  </si>
  <si>
    <t>rules,amp</t>
  </si>
  <si>
    <t>amp,policies</t>
  </si>
  <si>
    <t>policies,make</t>
  </si>
  <si>
    <t>make,more</t>
  </si>
  <si>
    <t>saw,krisinmana</t>
  </si>
  <si>
    <t>krisinmana,amp</t>
  </si>
  <si>
    <t>amp,jacktame</t>
  </si>
  <si>
    <t>jacktame,talking</t>
  </si>
  <si>
    <t>talking,#immigrationnz</t>
  </si>
  <si>
    <t>#immigrationnz,nzqanda</t>
  </si>
  <si>
    <t>nzqanda,minister</t>
  </si>
  <si>
    <t>minister,talks</t>
  </si>
  <si>
    <t>irish,passport</t>
  </si>
  <si>
    <t>immigration,advice</t>
  </si>
  <si>
    <t>advice,matters</t>
  </si>
  <si>
    <t>matters,assessed</t>
  </si>
  <si>
    <t>assessed,#immigrants</t>
  </si>
  <si>
    <t>#immigrants,#immigrationpolicy</t>
  </si>
  <si>
    <t>#immigrationpolicy,#immigrationnz</t>
  </si>
  <si>
    <t>#immigrationnz,#immigrationnews</t>
  </si>
  <si>
    <t>#immigrationnews,#partnershipvisa</t>
  </si>
  <si>
    <t>#partnershipvisa,#migration</t>
  </si>
  <si>
    <t>#migration,#residencevisa</t>
  </si>
  <si>
    <t>#nz,#immigrationnz</t>
  </si>
  <si>
    <t>students,apply</t>
  </si>
  <si>
    <t>apply,second</t>
  </si>
  <si>
    <t>second,study</t>
  </si>
  <si>
    <t>study,visa</t>
  </si>
  <si>
    <t>visa,zealand</t>
  </si>
  <si>
    <t>zealand,#immigrationnz</t>
  </si>
  <si>
    <t>#nz,#students</t>
  </si>
  <si>
    <t>best,assistance</t>
  </si>
  <si>
    <t>assistance,immigration</t>
  </si>
  <si>
    <t>immigration,facilities</t>
  </si>
  <si>
    <t>facilities,make</t>
  </si>
  <si>
    <t>make,way</t>
  </si>
  <si>
    <t>way,nz</t>
  </si>
  <si>
    <t>nz,reaching</t>
  </si>
  <si>
    <t>reaching,immigration</t>
  </si>
  <si>
    <t>immigration,office</t>
  </si>
  <si>
    <t>office,auckland</t>
  </si>
  <si>
    <t>disabled,kids  krisinmana,philtwyford  saw,krisinmana  krisinmana,amp  amp,jacktame  jacktame,talking  talking,#immigrationnz  #immigrationnz,nzqanda  nzqanda,minister  minister,talks</t>
  </si>
  <si>
    <t>krisinmana,philtwyford  irish,passport</t>
  </si>
  <si>
    <t>immigration,advice  advice,matters  matters,assessed  assessed,#immigrants  #immigrants,#immigrationpolicy  #immigrationpolicy,#immigrationnz  #immigrationnz,#immigrationnews  #immigrationnews,#partnershipvisa  #partnershipvisa,#migration  #migration,#residencevisa</t>
  </si>
  <si>
    <t>work,visa  #immigrationnz,#nz  #nz,#immigrationnz  students,apply  apply,second  second,study  study,visa  visa,zealand  zealand,#immigrationnz  #nz,#students</t>
  </si>
  <si>
    <t>best,assistance  assistance,immigration  immigration,facilities  facilities,make  make,way  way,nz  nz,reaching  reaching,immigration  immigration,office  office,auckland</t>
  </si>
  <si>
    <t>krisinmana philtwyford endashnow jacktame nzqanda jacindaardern ariannagail1 nzccss nzlabour checkpointrnz</t>
  </si>
  <si>
    <t>krisinmana philtwyford endashnow jacindaardern ariannagail1 checkpointrnz lisaowennz mbiegovtnz</t>
  </si>
  <si>
    <t>jennykaynz mikeythenurse nzlabour nzqanda jacindaardern jacktame nzccss endashnow</t>
  </si>
  <si>
    <t>checkpointrnz philtwyford mbiegovtnz lisaowennz batdoyle ariannagail1</t>
  </si>
  <si>
    <t>nz_visa_adviser dhruvpa39231878</t>
  </si>
  <si>
    <t>tomboyoptional krisinmana</t>
  </si>
  <si>
    <t>indianweekender sureshk01547631</t>
  </si>
  <si>
    <t>mariojunior leila_fas</t>
  </si>
  <si>
    <t>matthewhootonnz bullxbear</t>
  </si>
  <si>
    <t>tramorabroad jackfra34133784</t>
  </si>
  <si>
    <t>https://www.indianweekender.co.nz/Pages/ArticleDetails/7/19650/New-Zealand/Immigration-Rebalance-International-students-will-have-to-show-5000-for-post-st https://www.indianweekender.co.nz/Pages/ArticleDetails/7/19648/New-Zealand/Immigration-re-balance-plan-Partners-of-future-work-visa-holders-to-not-get-ope https://www.indianweekender.co.nz/Pages/ArticleDetails/7/19630/New-Zealand/Government-expected-to-reveal-new-border-re-opening-date https://www.indianweekender.co.nz/Pages/ArticleDetails/7/19623/New-Zealand/Migrants-Facebook-group-folds-over-legal-fears</t>
  </si>
  <si>
    <t>https://www.stuff.co.nz/national/politics/300585646/immigration-overhaul-government-introduces-fasttrack-to-residency-for-some-migrants--but-with-hefty-pay-requirement https://www.stuff.co.nz/national/immigration/300580917/woman-who-has-overstayed-in-nz-for-16-years-granted-residence-due-to-family-ties https://www.stuff.co.nz/pou-tiaki/128476403/very-painful-family-split-between-nz-and-philippines-over-immigration-health-policy https://twitter.com/JennyKayNZ/status/1524249856658747392</t>
  </si>
  <si>
    <t>https://www.stuff.co.nz/national/politics/300585646/immigration-overhaul-government-introduces-fasttrack-to-residency-for-some-migrants--but-with-hefty-pay-requirement https://www.stuff.co.nz/national/immigration/300580917/woman-who-has-overstayed-in-nz-for-16-years-granted-residence-due-to-family-ties https://www.stuff.co.nz/pou-tiaki/128476403/very-painful-family-split-between-nz-and-philippines-over-immigration-health-policy https://twitter.com/JennyKayNZ/status/1524249856658747392 https://nzccss.org.nz/wp-content/uploads/NZCCSS-Manifesto-Tracker-May-2022.pdf</t>
  </si>
  <si>
    <t>https://nzimmigration.info/visa-application-why-must-you-always-declare-your-previous-visa-refusals/?utm_source=Social+Media&amp;utm_medium=FB&amp;utm_campaign=+Study+Blog+SJ++10+May+2022 https://nzimmigration.info/visa-query-form/?utm_source=Social+Media&amp;utm_medium=FB&amp;utm_campaign=Branding+SJ+7+May+2022</t>
  </si>
  <si>
    <t>co.nz twitter.com org.nz</t>
  </si>
  <si>
    <t>twitter.com org.nz co.nz</t>
  </si>
  <si>
    <t>immigrationnz nz migrants internationalstudents iwk migration newzealand students read workvisa</t>
  </si>
  <si>
    <t>immigrationnz nz students internationalstudents iwk newzealand</t>
  </si>
  <si>
    <t>immigrationnz endashnow bekind nzpol nzqanda disabilityrights accessibility</t>
  </si>
  <si>
    <t>endashnow immigrationnz bekind nzqanda nzpol</t>
  </si>
  <si>
    <t>vandanarai immigrationnz immigrationadvisers ianz important visarefusals falsedeclaration implications blogs migrationadvice</t>
  </si>
  <si>
    <t>migrants internationalstudents iwk migration newzealand students read workvisa immigration nz</t>
  </si>
  <si>
    <t>students internationalstudents iwk newzealand immigrationnz nz</t>
  </si>
  <si>
    <t>nzpol bekind immigrationnz endashnow</t>
  </si>
  <si>
    <t>endashnow bekind nzpol nzqanda disabilityrights accessibility immigrationnz</t>
  </si>
  <si>
    <t>bekind nzqanda nzpol endashnow immigrationnz</t>
  </si>
  <si>
    <t>important visarefusals falsedeclaration implications blogs migrationadvice visa newblog blogger newsletter</t>
  </si>
  <si>
    <t>more matthewhootonnz 500 staff processing fewer visas spend less</t>
  </si>
  <si>
    <t>another krisinmana #immigrationnz call immigration letting know fact apply student</t>
  </si>
  <si>
    <t>irish passport mbiegovtnz find info transferring permanent resident visa expired</t>
  </si>
  <si>
    <t>leila_fas sorry hearing indeed worst public service country talk experience</t>
  </si>
  <si>
    <t>expected hefty legal grade paper frame maybe nice ink font</t>
  </si>
  <si>
    <t>#immigrationnz visa #nz work immigration #migrants students zealand time study</t>
  </si>
  <si>
    <t>visa #immigrationnz #nz work students apply second study zealand #students</t>
  </si>
  <si>
    <t>amp families #immigrationnz #endashnow more krisinmana nz disabled rules policies</t>
  </si>
  <si>
    <t>amp families #endashnow krisinmana #immigrationnz nz disabled kids saw jacktame</t>
  </si>
  <si>
    <t>immigration best assistance facilities make way nz reaching office auckland</t>
  </si>
  <si>
    <t>#vandanarai #immigrationnz #immigrationadvisers #ianz #important declare #visarefusals making #falsedeclaration #implications</t>
  </si>
  <si>
    <t>immigration advice matters assessed #immigrants #immigrationpolicy #immigrationnz #immigrationnews #partnershipvisa #migration</t>
  </si>
  <si>
    <t>migrants work visa immigration #migrants students zealand time study #internationalstudents</t>
  </si>
  <si>
    <t>work students apply second study zealand #students #internationalstudents one important</t>
  </si>
  <si>
    <t>amp changes humane jacindaardern ariannagail1 welcome daughter aotearoa unite kids</t>
  </si>
  <si>
    <t>processes nz amp #endashnow more kids parents #bekind make philtwyford</t>
  </si>
  <si>
    <t>nz saw jacktame talking nzqanda minister talks getting people come</t>
  </si>
  <si>
    <t>#important declare #visarefusals making #falsedeclaration #implications read more #blogs #migrationadvice</t>
  </si>
  <si>
    <t>matthewhootonnz,500  500,more  more,staff  staff,immigrationnz  immigrationnz,processing  processing,fewer  fewer,visas  visas,spend  spend,more  more,less</t>
  </si>
  <si>
    <t>krisinmana,#immigrationnz  #immigrationnz,another  another,call  call,immigration  immigration,letting  letting,know  know,fact  fact,apply  apply,another  another,student</t>
  </si>
  <si>
    <t>irish,passport  mbiegovtnz,find  find,info  info,transferring  transferring,permanent  permanent,resident  resident,visa  visa,expired  expired,irish  passport,irish</t>
  </si>
  <si>
    <t>leila_fas,sorry  sorry,hearing  hearing,indeed  indeed,immigrationnz  immigrationnz,worst  worst,public  public,service  service,country  country,talk  talk,experience</t>
  </si>
  <si>
    <t>expected,hefty  hefty,legal  legal,grade  grade,paper  paper,frame  frame,maybe  maybe,nice  nice,ink  ink,font  font,expectations</t>
  </si>
  <si>
    <t>work,visa  #immigrationnz,#nz  #nz,#immigrationnz  #migrants,#immigrationnz  international,students  students,coming  coming,zealand  zealand,show  show,5000  5000,account</t>
  </si>
  <si>
    <t>work,visa  students,apply  apply,second  second,study  study,visa  visa,zealand  zealand,#immigrationnz  #immigrationnz,#nz  #nz,#students  #students,#internationalstudents</t>
  </si>
  <si>
    <t>krisinmana,philtwyford  changes,#immigrationnz  #immigrationnz,rules  rules,amp  amp,policies  policies,make  make,more  more,humane  humane,jacindaardern  jacindaardern,krisinmana</t>
  </si>
  <si>
    <t>disabled,kids  saw,krisinmana  krisinmana,amp  amp,jacktame  jacktame,talking  talking,#immigrationnz  #immigrationnz,nzqanda  nzqanda,minister  minister,talks  talks,getting</t>
  </si>
  <si>
    <t>#important,declare  declare,#visarefusals  #visarefusals,making  making,#falsedeclaration  #falsedeclaration,#implications  #implications,read  read,more  more,#blogs  #blogs,#migrationadvice  #migrationadvice,#visa</t>
  </si>
  <si>
    <t>changes,#immigrationnz  #immigrationnz,rules  rules,amp  amp,policies  policies,make  make,more  more,humane  humane,jacindaardern  jacindaardern,krisinmana  philtwyford,ariannagail1</t>
  </si>
  <si>
    <t>saw,krisinmana  krisinmana,amp  amp,jacktame  jacktame,talking  talking,#immigrationnz  #immigrationnz,nzqanda  nzqanda,minister  minister,talks  talks,getting  getting,people</t>
  </si>
  <si>
    <t>6-May</t>
  </si>
  <si>
    <t>G1: endashnow immigrationnz bekind nzpol nzqanda disabilityrights accessibility</t>
  </si>
  <si>
    <t>G2: immigrationnz endashnow nzpol bekind</t>
  </si>
  <si>
    <t>G3: immigrants immigrationpolicy vandanarai immigrationnz immigrationadvisers ianz important visarefusals falsedeclaration implications</t>
  </si>
  <si>
    <t>G4: immigrationnz</t>
  </si>
  <si>
    <t>G5: immigrationnz nz internationalstudents iwk migrants students newzealand immigration read workvisa</t>
  </si>
  <si>
    <t>G8: nzimmigration immigrationnz immigrationtonewzealand nzvisa immigrationadvisers</t>
  </si>
  <si>
    <t>Edge Weight▓1▓3▓0▓True▓Gray▓Red▓▓Edge Weight▓1▓3▓0▓5▓10▓False▓Edge Weight▓1▓3▓0▓50▓15▓False▓▓0▓0▓0▓True▓Black▓Black▓▓Betweenness Centrality▓0▓28.333333▓3▓100▓1000▓False▓▓0▓0▓0▓0▓0▓False▓▓0▓0▓0▓0▓0▓False▓▓0▓0▓0▓0▓0▓False</t>
  </si>
  <si>
    <t>GraphSource░TwitterSearch▓GraphTerm░immigrationnz▓ImportDescription░The graph represents a network of 26 Twitter users whose recent tweets contained "immigrationnz", or who were replied to or mentioned in those tweets, taken from a data set limited to a maximum of 18,000 tweets.  The network was obtained from Twitter on Tuesday, 17 May 2022 at 00:43 UTC.
The tweets in the network were tweeted over the 7-day, 10-hour, 22-minute period from Sunday, 08 May 2022 at 19:32 UTC to Monday, 16 May 2022 at 05:55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"mentions".▓ImportSuggestedTitle░immigrationnz Twitter NodeXL SNA Map and Report for Tuesday, 17 May 2022 at 00:43 UTC▓ImportSuggestedFileNameNoExtension░2022-05-17 00-43-10 NodeXL Twitter Search immigrationnz▓GroupingDescription░The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</si>
  <si>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26 Twitter users whose recent tweets contained "immigrationnz", or who were replied to or mentioned in those tweets, taken from a data set limited to a maximum of 18,000 tweets.  The network was obtained from Twitter on Tuesday, 17 May 2022 at 00:43 UTC.
The tweets in the network were tweeted over the 7-day, 10-hour, 22-minute period from Sunday, 08 May 2022 at 19:32 UTC to Monday, 16 May 2022 at 05:55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</si>
  <si>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https://nodexlgraphgallery.org/Pages/Graph.aspx?graphID=276484</t>
  </si>
  <si>
    <t>https://nodexlgraphgallery.org/Images/Image.ashx?graphID=276484&amp;type=f</t>
  </si>
  <si>
    <t>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</si>
</sst>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Fill="1"/>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7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2"/>
      <tableStyleElement type="headerRow" dxfId="471"/>
    </tableStyle>
    <tableStyle name="NodeXL Table" pivot="0" count="1">
      <tableStyleElement type="headerRow" dxfId="4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720242"/>
        <c:axId val="3937859"/>
      </c:barChart>
      <c:catAx>
        <c:axId val="377202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37859"/>
        <c:crosses val="autoZero"/>
        <c:auto val="1"/>
        <c:lblOffset val="100"/>
        <c:noMultiLvlLbl val="0"/>
      </c:catAx>
      <c:valAx>
        <c:axId val="3937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20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immigrationnz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0"/>
                <c:pt idx="0">
                  <c:v>6-May
May
2022</c:v>
                </c:pt>
                <c:pt idx="1">
                  <c:v>8-May</c:v>
                </c:pt>
                <c:pt idx="2">
                  <c:v>9-May</c:v>
                </c:pt>
                <c:pt idx="3">
                  <c:v>10-May</c:v>
                </c:pt>
                <c:pt idx="4">
                  <c:v>11-May</c:v>
                </c:pt>
                <c:pt idx="5">
                  <c:v>12-May</c:v>
                </c:pt>
                <c:pt idx="6">
                  <c:v>13-May</c:v>
                </c:pt>
                <c:pt idx="7">
                  <c:v>14-May</c:v>
                </c:pt>
                <c:pt idx="8">
                  <c:v>15-May</c:v>
                </c:pt>
                <c:pt idx="9">
                  <c:v>16-May</c:v>
                </c:pt>
              </c:strCache>
            </c:strRef>
          </c:cat>
          <c:val>
            <c:numRef>
              <c:f>'Time Series'!$B$26:$B$38</c:f>
              <c:numCache>
                <c:formatCode>General</c:formatCode>
                <c:ptCount val="10"/>
                <c:pt idx="0">
                  <c:v>1</c:v>
                </c:pt>
                <c:pt idx="1">
                  <c:v>1</c:v>
                </c:pt>
                <c:pt idx="2">
                  <c:v>8</c:v>
                </c:pt>
                <c:pt idx="3">
                  <c:v>8</c:v>
                </c:pt>
                <c:pt idx="4">
                  <c:v>21</c:v>
                </c:pt>
                <c:pt idx="5">
                  <c:v>7</c:v>
                </c:pt>
                <c:pt idx="6">
                  <c:v>3</c:v>
                </c:pt>
                <c:pt idx="7">
                  <c:v>3</c:v>
                </c:pt>
                <c:pt idx="8">
                  <c:v>4</c:v>
                </c:pt>
                <c:pt idx="9">
                  <c:v>2</c:v>
                </c:pt>
              </c:numCache>
            </c:numRef>
          </c:val>
        </c:ser>
        <c:axId val="1246764"/>
        <c:axId val="11220877"/>
      </c:barChart>
      <c:catAx>
        <c:axId val="1246764"/>
        <c:scaling>
          <c:orientation val="minMax"/>
        </c:scaling>
        <c:axPos val="b"/>
        <c:delete val="0"/>
        <c:numFmt formatCode="General" sourceLinked="1"/>
        <c:majorTickMark val="out"/>
        <c:minorTickMark val="none"/>
        <c:tickLblPos val="nextTo"/>
        <c:crossAx val="11220877"/>
        <c:crosses val="autoZero"/>
        <c:auto val="1"/>
        <c:lblOffset val="100"/>
        <c:noMultiLvlLbl val="0"/>
      </c:catAx>
      <c:valAx>
        <c:axId val="11220877"/>
        <c:scaling>
          <c:orientation val="minMax"/>
        </c:scaling>
        <c:axPos val="l"/>
        <c:majorGridlines/>
        <c:delete val="0"/>
        <c:numFmt formatCode="General" sourceLinked="1"/>
        <c:majorTickMark val="out"/>
        <c:minorTickMark val="none"/>
        <c:tickLblPos val="nextTo"/>
        <c:crossAx val="12467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440732"/>
        <c:axId val="50531133"/>
      </c:barChart>
      <c:catAx>
        <c:axId val="354407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531133"/>
        <c:crosses val="autoZero"/>
        <c:auto val="1"/>
        <c:lblOffset val="100"/>
        <c:noMultiLvlLbl val="0"/>
      </c:catAx>
      <c:valAx>
        <c:axId val="50531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40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127014"/>
        <c:axId val="66489943"/>
      </c:barChart>
      <c:catAx>
        <c:axId val="521270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489943"/>
        <c:crosses val="autoZero"/>
        <c:auto val="1"/>
        <c:lblOffset val="100"/>
        <c:noMultiLvlLbl val="0"/>
      </c:catAx>
      <c:valAx>
        <c:axId val="66489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27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538576"/>
        <c:axId val="16976273"/>
      </c:barChart>
      <c:catAx>
        <c:axId val="615385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976273"/>
        <c:crosses val="autoZero"/>
        <c:auto val="1"/>
        <c:lblOffset val="100"/>
        <c:noMultiLvlLbl val="0"/>
      </c:catAx>
      <c:valAx>
        <c:axId val="16976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38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568730"/>
        <c:axId val="32900843"/>
      </c:barChart>
      <c:catAx>
        <c:axId val="185687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900843"/>
        <c:crosses val="autoZero"/>
        <c:auto val="1"/>
        <c:lblOffset val="100"/>
        <c:noMultiLvlLbl val="0"/>
      </c:catAx>
      <c:valAx>
        <c:axId val="32900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68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672132"/>
        <c:axId val="47722597"/>
      </c:barChart>
      <c:catAx>
        <c:axId val="276721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722597"/>
        <c:crosses val="autoZero"/>
        <c:auto val="1"/>
        <c:lblOffset val="100"/>
        <c:noMultiLvlLbl val="0"/>
      </c:catAx>
      <c:valAx>
        <c:axId val="47722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72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850190"/>
        <c:axId val="40325119"/>
      </c:barChart>
      <c:catAx>
        <c:axId val="268501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325119"/>
        <c:crosses val="autoZero"/>
        <c:auto val="1"/>
        <c:lblOffset val="100"/>
        <c:noMultiLvlLbl val="0"/>
      </c:catAx>
      <c:valAx>
        <c:axId val="40325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50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381752"/>
        <c:axId val="45109177"/>
      </c:barChart>
      <c:catAx>
        <c:axId val="273817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109177"/>
        <c:crosses val="autoZero"/>
        <c:auto val="1"/>
        <c:lblOffset val="100"/>
        <c:noMultiLvlLbl val="0"/>
      </c:catAx>
      <c:valAx>
        <c:axId val="45109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81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29410"/>
        <c:axId val="29964691"/>
      </c:barChart>
      <c:catAx>
        <c:axId val="3329410"/>
        <c:scaling>
          <c:orientation val="minMax"/>
        </c:scaling>
        <c:axPos val="b"/>
        <c:delete val="1"/>
        <c:majorTickMark val="out"/>
        <c:minorTickMark val="none"/>
        <c:tickLblPos val="none"/>
        <c:crossAx val="29964691"/>
        <c:crosses val="autoZero"/>
        <c:auto val="1"/>
        <c:lblOffset val="100"/>
        <c:noMultiLvlLbl val="0"/>
      </c:catAx>
      <c:valAx>
        <c:axId val="29964691"/>
        <c:scaling>
          <c:orientation val="minMax"/>
        </c:scaling>
        <c:axPos val="l"/>
        <c:delete val="1"/>
        <c:majorTickMark val="out"/>
        <c:minorTickMark val="none"/>
        <c:tickLblPos val="none"/>
        <c:crossAx val="33294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66675</xdr:colOff>
      <xdr:row>21</xdr:row>
      <xdr:rowOff>95250</xdr:rowOff>
    </xdr:to>
    <xdr:graphicFrame macro="">
      <xdr:nvGraphicFramePr>
        <xdr:cNvPr id="2" name="Chart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Liz Stedman" refreshedVersion="7">
  <cacheSource type="worksheet">
    <worksheetSource ref="A2:BN6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30">
        <d v="2022-05-08T19:32:51.000"/>
        <d v="2022-05-10T01:58:48.000"/>
        <d v="2022-05-10T21:50:10.000"/>
        <d v="2022-05-11T02:20:07.000"/>
        <d v="2022-05-12T23:57:40.000"/>
        <d v="2022-05-09T02:00:06.000"/>
        <d v="2022-05-10T03:14:48.000"/>
        <d v="2022-05-12T01:30:00.000"/>
        <d v="2022-05-12T02:30:02.000"/>
        <d v="2022-05-12T02:30:05.000"/>
        <d v="2022-05-12T03:08:53.000"/>
        <d v="2022-05-12T05:12:25.000"/>
        <d v="2022-05-13T03:46:13.000"/>
        <d v="2022-05-13T03:46:29.000"/>
        <d v="2022-05-10T03:15:38.000"/>
        <d v="2022-05-09T01:23:13.000"/>
        <d v="2022-05-09T03:07:35.000"/>
        <d v="2022-05-11T06:41:58.000"/>
        <d v="2022-05-11T05:50:42.000"/>
        <d v="2022-05-13T05:22:45.000"/>
        <d v="2022-05-11T06:54:15.000"/>
        <d v="2022-05-11T04:47:39.000"/>
        <d v="2022-05-11T07:15:42.000"/>
        <d v="2022-05-14T23:40:18.000"/>
        <d v="2022-05-15T02:52:50.000"/>
        <d v="2022-05-12T05:44:41.000"/>
        <d v="2022-05-16T05:55:38.000"/>
        <d v="2022-05-06T21:00:08.000"/>
        <d v="2022-05-09T21:00:27.000"/>
        <d v="2022-05-16T06:30:44.000"/>
      </sharedItems>
      <fieldGroup par="67" base="15">
        <rangePr groupBy="days" autoEnd="1" autoStart="1" startDate="2022-05-06T21:00:08.000" endDate="2022-05-16T06:30:44.000"/>
        <groupItems count="368">
          <s v="&lt;6/0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6/05/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2-05-06T21:00:08.000" endDate="2022-05-16T06:30:44.000"/>
        <groupItems count="14">
          <s v="&lt;6/05/2022"/>
          <s v="Jan"/>
          <s v="Feb"/>
          <s v="Mar"/>
          <s v="Apr"/>
          <s v="May"/>
          <s v="Jun"/>
          <s v="Jul"/>
          <s v="Aug"/>
          <s v="Sep"/>
          <s v="Oct"/>
          <s v="Nov"/>
          <s v="Dec"/>
          <s v="&gt;16/05/2022"/>
        </groupItems>
      </fieldGroup>
    </cacheField>
    <cacheField name="Years" databaseField="0">
      <sharedItems containsMixedTypes="0" count="0"/>
      <fieldGroup base="15">
        <rangePr groupBy="years" autoEnd="1" autoStart="1" startDate="2022-05-06T21:00:08.000" endDate="2022-05-16T06:30:44.000"/>
        <groupItems count="3">
          <s v="&lt;6/05/2022"/>
          <s v="2022"/>
          <s v="&gt;16/05/2022"/>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58">
  <r>
    <s v="bullxbear"/>
    <s v="matthewhootonnz"/>
    <m/>
    <m/>
    <m/>
    <m/>
    <m/>
    <m/>
    <m/>
    <m/>
    <s v="No"/>
    <n v="3"/>
    <m/>
    <m/>
    <s v="Replies to"/>
    <x v="0"/>
    <s v="@MatthewHootonNZ 500 more staff at ImmigrationNZ processing 1/3 fewer visas. _x000a_Spend more, do less. _x000a__x000a_https://t.co/TrfLLjvEeS"/>
    <s v="https://www.newsroom.co.nz/hold-ups-at-immigration-despite-surge-in-staff-and-expenditure"/>
    <s v="co.nz"/>
    <m/>
    <m/>
    <s v="https://pbs.twimg.com/profile_images/1293905861744582658/xKDTYoX__normal.jpg"/>
    <d v="2022-05-08T19:32:51.000"/>
    <d v="2022-05-08T00:00:00.000"/>
    <s v="19:32:51"/>
    <s v="https://twitter.com/bullxbear/status/1523385460218757120"/>
    <m/>
    <m/>
    <s v="1523385460218757120"/>
    <s v="1523377870202019840"/>
    <b v="0"/>
    <n v="17"/>
    <s v="1445096998990860290"/>
    <b v="0"/>
    <s v="en"/>
    <m/>
    <s v=""/>
    <b v="0"/>
    <n v="1"/>
    <s v=""/>
    <s v="Twitter for iPad"/>
    <b v="0"/>
    <s v="1523377870202019840"/>
    <s v="Tweet"/>
    <n v="0"/>
    <n v="0"/>
    <m/>
    <m/>
    <m/>
    <m/>
    <m/>
    <m/>
    <m/>
    <m/>
    <n v="1"/>
    <s v="7"/>
    <s v="7"/>
    <n v="0"/>
    <n v="0"/>
    <n v="0"/>
    <n v="0"/>
    <n v="0"/>
    <n v="0"/>
    <n v="15"/>
    <n v="100"/>
    <n v="15"/>
  </r>
  <r>
    <s v="tomboyoptional"/>
    <s v="krisinmana"/>
    <m/>
    <m/>
    <m/>
    <m/>
    <m/>
    <m/>
    <m/>
    <m/>
    <s v="No"/>
    <n v="4"/>
    <m/>
    <m/>
    <s v="Replies to"/>
    <x v="1"/>
    <s v="@KrisinMana #ImmigrationNZ  &quot;They then got another call from Immigration letting them know she could in fact apply for another student visa while waiting, contradicting the former advice.&quot;_x000a_https://t.co/eIdTOwSVTT"/>
    <s v="https://www.odt.co.nz/news/national/defeated-couples-visa-heartbreak-after-application-fiasco"/>
    <s v="co.nz"/>
    <s v="immigrationnz"/>
    <m/>
    <s v="https://pbs.twimg.com/profile_images/767518424641613824/rWkNOlq5_normal.jpg"/>
    <d v="2022-05-10T01:58:48.000"/>
    <d v="2022-05-10T00:00:00.000"/>
    <s v="01:58:48"/>
    <s v="https://twitter.com/tomboyoptional/status/1523844973837570048"/>
    <m/>
    <m/>
    <s v="1523844973837570048"/>
    <m/>
    <b v="0"/>
    <n v="0"/>
    <s v="204154654"/>
    <b v="0"/>
    <s v="en"/>
    <m/>
    <s v=""/>
    <b v="0"/>
    <n v="0"/>
    <s v=""/>
    <s v="Twitter Web App"/>
    <b v="0"/>
    <s v="1523844973837570048"/>
    <s v="Tweet"/>
    <n v="0"/>
    <n v="0"/>
    <m/>
    <m/>
    <m/>
    <m/>
    <m/>
    <m/>
    <m/>
    <m/>
    <n v="1"/>
    <s v="4"/>
    <s v="4"/>
    <n v="0"/>
    <n v="0"/>
    <n v="0"/>
    <n v="0"/>
    <n v="0"/>
    <n v="0"/>
    <n v="27"/>
    <n v="100"/>
    <n v="27"/>
  </r>
  <r>
    <s v="batdoyle"/>
    <s v="mbiegovtnz"/>
    <m/>
    <m/>
    <m/>
    <m/>
    <m/>
    <m/>
    <m/>
    <m/>
    <s v="No"/>
    <n v="5"/>
    <m/>
    <m/>
    <s v="Replies to"/>
    <x v="2"/>
    <s v="@MBIEgovtnz How do I find any info on transferring my Permanent Resident Visa from my expired Irish passport to my new Irish passport? No one answers the ImmigrationNZ phones and the website has no clear advice! Help!!"/>
    <m/>
    <m/>
    <m/>
    <m/>
    <s v="https://pbs.twimg.com/profile_images/692527351838724096/q9dGroLl_normal.jpg"/>
    <d v="2022-05-10T21:50:10.000"/>
    <d v="2022-05-10T00:00:00.000"/>
    <s v="21:50:10"/>
    <s v="https://twitter.com/batdoyle/status/1524144791302598656"/>
    <m/>
    <m/>
    <s v="1524144791302598656"/>
    <m/>
    <b v="0"/>
    <n v="0"/>
    <s v="532682706"/>
    <b v="0"/>
    <s v="en"/>
    <m/>
    <s v=""/>
    <b v="0"/>
    <n v="0"/>
    <s v=""/>
    <s v="Twitter Web App"/>
    <b v="0"/>
    <s v="1524144791302598656"/>
    <s v="Tweet"/>
    <n v="0"/>
    <n v="0"/>
    <m/>
    <m/>
    <m/>
    <m/>
    <m/>
    <m/>
    <m/>
    <m/>
    <n v="1"/>
    <s v="2"/>
    <s v="2"/>
    <n v="1"/>
    <n v="2.7027027027027026"/>
    <n v="1"/>
    <n v="2.7027027027027026"/>
    <n v="0"/>
    <n v="0"/>
    <n v="35"/>
    <n v="94.5945945945946"/>
    <n v="37"/>
  </r>
  <r>
    <s v="mariojunior"/>
    <s v="leila_fas"/>
    <m/>
    <m/>
    <m/>
    <m/>
    <m/>
    <m/>
    <m/>
    <m/>
    <s v="No"/>
    <n v="6"/>
    <m/>
    <m/>
    <s v="Replies to"/>
    <x v="3"/>
    <s v="@Leila_FAS Sorry for hearing that. Indeed ImmigrationNZ IS THE WORST public service in this country and I talk by my experience too. Hope you got this situation, at least, easier."/>
    <m/>
    <m/>
    <m/>
    <m/>
    <s v="https://pbs.twimg.com/profile_images/2623788199/ozkgloy3owdivuiclfub_normal.png"/>
    <d v="2022-05-11T02:20:07.000"/>
    <d v="2022-05-11T00:00:00.000"/>
    <s v="02:20:07"/>
    <s v="https://twitter.com/mariojunior/status/1524212727773753345"/>
    <m/>
    <m/>
    <s v="1524212727773753345"/>
    <s v="1523562332881793024"/>
    <b v="0"/>
    <n v="0"/>
    <s v="1259431052084305920"/>
    <b v="0"/>
    <s v="en"/>
    <m/>
    <s v=""/>
    <b v="0"/>
    <n v="0"/>
    <s v=""/>
    <s v="Twitter for iPhone"/>
    <b v="0"/>
    <s v="1523562332881793024"/>
    <s v="Tweet"/>
    <n v="0"/>
    <n v="0"/>
    <m/>
    <m/>
    <m/>
    <m/>
    <m/>
    <m/>
    <m/>
    <m/>
    <n v="1"/>
    <s v="6"/>
    <s v="6"/>
    <n v="1"/>
    <n v="3.3333333333333335"/>
    <n v="2"/>
    <n v="6.666666666666667"/>
    <n v="0"/>
    <n v="0"/>
    <n v="27"/>
    <n v="90"/>
    <n v="30"/>
  </r>
  <r>
    <s v="tramorabroad"/>
    <s v="tramorabroad"/>
    <m/>
    <m/>
    <m/>
    <m/>
    <m/>
    <m/>
    <m/>
    <m/>
    <s v="No"/>
    <n v="7"/>
    <m/>
    <m/>
    <s v="Tweet"/>
    <x v="4"/>
    <s v="I expected a hefty legal grade paper that I could frame. Maybe some nice ink or font. My expectations should have been as low as the treatment immigrants here get, but it still surprised me. 😂 #nzimmigration #immigrationnz"/>
    <m/>
    <m/>
    <s v="nzimmigration immigrationnz"/>
    <m/>
    <s v="https://pbs.twimg.com/profile_images/1489363320687583237/DentiMES_normal.jpg"/>
    <d v="2022-05-12T23:57:40.000"/>
    <d v="2022-05-12T00:00:00.000"/>
    <s v="23:57:40"/>
    <s v="https://twitter.com/tramorabroad/status/1524901656751579142"/>
    <m/>
    <m/>
    <s v="1524901656751579142"/>
    <s v="1524900558355673088"/>
    <b v="0"/>
    <n v="2"/>
    <s v="737297861331849216"/>
    <b v="0"/>
    <s v="en"/>
    <m/>
    <s v=""/>
    <b v="0"/>
    <n v="0"/>
    <s v=""/>
    <s v="Twitter for iPhone"/>
    <b v="0"/>
    <s v="1524900558355673088"/>
    <s v="Tweet"/>
    <n v="0"/>
    <n v="0"/>
    <m/>
    <m/>
    <m/>
    <m/>
    <m/>
    <m/>
    <m/>
    <m/>
    <n v="1"/>
    <s v="8"/>
    <s v="8"/>
    <n v="1"/>
    <n v="2.7027027027027026"/>
    <n v="1"/>
    <n v="2.7027027027027026"/>
    <n v="0"/>
    <n v="0"/>
    <n v="35"/>
    <n v="94.5945945945946"/>
    <n v="37"/>
  </r>
  <r>
    <s v="indianweekender"/>
    <s v="indianweekender"/>
    <m/>
    <m/>
    <m/>
    <m/>
    <m/>
    <m/>
    <m/>
    <m/>
    <s v="No"/>
    <n v="8"/>
    <m/>
    <m/>
    <s v="Tweet"/>
    <x v="5"/>
    <s v="Advocates say Migrants NZ was a popular site - with hundreds of posts a day from migrants, who felt isolated and ignored by official channels during a time of policy flux and visa delays._x000a__x000a_#Migrants #ImmigrationNZ_x000a__x000a_https://t.co/WcOTLqC9jX"/>
    <s v="https://www.indianweekender.co.nz/Pages/ArticleDetails/7/19623/New-Zealand/Migrants-Facebook-group-folds-over-legal-fears"/>
    <s v="co.nz"/>
    <s v="migrants immigrationnz"/>
    <m/>
    <s v="https://pbs.twimg.com/profile_images/1261271976728903681/tiry95eM_normal.jpg"/>
    <d v="2022-05-09T02:00:06.000"/>
    <d v="2022-05-09T00:00:00.000"/>
    <s v="02:00:06"/>
    <s v="https://twitter.com/indianweekender/status/1523482914993827842"/>
    <m/>
    <m/>
    <s v="1523482914993827842"/>
    <m/>
    <b v="0"/>
    <n v="0"/>
    <s v=""/>
    <b v="0"/>
    <s v="en"/>
    <m/>
    <s v=""/>
    <b v="0"/>
    <n v="0"/>
    <s v=""/>
    <s v="Buffer"/>
    <b v="0"/>
    <s v="1523482914993827842"/>
    <s v="Tweet"/>
    <n v="0"/>
    <n v="0"/>
    <m/>
    <m/>
    <m/>
    <m/>
    <m/>
    <m/>
    <m/>
    <m/>
    <n v="7"/>
    <s v="5"/>
    <s v="5"/>
    <n v="2"/>
    <n v="5.714285714285714"/>
    <n v="2"/>
    <n v="5.714285714285714"/>
    <n v="0"/>
    <n v="0"/>
    <n v="31"/>
    <n v="88.57142857142857"/>
    <n v="35"/>
  </r>
  <r>
    <s v="indianweekender"/>
    <s v="indianweekender"/>
    <m/>
    <m/>
    <m/>
    <m/>
    <m/>
    <m/>
    <m/>
    <m/>
    <s v="No"/>
    <n v="9"/>
    <m/>
    <m/>
    <s v="Tweet"/>
    <x v="6"/>
    <s v="&quot;Confronted with a clear failure, the immigration minister is set to backtrack on this 12-month target.&quot; | Read: https://t.co/9iYJqcNrNx_x000a__x000a_#Immigration #migrants #immigrationnz https://t.co/Mi8WF0mFKo"/>
    <s v="https://www.indianweekender.co.nz/Pages/ArticleDetails/7/19630/New-Zealand/Government-expected-to-reveal-new-border-re-opening-date"/>
    <s v="co.nz"/>
    <s v="immigration migrants immigrationnz"/>
    <s v="https://pbs.twimg.com/media/FSXaUwqWQAACekf.jpg"/>
    <s v="https://pbs.twimg.com/media/FSXaUwqWQAACekf.jpg"/>
    <d v="2022-05-10T03:14:48.000"/>
    <d v="2022-05-10T00:00:00.000"/>
    <s v="03:14:48"/>
    <s v="https://twitter.com/indianweekender/status/1523864102195679232"/>
    <m/>
    <m/>
    <s v="1523864102195679232"/>
    <m/>
    <b v="0"/>
    <n v="3"/>
    <s v=""/>
    <b v="0"/>
    <s v="en"/>
    <m/>
    <s v=""/>
    <b v="0"/>
    <n v="0"/>
    <s v=""/>
    <s v="Buffer"/>
    <b v="0"/>
    <s v="1523864102195679232"/>
    <s v="Tweet"/>
    <n v="0"/>
    <n v="0"/>
    <m/>
    <m/>
    <m/>
    <m/>
    <m/>
    <m/>
    <m/>
    <m/>
    <n v="7"/>
    <s v="5"/>
    <s v="5"/>
    <n v="1"/>
    <n v="4.761904761904762"/>
    <n v="1"/>
    <n v="4.761904761904762"/>
    <n v="0"/>
    <n v="0"/>
    <n v="19"/>
    <n v="90.47619047619048"/>
    <n v="21"/>
  </r>
  <r>
    <s v="indianweekender"/>
    <s v="indianweekender"/>
    <m/>
    <m/>
    <m/>
    <m/>
    <m/>
    <m/>
    <m/>
    <m/>
    <s v="No"/>
    <n v="10"/>
    <m/>
    <m/>
    <s v="Tweet"/>
    <x v="7"/>
    <s v="#Read: The government is steaming ahead on its bold plans for immigration re-balance by taking some sweeping decisions around work visas and residence criteria_x000a__x000a_#workvisa #immigrationNZ #NZ  _x000a__x000a_https://t.co/DBcraK4X4v"/>
    <s v="https://www.indianweekender.co.nz/Pages/ArticleDetails/7/19648/New-Zealand/Immigration-re-balance-plan-Partners-of-future-work-visa-holders-to-not-get-ope"/>
    <s v="co.nz"/>
    <s v="read workvisa immigrationnz nz"/>
    <m/>
    <s v="https://pbs.twimg.com/profile_images/1261271976728903681/tiry95eM_normal.jpg"/>
    <d v="2022-05-12T01:30:00.000"/>
    <d v="2022-05-12T00:00:00.000"/>
    <s v="01:30:00"/>
    <s v="https://twitter.com/indianweekender/status/1524562505112117248"/>
    <m/>
    <m/>
    <s v="1524562505112117248"/>
    <m/>
    <b v="0"/>
    <n v="0"/>
    <s v=""/>
    <b v="0"/>
    <s v="en"/>
    <m/>
    <s v=""/>
    <b v="0"/>
    <n v="0"/>
    <s v=""/>
    <s v="Buffer"/>
    <b v="0"/>
    <s v="1524562505112117248"/>
    <s v="Tweet"/>
    <n v="0"/>
    <n v="0"/>
    <m/>
    <m/>
    <m/>
    <m/>
    <m/>
    <m/>
    <m/>
    <m/>
    <n v="7"/>
    <s v="5"/>
    <s v="5"/>
    <n v="2"/>
    <n v="7.142857142857143"/>
    <n v="0"/>
    <n v="0"/>
    <n v="0"/>
    <n v="0"/>
    <n v="26"/>
    <n v="92.85714285714286"/>
    <n v="28"/>
  </r>
  <r>
    <s v="indianweekender"/>
    <s v="indianweekender"/>
    <m/>
    <m/>
    <m/>
    <m/>
    <m/>
    <m/>
    <m/>
    <m/>
    <s v="No"/>
    <n v="11"/>
    <m/>
    <m/>
    <s v="Tweet"/>
    <x v="8"/>
    <s v="Students will not be able to apply for a second post-study visa in New Zealand._x000a__x000a_#Immigrationnz #nz #Students #Internationalstudents https://t.co/f2JMzxrBoJ"/>
    <m/>
    <m/>
    <s v="immigrationnz nz students internationalstudents"/>
    <s v="https://pbs.twimg.com/media/FShjQiPXoAAO-2g.jpg"/>
    <s v="https://pbs.twimg.com/media/FShjQiPXoAAO-2g.jpg"/>
    <d v="2022-05-12T02:30:02.000"/>
    <d v="2022-05-12T00:00:00.000"/>
    <s v="02:30:02"/>
    <s v="https://twitter.com/indianweekender/status/1524577612542189568"/>
    <m/>
    <m/>
    <s v="1524577612542189568"/>
    <m/>
    <b v="0"/>
    <n v="0"/>
    <s v=""/>
    <b v="0"/>
    <s v="en"/>
    <m/>
    <s v=""/>
    <b v="0"/>
    <n v="1"/>
    <s v=""/>
    <s v="Buffer"/>
    <b v="0"/>
    <s v="1524577612542189568"/>
    <s v="Tweet"/>
    <n v="0"/>
    <n v="0"/>
    <m/>
    <m/>
    <m/>
    <m/>
    <m/>
    <m/>
    <m/>
    <m/>
    <n v="7"/>
    <s v="5"/>
    <s v="5"/>
    <n v="0"/>
    <n v="0"/>
    <n v="0"/>
    <n v="0"/>
    <n v="0"/>
    <n v="0"/>
    <n v="20"/>
    <n v="100"/>
    <n v="20"/>
  </r>
  <r>
    <s v="indianweekender"/>
    <s v="indianweekender"/>
    <m/>
    <m/>
    <m/>
    <m/>
    <m/>
    <m/>
    <m/>
    <m/>
    <s v="No"/>
    <n v="12"/>
    <m/>
    <m/>
    <s v="Tweet"/>
    <x v="9"/>
    <s v="One of the important decisions in this regard is making it difficult for the partners of future work visa applicants to arrive in the country to automatically get an open work visa – a sharp departure from current practice._x000a__x000a_#iwk #nz #Immigrationnz #newzealand https://t.co/qTelngAIiG"/>
    <m/>
    <m/>
    <s v="iwk nz immigrationnz newzealand"/>
    <s v="https://pbs.twimg.com/media/FShjRMvXMAEvUPA.jpg"/>
    <s v="https://pbs.twimg.com/media/FShjRMvXMAEvUPA.jpg"/>
    <d v="2022-05-12T02:30:05.000"/>
    <d v="2022-05-12T00:00:00.000"/>
    <s v="02:30:05"/>
    <s v="https://twitter.com/indianweekender/status/1524577623720054786"/>
    <m/>
    <m/>
    <s v="1524577623720054786"/>
    <m/>
    <b v="0"/>
    <n v="0"/>
    <s v=""/>
    <b v="0"/>
    <s v="en"/>
    <m/>
    <s v=""/>
    <b v="0"/>
    <n v="1"/>
    <s v=""/>
    <s v="Buffer"/>
    <b v="0"/>
    <s v="1524577623720054786"/>
    <s v="Tweet"/>
    <n v="0"/>
    <n v="0"/>
    <m/>
    <m/>
    <m/>
    <m/>
    <m/>
    <m/>
    <m/>
    <m/>
    <n v="7"/>
    <s v="5"/>
    <s v="5"/>
    <n v="5"/>
    <n v="11.904761904761905"/>
    <n v="1"/>
    <n v="2.380952380952381"/>
    <n v="0"/>
    <n v="0"/>
    <n v="36"/>
    <n v="85.71428571428571"/>
    <n v="42"/>
  </r>
  <r>
    <s v="indianweekender"/>
    <s v="indianweekender"/>
    <m/>
    <m/>
    <m/>
    <m/>
    <m/>
    <m/>
    <m/>
    <m/>
    <s v="No"/>
    <n v="13"/>
    <m/>
    <m/>
    <s v="Tweet"/>
    <x v="10"/>
    <s v="Understanding immigration rebalance with Alastair McClymont. Today 4:00 pm, Don't miss it!!_x000a__x000a_#iwk #Immigrationnz #nz #migrants #migration https://t.co/Xotx4fr2Sf"/>
    <m/>
    <m/>
    <s v="iwk immigrationnz nz migrants migration"/>
    <s v="https://pbs.twimg.com/media/FShsJasWQAEiNGj.jpg"/>
    <s v="https://pbs.twimg.com/media/FShsJasWQAEiNGj.jpg"/>
    <d v="2022-05-12T03:08:53.000"/>
    <d v="2022-05-12T00:00:00.000"/>
    <s v="03:08:53"/>
    <s v="https://twitter.com/indianweekender/status/1524587386654572550"/>
    <m/>
    <m/>
    <s v="1524587386654572550"/>
    <m/>
    <b v="0"/>
    <n v="0"/>
    <s v=""/>
    <b v="0"/>
    <s v="en"/>
    <m/>
    <s v=""/>
    <b v="0"/>
    <n v="0"/>
    <s v=""/>
    <s v="Buffer"/>
    <b v="0"/>
    <s v="1524587386654572550"/>
    <s v="Tweet"/>
    <n v="0"/>
    <n v="0"/>
    <m/>
    <m/>
    <m/>
    <m/>
    <m/>
    <m/>
    <m/>
    <m/>
    <n v="7"/>
    <s v="5"/>
    <s v="5"/>
    <n v="0"/>
    <n v="0"/>
    <n v="1"/>
    <n v="5.555555555555555"/>
    <n v="0"/>
    <n v="0"/>
    <n v="17"/>
    <n v="94.44444444444444"/>
    <n v="18"/>
  </r>
  <r>
    <s v="indianweekender"/>
    <s v="indianweekender"/>
    <m/>
    <m/>
    <m/>
    <m/>
    <m/>
    <m/>
    <m/>
    <m/>
    <s v="No"/>
    <n v="14"/>
    <m/>
    <m/>
    <s v="Tweet"/>
    <x v="11"/>
    <s v="International students coming to New Zealand will have to show $5000 in their account at the time of applying for post-study work visa._x000a__x000a_#Internationalstudents #nz #immigrationnz_x000a__x000a_https://t.co/vETXtqZY7T"/>
    <s v="https://www.indianweekender.co.nz/Pages/ArticleDetails/7/19650/New-Zealand/Immigration-Rebalance-International-students-will-have-to-show-5000-for-post-st"/>
    <s v="co.nz"/>
    <s v="internationalstudents nz immigrationnz"/>
    <m/>
    <s v="https://pbs.twimg.com/profile_images/1261271976728903681/tiry95eM_normal.jpg"/>
    <d v="2022-05-12T05:12:25.000"/>
    <d v="2022-05-12T00:00:00.000"/>
    <s v="05:12:25"/>
    <s v="https://twitter.com/indianweekender/status/1524618478250246144"/>
    <m/>
    <m/>
    <s v="1524618478250246144"/>
    <m/>
    <b v="0"/>
    <n v="1"/>
    <s v=""/>
    <b v="0"/>
    <s v="en"/>
    <m/>
    <s v=""/>
    <b v="0"/>
    <n v="0"/>
    <s v=""/>
    <s v="Buffer"/>
    <b v="0"/>
    <s v="1524618478250246144"/>
    <s v="Tweet"/>
    <n v="0"/>
    <n v="0"/>
    <m/>
    <m/>
    <m/>
    <m/>
    <m/>
    <m/>
    <m/>
    <m/>
    <n v="7"/>
    <s v="5"/>
    <s v="5"/>
    <n v="1"/>
    <n v="3.7037037037037037"/>
    <n v="0"/>
    <n v="0"/>
    <n v="0"/>
    <n v="0"/>
    <n v="26"/>
    <n v="96.29629629629629"/>
    <n v="27"/>
  </r>
  <r>
    <s v="sureshk01547631"/>
    <s v="indianweekender"/>
    <m/>
    <m/>
    <m/>
    <m/>
    <m/>
    <m/>
    <m/>
    <m/>
    <s v="No"/>
    <n v="15"/>
    <m/>
    <m/>
    <s v="Retweet"/>
    <x v="12"/>
    <s v="One of the important decisions in this regard is making it difficult for the partners of future work visa applicants to arrive in the country to automatically get an open work visa – a sharp departure from current practice._x000a__x000a_#iwk #nz #Immigrationnz #newzealand https://t.co/qTelngAIiG"/>
    <m/>
    <m/>
    <s v="iwk nz immigrationnz newzealand"/>
    <s v="https://pbs.twimg.com/media/FShjRMvXMAEvUPA.jpg"/>
    <s v="https://pbs.twimg.com/media/FShjRMvXMAEvUPA.jpg"/>
    <d v="2022-05-13T03:46:13.000"/>
    <d v="2022-05-13T00:00:00.000"/>
    <s v="03:46:13"/>
    <s v="https://twitter.com/sureshk01547631/status/1524959171522613248"/>
    <m/>
    <m/>
    <s v="1524959171522613248"/>
    <m/>
    <b v="0"/>
    <n v="0"/>
    <s v=""/>
    <b v="0"/>
    <s v="en"/>
    <m/>
    <s v=""/>
    <b v="0"/>
    <n v="1"/>
    <s v="1524577623720054786"/>
    <s v="Twitter for Android"/>
    <b v="0"/>
    <s v="1524577623720054786"/>
    <s v="Tweet"/>
    <n v="0"/>
    <n v="0"/>
    <m/>
    <m/>
    <m/>
    <m/>
    <m/>
    <m/>
    <m/>
    <m/>
    <n v="2"/>
    <s v="5"/>
    <s v="5"/>
    <n v="5"/>
    <n v="11.904761904761905"/>
    <n v="1"/>
    <n v="2.380952380952381"/>
    <n v="0"/>
    <n v="0"/>
    <n v="36"/>
    <n v="85.71428571428571"/>
    <n v="42"/>
  </r>
  <r>
    <s v="sureshk01547631"/>
    <s v="indianweekender"/>
    <m/>
    <m/>
    <m/>
    <m/>
    <m/>
    <m/>
    <m/>
    <m/>
    <s v="No"/>
    <n v="16"/>
    <m/>
    <m/>
    <s v="Retweet"/>
    <x v="13"/>
    <s v="Students will not be able to apply for a second post-study visa in New Zealand._x000a__x000a_#Immigrationnz #nz #Students #Internationalstudents https://t.co/f2JMzxrBoJ"/>
    <m/>
    <m/>
    <s v="immigrationnz nz students internationalstudents"/>
    <s v="https://pbs.twimg.com/media/FShjQiPXoAAO-2g.jpg"/>
    <s v="https://pbs.twimg.com/media/FShjQiPXoAAO-2g.jpg"/>
    <d v="2022-05-13T03:46:29.000"/>
    <d v="2022-05-13T00:00:00.000"/>
    <s v="03:46:29"/>
    <s v="https://twitter.com/sureshk01547631/status/1524959238547574784"/>
    <m/>
    <m/>
    <s v="1524959238547574784"/>
    <m/>
    <b v="0"/>
    <n v="0"/>
    <s v=""/>
    <b v="0"/>
    <s v="en"/>
    <m/>
    <s v=""/>
    <b v="0"/>
    <n v="1"/>
    <s v="1524577612542189568"/>
    <s v="Twitter for Android"/>
    <b v="0"/>
    <s v="1524577612542189568"/>
    <s v="Tweet"/>
    <n v="0"/>
    <n v="0"/>
    <m/>
    <m/>
    <m/>
    <m/>
    <m/>
    <m/>
    <m/>
    <m/>
    <n v="2"/>
    <s v="5"/>
    <s v="5"/>
    <n v="0"/>
    <n v="0"/>
    <n v="0"/>
    <n v="0"/>
    <n v="0"/>
    <n v="0"/>
    <n v="20"/>
    <n v="100"/>
    <n v="20"/>
  </r>
  <r>
    <s v="ariannagail1"/>
    <s v="mbiegovtnz"/>
    <m/>
    <m/>
    <m/>
    <m/>
    <m/>
    <m/>
    <m/>
    <m/>
    <s v="No"/>
    <n v="17"/>
    <m/>
    <m/>
    <s v="MentionsInRetweet"/>
    <x v="14"/>
    <s v="If families ties are a good reason to make ImmigrationNZ see sense @KrisInMana @PhilTwyford @MBIEgovtNZ what about letting 12YO Arianna join her working parents in NZ? @EndASHnow #EndASHnow _x000a_https://t.co/A1hCE2VS6r"/>
    <s v="https://www.stuff.co.nz/national/immigration/300580917/woman-who-has-overstayed-in-nz-for-16-years-granted-residence-due-to-family-ties"/>
    <s v="co.nz"/>
    <s v="endashnow"/>
    <m/>
    <s v="https://pbs.twimg.com/profile_images/1521083114046758913/ia08w9bB_normal.jpg"/>
    <d v="2022-05-10T03:15:38.000"/>
    <d v="2022-05-10T00:00:00.000"/>
    <s v="03:15:38"/>
    <s v="https://twitter.com/ariannagail1/status/1523864310879223809"/>
    <m/>
    <m/>
    <s v="1523864310879223809"/>
    <m/>
    <b v="0"/>
    <n v="0"/>
    <s v=""/>
    <b v="0"/>
    <s v="en"/>
    <m/>
    <s v=""/>
    <b v="0"/>
    <n v="1"/>
    <s v="1523473630767706112"/>
    <s v="Twitter for iPhone"/>
    <b v="0"/>
    <s v="1523473630767706112"/>
    <s v="Tweet"/>
    <n v="0"/>
    <n v="0"/>
    <m/>
    <m/>
    <m/>
    <m/>
    <m/>
    <m/>
    <m/>
    <m/>
    <n v="1"/>
    <s v="2"/>
    <s v="2"/>
    <m/>
    <m/>
    <m/>
    <m/>
    <m/>
    <m/>
    <m/>
    <m/>
    <m/>
  </r>
  <r>
    <s v="jennykaynz"/>
    <s v="mbiegovtnz"/>
    <m/>
    <m/>
    <m/>
    <m/>
    <m/>
    <m/>
    <m/>
    <m/>
    <s v="No"/>
    <n v="18"/>
    <m/>
    <m/>
    <s v="Mentions"/>
    <x v="15"/>
    <s v="If families ties are a good reason to make ImmigrationNZ see sense @KrisInMana @PhilTwyford @MBIEgovtNZ what about letting 12YO Arianna join her working parents in NZ? @EndASHnow #EndASHnow _x000a_https://t.co/A1hCE2VS6r"/>
    <s v="https://www.stuff.co.nz/national/immigration/300580917/woman-who-has-overstayed-in-nz-for-16-years-granted-residence-due-to-family-ties"/>
    <s v="co.nz"/>
    <s v="endashnow"/>
    <m/>
    <s v="https://pbs.twimg.com/profile_images/1509686418662068230/6_KXm14m_normal.jpg"/>
    <d v="2022-05-09T01:23:13.000"/>
    <d v="2022-05-09T00:00:00.000"/>
    <s v="01:23:13"/>
    <s v="https://twitter.com/jennykaynz/status/1523473630767706112"/>
    <m/>
    <m/>
    <s v="1523473630767706112"/>
    <m/>
    <b v="0"/>
    <n v="3"/>
    <s v=""/>
    <b v="0"/>
    <s v="en"/>
    <m/>
    <s v=""/>
    <b v="0"/>
    <n v="1"/>
    <s v=""/>
    <s v="Twitter Web App"/>
    <b v="0"/>
    <s v="1523473630767706112"/>
    <s v="Tweet"/>
    <n v="0"/>
    <n v="0"/>
    <m/>
    <m/>
    <m/>
    <m/>
    <m/>
    <m/>
    <m/>
    <m/>
    <n v="1"/>
    <s v="1"/>
    <s v="2"/>
    <m/>
    <m/>
    <m/>
    <m/>
    <m/>
    <m/>
    <m/>
    <m/>
    <m/>
  </r>
  <r>
    <s v="jennykaynz"/>
    <s v="nzlabour"/>
    <m/>
    <m/>
    <m/>
    <m/>
    <m/>
    <m/>
    <m/>
    <m/>
    <s v="No"/>
    <n v="19"/>
    <m/>
    <m/>
    <s v="Mentions"/>
    <x v="16"/>
    <s v="Here's an update from @NZCCSS on where @NZLabour Government is at on fulfilling Labour 2020 Manifesto. More work needed on #ImmigrationNZ &amp;amp; #DisabilityRights #Accessibility. Lots already achieved ✔️👍 Shows Govt plans are more than PM's wishlist #nzpol_x000a_https://t.co/M4m38yx0di"/>
    <s v="https://nzccss.org.nz/wp-content/uploads/NZCCSS-Manifesto-Tracker-May-2022.pdf"/>
    <s v="org.nz"/>
    <s v="immigrationnz disabilityrights accessibility nzpol"/>
    <m/>
    <s v="https://pbs.twimg.com/profile_images/1509686418662068230/6_KXm14m_normal.jpg"/>
    <d v="2022-05-09T03:07:35.000"/>
    <d v="2022-05-09T00:00:00.000"/>
    <s v="03:07:35"/>
    <s v="https://twitter.com/jennykaynz/status/1523499898741555202"/>
    <m/>
    <m/>
    <s v="1523499898741555202"/>
    <m/>
    <b v="0"/>
    <n v="0"/>
    <s v=""/>
    <b v="0"/>
    <s v="en"/>
    <m/>
    <s v=""/>
    <b v="0"/>
    <n v="0"/>
    <s v=""/>
    <s v="Twitter Web App"/>
    <b v="0"/>
    <s v="1523499898741555202"/>
    <s v="Tweet"/>
    <n v="0"/>
    <n v="0"/>
    <m/>
    <m/>
    <m/>
    <m/>
    <m/>
    <m/>
    <m/>
    <m/>
    <n v="1"/>
    <s v="1"/>
    <s v="1"/>
    <m/>
    <m/>
    <m/>
    <m/>
    <m/>
    <m/>
    <m/>
    <m/>
    <m/>
  </r>
  <r>
    <s v="jennykaynz"/>
    <s v="nzccss"/>
    <m/>
    <m/>
    <m/>
    <m/>
    <m/>
    <m/>
    <m/>
    <m/>
    <s v="No"/>
    <n v="20"/>
    <m/>
    <m/>
    <s v="Mentions"/>
    <x v="16"/>
    <s v="Here's an update from @NZCCSS on where @NZLabour Government is at on fulfilling Labour 2020 Manifesto. More work needed on #ImmigrationNZ &amp;amp; #DisabilityRights #Accessibility. Lots already achieved ✔️👍 Shows Govt plans are more than PM's wishlist #nzpol_x000a_https://t.co/M4m38yx0di"/>
    <s v="https://nzccss.org.nz/wp-content/uploads/NZCCSS-Manifesto-Tracker-May-2022.pdf"/>
    <s v="org.nz"/>
    <s v="immigrationnz disabilityrights accessibility nzpol"/>
    <m/>
    <s v="https://pbs.twimg.com/profile_images/1509686418662068230/6_KXm14m_normal.jpg"/>
    <d v="2022-05-09T03:07:35.000"/>
    <d v="2022-05-09T00:00:00.000"/>
    <s v="03:07:35"/>
    <s v="https://twitter.com/jennykaynz/status/1523499898741555202"/>
    <m/>
    <m/>
    <s v="1523499898741555202"/>
    <m/>
    <b v="0"/>
    <n v="0"/>
    <s v=""/>
    <b v="0"/>
    <s v="en"/>
    <m/>
    <s v=""/>
    <b v="0"/>
    <n v="0"/>
    <s v=""/>
    <s v="Twitter Web App"/>
    <b v="0"/>
    <s v="1523499898741555202"/>
    <s v="Tweet"/>
    <n v="0"/>
    <n v="0"/>
    <m/>
    <m/>
    <m/>
    <m/>
    <m/>
    <m/>
    <m/>
    <m/>
    <n v="1"/>
    <s v="1"/>
    <s v="1"/>
    <n v="1"/>
    <n v="2.7777777777777777"/>
    <n v="0"/>
    <n v="0"/>
    <n v="0"/>
    <n v="0"/>
    <n v="35"/>
    <n v="97.22222222222223"/>
    <n v="36"/>
  </r>
  <r>
    <s v="ariannagail1"/>
    <s v="lisaowennz"/>
    <m/>
    <m/>
    <m/>
    <m/>
    <m/>
    <m/>
    <m/>
    <m/>
    <s v="No"/>
    <n v="21"/>
    <m/>
    <m/>
    <s v="MentionsInRetweet"/>
    <x v="17"/>
    <s v="More questions about unfair rules by #ImmigrationNZ including them separating families if one child is disabled. Where is #BeKind in their policies? @CheckpointRNZ @lisaowennz _x000a_https://t.co/SdAXsftcXV https://t.co/hOgFpkvPfH"/>
    <s v="https://www.stuff.co.nz/pou-tiaki/128476403/very-painful-family-split-between-nz-and-philippines-over-immigration-health-policy https://twitter.com/JennyKayNZ/status/1524249856658747392"/>
    <s v="co.nz twitter.com"/>
    <s v="immigrationnz bekind"/>
    <m/>
    <s v="https://pbs.twimg.com/profile_images/1521083114046758913/ia08w9bB_normal.jpg"/>
    <d v="2022-05-11T06:41:58.000"/>
    <d v="2022-05-11T00:00:00.000"/>
    <s v="06:41:58"/>
    <s v="https://twitter.com/ariannagail1/status/1524278622798102529"/>
    <m/>
    <m/>
    <s v="1524278622798102529"/>
    <m/>
    <b v="0"/>
    <n v="0"/>
    <s v=""/>
    <b v="1"/>
    <s v="en"/>
    <m/>
    <s v="1524249856658747392"/>
    <b v="0"/>
    <n v="1"/>
    <s v="1524265722628608000"/>
    <s v="Twitter for iPhone"/>
    <b v="0"/>
    <s v="1524265722628608000"/>
    <s v="Tweet"/>
    <n v="0"/>
    <n v="0"/>
    <m/>
    <m/>
    <m/>
    <m/>
    <m/>
    <m/>
    <m/>
    <m/>
    <n v="1"/>
    <s v="2"/>
    <s v="2"/>
    <m/>
    <m/>
    <m/>
    <m/>
    <m/>
    <m/>
    <m/>
    <m/>
    <m/>
  </r>
  <r>
    <s v="jennykaynz"/>
    <s v="lisaowennz"/>
    <m/>
    <m/>
    <m/>
    <m/>
    <m/>
    <m/>
    <m/>
    <m/>
    <s v="No"/>
    <n v="22"/>
    <m/>
    <m/>
    <s v="Mentions"/>
    <x v="18"/>
    <s v="More questions about unfair rules by #ImmigrationNZ including them separating families if one child is disabled. Where is #BeKind in their policies? @CheckpointRNZ @lisaowennz _x000a_https://t.co/SdAXsftcXV https://t.co/hOgFpkvPfH"/>
    <s v="https://www.stuff.co.nz/pou-tiaki/128476403/very-painful-family-split-between-nz-and-philippines-over-immigration-health-policy https://twitter.com/JennyKayNZ/status/1524249856658747392"/>
    <s v="co.nz twitter.com"/>
    <s v="immigrationnz bekind"/>
    <m/>
    <s v="https://pbs.twimg.com/profile_images/1509686418662068230/6_KXm14m_normal.jpg"/>
    <d v="2022-05-11T05:50:42.000"/>
    <d v="2022-05-11T00:00:00.000"/>
    <s v="05:50:42"/>
    <s v="https://twitter.com/jennykaynz/status/1524265722628608000"/>
    <m/>
    <m/>
    <s v="1524265722628608000"/>
    <m/>
    <b v="0"/>
    <n v="2"/>
    <s v=""/>
    <b v="1"/>
    <s v="en"/>
    <m/>
    <s v="1524249856658747392"/>
    <b v="0"/>
    <n v="1"/>
    <s v=""/>
    <s v="Twitter Web App"/>
    <b v="0"/>
    <s v="1524265722628608000"/>
    <s v="Tweet"/>
    <n v="0"/>
    <n v="0"/>
    <m/>
    <m/>
    <m/>
    <m/>
    <m/>
    <m/>
    <m/>
    <m/>
    <n v="1"/>
    <s v="1"/>
    <s v="2"/>
    <m/>
    <m/>
    <m/>
    <m/>
    <m/>
    <m/>
    <m/>
    <m/>
    <m/>
  </r>
  <r>
    <s v="ariannagail1"/>
    <s v="checkpointrnz"/>
    <m/>
    <m/>
    <m/>
    <m/>
    <m/>
    <m/>
    <m/>
    <m/>
    <s v="No"/>
    <n v="23"/>
    <m/>
    <m/>
    <s v="MentionsInRetweet"/>
    <x v="17"/>
    <s v="More questions about unfair rules by #ImmigrationNZ including them separating families if one child is disabled. Where is #BeKind in their policies? @CheckpointRNZ @lisaowennz _x000a_https://t.co/SdAXsftcXV https://t.co/hOgFpkvPfH"/>
    <s v="https://www.stuff.co.nz/pou-tiaki/128476403/very-painful-family-split-between-nz-and-philippines-over-immigration-health-policy https://twitter.com/JennyKayNZ/status/1524249856658747392"/>
    <s v="co.nz twitter.com"/>
    <s v="immigrationnz bekind"/>
    <m/>
    <s v="https://pbs.twimg.com/profile_images/1521083114046758913/ia08w9bB_normal.jpg"/>
    <d v="2022-05-11T06:41:58.000"/>
    <d v="2022-05-11T00:00:00.000"/>
    <s v="06:41:58"/>
    <s v="https://twitter.com/ariannagail1/status/1524278622798102529"/>
    <m/>
    <m/>
    <s v="1524278622798102529"/>
    <m/>
    <b v="0"/>
    <n v="0"/>
    <s v=""/>
    <b v="1"/>
    <s v="en"/>
    <m/>
    <s v="1524249856658747392"/>
    <b v="0"/>
    <n v="1"/>
    <s v="1524265722628608000"/>
    <s v="Twitter for iPhone"/>
    <b v="0"/>
    <s v="1524265722628608000"/>
    <s v="Tweet"/>
    <n v="0"/>
    <n v="0"/>
    <m/>
    <m/>
    <m/>
    <m/>
    <m/>
    <m/>
    <m/>
    <m/>
    <n v="1"/>
    <s v="2"/>
    <s v="2"/>
    <n v="0"/>
    <n v="0"/>
    <n v="1"/>
    <n v="4.166666666666667"/>
    <n v="0"/>
    <n v="0"/>
    <n v="23"/>
    <n v="95.83333333333333"/>
    <n v="24"/>
  </r>
  <r>
    <s v="jennykaynz"/>
    <s v="checkpointrnz"/>
    <m/>
    <m/>
    <m/>
    <m/>
    <m/>
    <m/>
    <m/>
    <m/>
    <s v="No"/>
    <n v="24"/>
    <m/>
    <m/>
    <s v="Mentions"/>
    <x v="18"/>
    <s v="More questions about unfair rules by #ImmigrationNZ including them separating families if one child is disabled. Where is #BeKind in their policies? @CheckpointRNZ @lisaowennz _x000a_https://t.co/SdAXsftcXV https://t.co/hOgFpkvPfH"/>
    <s v="https://www.stuff.co.nz/pou-tiaki/128476403/very-painful-family-split-between-nz-and-philippines-over-immigration-health-policy https://twitter.com/JennyKayNZ/status/1524249856658747392"/>
    <s v="co.nz twitter.com"/>
    <s v="immigrationnz bekind"/>
    <m/>
    <s v="https://pbs.twimg.com/profile_images/1509686418662068230/6_KXm14m_normal.jpg"/>
    <d v="2022-05-11T05:50:42.000"/>
    <d v="2022-05-11T00:00:00.000"/>
    <s v="05:50:42"/>
    <s v="https://twitter.com/jennykaynz/status/1524265722628608000"/>
    <m/>
    <m/>
    <s v="1524265722628608000"/>
    <m/>
    <b v="0"/>
    <n v="2"/>
    <s v=""/>
    <b v="1"/>
    <s v="en"/>
    <m/>
    <s v="1524249856658747392"/>
    <b v="0"/>
    <n v="1"/>
    <s v=""/>
    <s v="Twitter Web App"/>
    <b v="0"/>
    <s v="1524265722628608000"/>
    <s v="Tweet"/>
    <n v="0"/>
    <n v="0"/>
    <m/>
    <m/>
    <m/>
    <m/>
    <m/>
    <m/>
    <m/>
    <m/>
    <n v="1"/>
    <s v="1"/>
    <s v="2"/>
    <n v="0"/>
    <n v="0"/>
    <n v="1"/>
    <n v="4.166666666666667"/>
    <n v="0"/>
    <n v="0"/>
    <n v="23"/>
    <n v="95.83333333333333"/>
    <n v="24"/>
  </r>
  <r>
    <s v="jennykaynz"/>
    <s v="mikeythenurse"/>
    <m/>
    <m/>
    <m/>
    <m/>
    <m/>
    <m/>
    <m/>
    <m/>
    <s v="No"/>
    <n v="25"/>
    <m/>
    <m/>
    <s v="Replies to"/>
    <x v="19"/>
    <s v="@mikeythenurse So many problems with ImmigrationNZ policies &amp;amp; processes. There have been for years. Cuts in their own staff &amp;amp; offices hasn't helped with access to visas. Their website processes creak. Their rules are structurally racist. Admission tests aren't fit for purpose. Need faster fixes"/>
    <m/>
    <m/>
    <m/>
    <m/>
    <s v="https://pbs.twimg.com/profile_images/1509686418662068230/6_KXm14m_normal.jpg"/>
    <d v="2022-05-13T05:22:45.000"/>
    <d v="2022-05-13T00:00:00.000"/>
    <s v="05:22:45"/>
    <s v="https://twitter.com/jennykaynz/status/1524983462850990080"/>
    <m/>
    <m/>
    <s v="1524983462850990080"/>
    <s v="1524503894365130753"/>
    <b v="0"/>
    <n v="2"/>
    <s v="1421988157"/>
    <b v="0"/>
    <s v="en"/>
    <m/>
    <s v=""/>
    <b v="0"/>
    <n v="0"/>
    <s v=""/>
    <s v="Twitter Web App"/>
    <b v="0"/>
    <s v="1524503894365130753"/>
    <s v="Tweet"/>
    <n v="0"/>
    <n v="0"/>
    <m/>
    <m/>
    <m/>
    <m/>
    <m/>
    <m/>
    <m/>
    <m/>
    <n v="1"/>
    <s v="1"/>
    <s v="1"/>
    <n v="2"/>
    <n v="4.444444444444445"/>
    <n v="3"/>
    <n v="6.666666666666667"/>
    <n v="0"/>
    <n v="0"/>
    <n v="40"/>
    <n v="88.88888888888889"/>
    <n v="45"/>
  </r>
  <r>
    <s v="ariannagail1"/>
    <s v="endashnow"/>
    <m/>
    <m/>
    <m/>
    <m/>
    <m/>
    <m/>
    <m/>
    <m/>
    <s v="Yes"/>
    <n v="26"/>
    <m/>
    <m/>
    <s v="MentionsInRetweet"/>
    <x v="14"/>
    <s v="If families ties are a good reason to make ImmigrationNZ see sense @KrisInMana @PhilTwyford @MBIEgovtNZ what about letting 12YO Arianna join her working parents in NZ? @EndASHnow #EndASHnow _x000a_https://t.co/A1hCE2VS6r"/>
    <s v="https://www.stuff.co.nz/national/immigration/300580917/woman-who-has-overstayed-in-nz-for-16-years-granted-residence-due-to-family-ties"/>
    <s v="co.nz"/>
    <s v="endashnow"/>
    <m/>
    <s v="https://pbs.twimg.com/profile_images/1521083114046758913/ia08w9bB_normal.jpg"/>
    <d v="2022-05-10T03:15:38.000"/>
    <d v="2022-05-10T00:00:00.000"/>
    <s v="03:15:38"/>
    <s v="https://twitter.com/ariannagail1/status/1523864310879223809"/>
    <m/>
    <m/>
    <s v="1523864310879223809"/>
    <m/>
    <b v="0"/>
    <n v="0"/>
    <s v=""/>
    <b v="0"/>
    <s v="en"/>
    <m/>
    <s v=""/>
    <b v="0"/>
    <n v="1"/>
    <s v="1523473630767706112"/>
    <s v="Twitter for iPhone"/>
    <b v="0"/>
    <s v="1523473630767706112"/>
    <s v="Tweet"/>
    <n v="0"/>
    <n v="0"/>
    <m/>
    <m/>
    <m/>
    <m/>
    <m/>
    <m/>
    <m/>
    <m/>
    <n v="2"/>
    <s v="2"/>
    <s v="1"/>
    <m/>
    <m/>
    <m/>
    <m/>
    <m/>
    <m/>
    <m/>
    <m/>
    <m/>
  </r>
  <r>
    <s v="ariannagail1"/>
    <s v="philtwyford"/>
    <m/>
    <m/>
    <m/>
    <m/>
    <m/>
    <m/>
    <m/>
    <m/>
    <s v="No"/>
    <n v="27"/>
    <m/>
    <m/>
    <s v="MentionsInRetweet"/>
    <x v="14"/>
    <s v="If families ties are a good reason to make ImmigrationNZ see sense @KrisInMana @PhilTwyford @MBIEgovtNZ what about letting 12YO Arianna join her working parents in NZ? @EndASHnow #EndASHnow _x000a_https://t.co/A1hCE2VS6r"/>
    <s v="https://www.stuff.co.nz/national/immigration/300580917/woman-who-has-overstayed-in-nz-for-16-years-granted-residence-due-to-family-ties"/>
    <s v="co.nz"/>
    <s v="endashnow"/>
    <m/>
    <s v="https://pbs.twimg.com/profile_images/1521083114046758913/ia08w9bB_normal.jpg"/>
    <d v="2022-05-10T03:15:38.000"/>
    <d v="2022-05-10T00:00:00.000"/>
    <s v="03:15:38"/>
    <s v="https://twitter.com/ariannagail1/status/1523864310879223809"/>
    <m/>
    <m/>
    <s v="1523864310879223809"/>
    <m/>
    <b v="0"/>
    <n v="0"/>
    <s v=""/>
    <b v="0"/>
    <s v="en"/>
    <m/>
    <s v=""/>
    <b v="0"/>
    <n v="1"/>
    <s v="1523473630767706112"/>
    <s v="Twitter for iPhone"/>
    <b v="0"/>
    <s v="1523473630767706112"/>
    <s v="Tweet"/>
    <n v="0"/>
    <n v="0"/>
    <m/>
    <m/>
    <m/>
    <m/>
    <m/>
    <m/>
    <m/>
    <m/>
    <n v="2"/>
    <s v="2"/>
    <s v="2"/>
    <n v="1"/>
    <n v="3.5714285714285716"/>
    <n v="0"/>
    <n v="0"/>
    <n v="0"/>
    <n v="0"/>
    <n v="27"/>
    <n v="96.42857142857143"/>
    <n v="28"/>
  </r>
  <r>
    <s v="ariannagail1"/>
    <s v="krisinmana"/>
    <m/>
    <m/>
    <m/>
    <m/>
    <m/>
    <m/>
    <m/>
    <m/>
    <s v="No"/>
    <n v="28"/>
    <m/>
    <m/>
    <s v="MentionsInRetweet"/>
    <x v="14"/>
    <s v="If families ties are a good reason to make ImmigrationNZ see sense @KrisInMana @PhilTwyford @MBIEgovtNZ what about letting 12YO Arianna join her working parents in NZ? @EndASHnow #EndASHnow _x000a_https://t.co/A1hCE2VS6r"/>
    <s v="https://www.stuff.co.nz/national/immigration/300580917/woman-who-has-overstayed-in-nz-for-16-years-granted-residence-due-to-family-ties"/>
    <s v="co.nz"/>
    <s v="endashnow"/>
    <m/>
    <s v="https://pbs.twimg.com/profile_images/1521083114046758913/ia08w9bB_normal.jpg"/>
    <d v="2022-05-10T03:15:38.000"/>
    <d v="2022-05-10T00:00:00.000"/>
    <s v="03:15:38"/>
    <s v="https://twitter.com/ariannagail1/status/1523864310879223809"/>
    <m/>
    <m/>
    <s v="1523864310879223809"/>
    <m/>
    <b v="0"/>
    <n v="0"/>
    <s v=""/>
    <b v="0"/>
    <s v="en"/>
    <m/>
    <s v=""/>
    <b v="0"/>
    <n v="1"/>
    <s v="1523473630767706112"/>
    <s v="Twitter for iPhone"/>
    <b v="0"/>
    <s v="1523473630767706112"/>
    <s v="Tweet"/>
    <n v="0"/>
    <n v="0"/>
    <m/>
    <m/>
    <m/>
    <m/>
    <m/>
    <m/>
    <m/>
    <m/>
    <n v="2"/>
    <s v="2"/>
    <s v="4"/>
    <m/>
    <m/>
    <m/>
    <m/>
    <m/>
    <m/>
    <m/>
    <m/>
    <m/>
  </r>
  <r>
    <s v="ariannagail1"/>
    <s v="jennykaynz"/>
    <m/>
    <m/>
    <m/>
    <m/>
    <m/>
    <m/>
    <m/>
    <m/>
    <s v="Yes"/>
    <n v="29"/>
    <m/>
    <m/>
    <s v="Retweet"/>
    <x v="14"/>
    <s v="If families ties are a good reason to make ImmigrationNZ see sense @KrisInMana @PhilTwyford @MBIEgovtNZ what about letting 12YO Arianna join her working parents in NZ? @EndASHnow #EndASHnow _x000a_https://t.co/A1hCE2VS6r"/>
    <s v="https://www.stuff.co.nz/national/immigration/300580917/woman-who-has-overstayed-in-nz-for-16-years-granted-residence-due-to-family-ties"/>
    <s v="co.nz"/>
    <s v="endashnow"/>
    <m/>
    <s v="https://pbs.twimg.com/profile_images/1521083114046758913/ia08w9bB_normal.jpg"/>
    <d v="2022-05-10T03:15:38.000"/>
    <d v="2022-05-10T00:00:00.000"/>
    <s v="03:15:38"/>
    <s v="https://twitter.com/ariannagail1/status/1523864310879223809"/>
    <m/>
    <m/>
    <s v="1523864310879223809"/>
    <m/>
    <b v="0"/>
    <n v="0"/>
    <s v=""/>
    <b v="0"/>
    <s v="en"/>
    <m/>
    <s v=""/>
    <b v="0"/>
    <n v="1"/>
    <s v="1523473630767706112"/>
    <s v="Twitter for iPhone"/>
    <b v="0"/>
    <s v="1523473630767706112"/>
    <s v="Tweet"/>
    <n v="0"/>
    <n v="0"/>
    <m/>
    <m/>
    <m/>
    <m/>
    <m/>
    <m/>
    <m/>
    <m/>
    <n v="3"/>
    <s v="2"/>
    <s v="1"/>
    <m/>
    <m/>
    <m/>
    <m/>
    <m/>
    <m/>
    <m/>
    <m/>
    <m/>
  </r>
  <r>
    <s v="ariannagail1"/>
    <s v="jennykaynz"/>
    <m/>
    <m/>
    <m/>
    <m/>
    <m/>
    <m/>
    <m/>
    <m/>
    <s v="Yes"/>
    <n v="30"/>
    <m/>
    <m/>
    <s v="Retweet"/>
    <x v="17"/>
    <s v="More questions about unfair rules by #ImmigrationNZ including them separating families if one child is disabled. Where is #BeKind in their policies? @CheckpointRNZ @lisaowennz _x000a_https://t.co/SdAXsftcXV https://t.co/hOgFpkvPfH"/>
    <s v="https://www.stuff.co.nz/pou-tiaki/128476403/very-painful-family-split-between-nz-and-philippines-over-immigration-health-policy https://twitter.com/JennyKayNZ/status/1524249856658747392"/>
    <s v="co.nz twitter.com"/>
    <s v="immigrationnz bekind"/>
    <m/>
    <s v="https://pbs.twimg.com/profile_images/1521083114046758913/ia08w9bB_normal.jpg"/>
    <d v="2022-05-11T06:41:58.000"/>
    <d v="2022-05-11T00:00:00.000"/>
    <s v="06:41:58"/>
    <s v="https://twitter.com/ariannagail1/status/1524278622798102529"/>
    <m/>
    <m/>
    <s v="1524278622798102529"/>
    <m/>
    <b v="0"/>
    <n v="0"/>
    <s v=""/>
    <b v="1"/>
    <s v="en"/>
    <m/>
    <s v="1524249856658747392"/>
    <b v="0"/>
    <n v="1"/>
    <s v="1524265722628608000"/>
    <s v="Twitter for iPhone"/>
    <b v="0"/>
    <s v="1524265722628608000"/>
    <s v="Tweet"/>
    <n v="0"/>
    <n v="0"/>
    <m/>
    <m/>
    <m/>
    <m/>
    <m/>
    <m/>
    <m/>
    <m/>
    <n v="3"/>
    <s v="2"/>
    <s v="1"/>
    <m/>
    <m/>
    <m/>
    <m/>
    <m/>
    <m/>
    <m/>
    <m/>
    <m/>
  </r>
  <r>
    <s v="ariannagail1"/>
    <s v="endashnow"/>
    <m/>
    <m/>
    <m/>
    <m/>
    <m/>
    <m/>
    <m/>
    <m/>
    <s v="Yes"/>
    <n v="31"/>
    <m/>
    <m/>
    <s v="MentionsInRetweet"/>
    <x v="20"/>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21083114046758913/ia08w9bB_normal.jpg"/>
    <d v="2022-05-11T06:54:15.000"/>
    <d v="2022-05-11T00:00:00.000"/>
    <s v="06:54:15"/>
    <s v="https://twitter.com/ariannagail1/status/1524281715971457024"/>
    <m/>
    <m/>
    <s v="1524281715971457024"/>
    <m/>
    <b v="0"/>
    <n v="0"/>
    <s v=""/>
    <b v="0"/>
    <s v="en"/>
    <m/>
    <s v=""/>
    <b v="0"/>
    <n v="2"/>
    <s v="1524249856658747392"/>
    <s v="Twitter for iPhone"/>
    <b v="0"/>
    <s v="1524249856658747392"/>
    <s v="Tweet"/>
    <n v="0"/>
    <n v="0"/>
    <m/>
    <m/>
    <m/>
    <m/>
    <m/>
    <m/>
    <m/>
    <m/>
    <n v="2"/>
    <s v="2"/>
    <s v="1"/>
    <m/>
    <m/>
    <m/>
    <m/>
    <m/>
    <m/>
    <m/>
    <m/>
    <m/>
  </r>
  <r>
    <s v="ariannagail1"/>
    <s v="philtwyford"/>
    <m/>
    <m/>
    <m/>
    <m/>
    <m/>
    <m/>
    <m/>
    <m/>
    <s v="No"/>
    <n v="32"/>
    <m/>
    <m/>
    <s v="MentionsInRetweet"/>
    <x v="20"/>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21083114046758913/ia08w9bB_normal.jpg"/>
    <d v="2022-05-11T06:54:15.000"/>
    <d v="2022-05-11T00:00:00.000"/>
    <s v="06:54:15"/>
    <s v="https://twitter.com/ariannagail1/status/1524281715971457024"/>
    <m/>
    <m/>
    <s v="1524281715971457024"/>
    <m/>
    <b v="0"/>
    <n v="0"/>
    <s v=""/>
    <b v="0"/>
    <s v="en"/>
    <m/>
    <s v=""/>
    <b v="0"/>
    <n v="2"/>
    <s v="1524249856658747392"/>
    <s v="Twitter for iPhone"/>
    <b v="0"/>
    <s v="1524249856658747392"/>
    <s v="Tweet"/>
    <n v="0"/>
    <n v="0"/>
    <m/>
    <m/>
    <m/>
    <m/>
    <m/>
    <m/>
    <m/>
    <m/>
    <n v="2"/>
    <s v="2"/>
    <s v="2"/>
    <m/>
    <m/>
    <m/>
    <m/>
    <m/>
    <m/>
    <m/>
    <m/>
    <m/>
  </r>
  <r>
    <s v="ariannagail1"/>
    <s v="krisinmana"/>
    <m/>
    <m/>
    <m/>
    <m/>
    <m/>
    <m/>
    <m/>
    <m/>
    <s v="No"/>
    <n v="33"/>
    <m/>
    <m/>
    <s v="MentionsInRetweet"/>
    <x v="20"/>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21083114046758913/ia08w9bB_normal.jpg"/>
    <d v="2022-05-11T06:54:15.000"/>
    <d v="2022-05-11T00:00:00.000"/>
    <s v="06:54:15"/>
    <s v="https://twitter.com/ariannagail1/status/1524281715971457024"/>
    <m/>
    <m/>
    <s v="1524281715971457024"/>
    <m/>
    <b v="0"/>
    <n v="0"/>
    <s v=""/>
    <b v="0"/>
    <s v="en"/>
    <m/>
    <s v=""/>
    <b v="0"/>
    <n v="2"/>
    <s v="1524249856658747392"/>
    <s v="Twitter for iPhone"/>
    <b v="0"/>
    <s v="1524249856658747392"/>
    <s v="Tweet"/>
    <n v="0"/>
    <n v="0"/>
    <m/>
    <m/>
    <m/>
    <m/>
    <m/>
    <m/>
    <m/>
    <m/>
    <n v="2"/>
    <s v="2"/>
    <s v="4"/>
    <m/>
    <m/>
    <m/>
    <m/>
    <m/>
    <m/>
    <m/>
    <m/>
    <m/>
  </r>
  <r>
    <s v="ariannagail1"/>
    <s v="jacindaardern"/>
    <m/>
    <m/>
    <m/>
    <m/>
    <m/>
    <m/>
    <m/>
    <m/>
    <s v="No"/>
    <n v="34"/>
    <m/>
    <m/>
    <s v="MentionsInRetweet"/>
    <x v="20"/>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21083114046758913/ia08w9bB_normal.jpg"/>
    <d v="2022-05-11T06:54:15.000"/>
    <d v="2022-05-11T00:00:00.000"/>
    <s v="06:54:15"/>
    <s v="https://twitter.com/ariannagail1/status/1524281715971457024"/>
    <m/>
    <m/>
    <s v="1524281715971457024"/>
    <m/>
    <b v="0"/>
    <n v="0"/>
    <s v=""/>
    <b v="0"/>
    <s v="en"/>
    <m/>
    <s v=""/>
    <b v="0"/>
    <n v="2"/>
    <s v="1524249856658747392"/>
    <s v="Twitter for iPhone"/>
    <b v="0"/>
    <s v="1524249856658747392"/>
    <s v="Tweet"/>
    <n v="0"/>
    <n v="0"/>
    <m/>
    <m/>
    <m/>
    <m/>
    <m/>
    <m/>
    <m/>
    <m/>
    <n v="1"/>
    <s v="2"/>
    <s v="1"/>
    <n v="2"/>
    <n v="5.555555555555555"/>
    <n v="1"/>
    <n v="2.7777777777777777"/>
    <n v="0"/>
    <n v="0"/>
    <n v="33"/>
    <n v="91.66666666666667"/>
    <n v="36"/>
  </r>
  <r>
    <s v="ariannagail1"/>
    <s v="jennykaynz"/>
    <m/>
    <m/>
    <m/>
    <m/>
    <m/>
    <m/>
    <m/>
    <m/>
    <s v="Yes"/>
    <n v="35"/>
    <m/>
    <m/>
    <s v="Retweet"/>
    <x v="20"/>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21083114046758913/ia08w9bB_normal.jpg"/>
    <d v="2022-05-11T06:54:15.000"/>
    <d v="2022-05-11T00:00:00.000"/>
    <s v="06:54:15"/>
    <s v="https://twitter.com/ariannagail1/status/1524281715971457024"/>
    <m/>
    <m/>
    <s v="1524281715971457024"/>
    <m/>
    <b v="0"/>
    <n v="0"/>
    <s v=""/>
    <b v="0"/>
    <s v="en"/>
    <m/>
    <s v=""/>
    <b v="0"/>
    <n v="2"/>
    <s v="1524249856658747392"/>
    <s v="Twitter for iPhone"/>
    <b v="0"/>
    <s v="1524249856658747392"/>
    <s v="Tweet"/>
    <n v="0"/>
    <n v="0"/>
    <m/>
    <m/>
    <m/>
    <m/>
    <m/>
    <m/>
    <m/>
    <m/>
    <n v="3"/>
    <s v="2"/>
    <s v="1"/>
    <m/>
    <m/>
    <m/>
    <m/>
    <m/>
    <m/>
    <m/>
    <m/>
    <m/>
  </r>
  <r>
    <s v="jennykaynz"/>
    <s v="ariannagail1"/>
    <m/>
    <m/>
    <m/>
    <m/>
    <m/>
    <m/>
    <m/>
    <m/>
    <s v="Yes"/>
    <n v="36"/>
    <m/>
    <m/>
    <s v="Mentions"/>
    <x v="21"/>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09686418662068230/6_KXm14m_normal.jpg"/>
    <d v="2022-05-11T04:47:39.000"/>
    <d v="2022-05-11T00:00:00.000"/>
    <s v="04:47:39"/>
    <s v="https://twitter.com/jennykaynz/status/1524249856658747392"/>
    <m/>
    <m/>
    <s v="1524249856658747392"/>
    <m/>
    <b v="0"/>
    <n v="3"/>
    <s v=""/>
    <b v="0"/>
    <s v="en"/>
    <m/>
    <s v=""/>
    <b v="0"/>
    <n v="2"/>
    <s v=""/>
    <s v="Twitter Web App"/>
    <b v="0"/>
    <s v="1524249856658747392"/>
    <s v="Tweet"/>
    <n v="0"/>
    <n v="0"/>
    <m/>
    <m/>
    <m/>
    <m/>
    <m/>
    <m/>
    <m/>
    <m/>
    <n v="1"/>
    <s v="1"/>
    <s v="2"/>
    <m/>
    <m/>
    <m/>
    <m/>
    <m/>
    <m/>
    <m/>
    <m/>
    <m/>
  </r>
  <r>
    <s v="endashnow"/>
    <s v="ariannagail1"/>
    <m/>
    <m/>
    <m/>
    <m/>
    <m/>
    <m/>
    <m/>
    <m/>
    <s v="Yes"/>
    <n v="37"/>
    <m/>
    <m/>
    <s v="MentionsInRetweet"/>
    <x v="22"/>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05255366879293442/znVK6sDd_normal.jpg"/>
    <d v="2022-05-11T07:15:42.000"/>
    <d v="2022-05-11T00:00:00.000"/>
    <s v="07:15:42"/>
    <s v="https://twitter.com/endashnow/status/1524287114099179521"/>
    <m/>
    <m/>
    <s v="1524287114099179521"/>
    <m/>
    <b v="0"/>
    <n v="0"/>
    <s v=""/>
    <b v="0"/>
    <s v="en"/>
    <m/>
    <s v=""/>
    <b v="0"/>
    <n v="2"/>
    <s v="1524249856658747392"/>
    <s v="Twitter for iPhone"/>
    <b v="0"/>
    <s v="1524249856658747392"/>
    <s v="Tweet"/>
    <n v="0"/>
    <n v="0"/>
    <m/>
    <m/>
    <m/>
    <m/>
    <m/>
    <m/>
    <m/>
    <m/>
    <n v="1"/>
    <s v="1"/>
    <s v="2"/>
    <m/>
    <m/>
    <m/>
    <m/>
    <m/>
    <m/>
    <m/>
    <m/>
    <m/>
  </r>
  <r>
    <s v="jennykaynz"/>
    <s v="philtwyford"/>
    <m/>
    <m/>
    <m/>
    <m/>
    <m/>
    <m/>
    <m/>
    <m/>
    <s v="No"/>
    <n v="38"/>
    <m/>
    <m/>
    <s v="Mentions"/>
    <x v="15"/>
    <s v="If families ties are a good reason to make ImmigrationNZ see sense @KrisInMana @PhilTwyford @MBIEgovtNZ what about letting 12YO Arianna join her working parents in NZ? @EndASHnow #EndASHnow _x000a_https://t.co/A1hCE2VS6r"/>
    <s v="https://www.stuff.co.nz/national/immigration/300580917/woman-who-has-overstayed-in-nz-for-16-years-granted-residence-due-to-family-ties"/>
    <s v="co.nz"/>
    <s v="endashnow"/>
    <m/>
    <s v="https://pbs.twimg.com/profile_images/1509686418662068230/6_KXm14m_normal.jpg"/>
    <d v="2022-05-09T01:23:13.000"/>
    <d v="2022-05-09T00:00:00.000"/>
    <s v="01:23:13"/>
    <s v="https://twitter.com/jennykaynz/status/1523473630767706112"/>
    <m/>
    <m/>
    <s v="1523473630767706112"/>
    <m/>
    <b v="0"/>
    <n v="3"/>
    <s v=""/>
    <b v="0"/>
    <s v="en"/>
    <m/>
    <s v=""/>
    <b v="0"/>
    <n v="1"/>
    <s v=""/>
    <s v="Twitter Web App"/>
    <b v="0"/>
    <s v="1523473630767706112"/>
    <s v="Tweet"/>
    <n v="0"/>
    <n v="0"/>
    <m/>
    <m/>
    <m/>
    <m/>
    <m/>
    <m/>
    <m/>
    <m/>
    <n v="2"/>
    <s v="1"/>
    <s v="2"/>
    <n v="1"/>
    <n v="3.5714285714285716"/>
    <n v="0"/>
    <n v="0"/>
    <n v="0"/>
    <n v="0"/>
    <n v="27"/>
    <n v="96.42857142857143"/>
    <n v="28"/>
  </r>
  <r>
    <s v="jennykaynz"/>
    <s v="philtwyford"/>
    <m/>
    <m/>
    <m/>
    <m/>
    <m/>
    <m/>
    <m/>
    <m/>
    <s v="No"/>
    <n v="39"/>
    <m/>
    <m/>
    <s v="Mentions"/>
    <x v="21"/>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09686418662068230/6_KXm14m_normal.jpg"/>
    <d v="2022-05-11T04:47:39.000"/>
    <d v="2022-05-11T00:00:00.000"/>
    <s v="04:47:39"/>
    <s v="https://twitter.com/jennykaynz/status/1524249856658747392"/>
    <m/>
    <m/>
    <s v="1524249856658747392"/>
    <m/>
    <b v="0"/>
    <n v="3"/>
    <s v=""/>
    <b v="0"/>
    <s v="en"/>
    <m/>
    <s v=""/>
    <b v="0"/>
    <n v="2"/>
    <s v=""/>
    <s v="Twitter Web App"/>
    <b v="0"/>
    <s v="1524249856658747392"/>
    <s v="Tweet"/>
    <n v="0"/>
    <n v="0"/>
    <m/>
    <m/>
    <m/>
    <m/>
    <m/>
    <m/>
    <m/>
    <m/>
    <n v="2"/>
    <s v="1"/>
    <s v="2"/>
    <m/>
    <m/>
    <m/>
    <m/>
    <m/>
    <m/>
    <m/>
    <m/>
    <m/>
  </r>
  <r>
    <s v="endashnow"/>
    <s v="philtwyford"/>
    <m/>
    <m/>
    <m/>
    <m/>
    <m/>
    <m/>
    <m/>
    <m/>
    <s v="No"/>
    <n v="40"/>
    <m/>
    <m/>
    <s v="MentionsInRetweet"/>
    <x v="22"/>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05255366879293442/znVK6sDd_normal.jpg"/>
    <d v="2022-05-11T07:15:42.000"/>
    <d v="2022-05-11T00:00:00.000"/>
    <s v="07:15:42"/>
    <s v="https://twitter.com/endashnow/status/1524287114099179521"/>
    <m/>
    <m/>
    <s v="1524287114099179521"/>
    <m/>
    <b v="0"/>
    <n v="0"/>
    <s v=""/>
    <b v="0"/>
    <s v="en"/>
    <m/>
    <s v=""/>
    <b v="0"/>
    <n v="2"/>
    <s v="1524249856658747392"/>
    <s v="Twitter for iPhone"/>
    <b v="0"/>
    <s v="1524249856658747392"/>
    <s v="Tweet"/>
    <n v="0"/>
    <n v="0"/>
    <m/>
    <m/>
    <m/>
    <m/>
    <m/>
    <m/>
    <m/>
    <m/>
    <n v="1"/>
    <s v="1"/>
    <s v="2"/>
    <m/>
    <m/>
    <m/>
    <m/>
    <m/>
    <m/>
    <m/>
    <m/>
    <m/>
  </r>
  <r>
    <s v="jennykaynz"/>
    <s v="jacindaardern"/>
    <m/>
    <m/>
    <m/>
    <m/>
    <m/>
    <m/>
    <m/>
    <m/>
    <s v="No"/>
    <n v="41"/>
    <m/>
    <m/>
    <s v="Mentions"/>
    <x v="21"/>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09686418662068230/6_KXm14m_normal.jpg"/>
    <d v="2022-05-11T04:47:39.000"/>
    <d v="2022-05-11T00:00:00.000"/>
    <s v="04:47:39"/>
    <s v="https://twitter.com/jennykaynz/status/1524249856658747392"/>
    <m/>
    <m/>
    <s v="1524249856658747392"/>
    <m/>
    <b v="0"/>
    <n v="3"/>
    <s v=""/>
    <b v="0"/>
    <s v="en"/>
    <m/>
    <s v=""/>
    <b v="0"/>
    <n v="2"/>
    <s v=""/>
    <s v="Twitter Web App"/>
    <b v="0"/>
    <s v="1524249856658747392"/>
    <s v="Tweet"/>
    <n v="0"/>
    <n v="0"/>
    <m/>
    <m/>
    <m/>
    <m/>
    <m/>
    <m/>
    <m/>
    <m/>
    <n v="1"/>
    <s v="1"/>
    <s v="1"/>
    <n v="2"/>
    <n v="5.555555555555555"/>
    <n v="1"/>
    <n v="2.7777777777777777"/>
    <n v="0"/>
    <n v="0"/>
    <n v="33"/>
    <n v="91.66666666666667"/>
    <n v="36"/>
  </r>
  <r>
    <s v="endashnow"/>
    <s v="jacindaardern"/>
    <m/>
    <m/>
    <m/>
    <m/>
    <m/>
    <m/>
    <m/>
    <m/>
    <s v="No"/>
    <n v="42"/>
    <m/>
    <m/>
    <s v="MentionsInRetweet"/>
    <x v="22"/>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05255366879293442/znVK6sDd_normal.jpg"/>
    <d v="2022-05-11T07:15:42.000"/>
    <d v="2022-05-11T00:00:00.000"/>
    <s v="07:15:42"/>
    <s v="https://twitter.com/endashnow/status/1524287114099179521"/>
    <m/>
    <m/>
    <s v="1524287114099179521"/>
    <m/>
    <b v="0"/>
    <n v="0"/>
    <s v=""/>
    <b v="0"/>
    <s v="en"/>
    <m/>
    <s v=""/>
    <b v="0"/>
    <n v="2"/>
    <s v="1524249856658747392"/>
    <s v="Twitter for iPhone"/>
    <b v="0"/>
    <s v="1524249856658747392"/>
    <s v="Tweet"/>
    <n v="0"/>
    <n v="0"/>
    <m/>
    <m/>
    <m/>
    <m/>
    <m/>
    <m/>
    <m/>
    <m/>
    <n v="1"/>
    <s v="1"/>
    <s v="1"/>
    <n v="2"/>
    <n v="5.555555555555555"/>
    <n v="1"/>
    <n v="2.7777777777777777"/>
    <n v="0"/>
    <n v="0"/>
    <n v="33"/>
    <n v="91.66666666666667"/>
    <n v="36"/>
  </r>
  <r>
    <s v="jennykaynz"/>
    <s v="nzqanda"/>
    <m/>
    <m/>
    <m/>
    <m/>
    <m/>
    <m/>
    <m/>
    <m/>
    <s v="No"/>
    <n v="43"/>
    <m/>
    <m/>
    <s v="Mentions"/>
    <x v="23"/>
    <s v="Saw @KrisInMana &amp;amp; @JackTame talking on #ImmigrationNZ on @NZQandA. Minister talks of getting people to come to NZ. What of their families? NZ separates families &amp;amp; won't let disabled kids stay with parents. So much for #BeKind. Reputational harm #EndASHnow #EndASHnow #NZQandA"/>
    <m/>
    <m/>
    <s v="immigrationnz bekind endashnow endashnow nzqanda"/>
    <m/>
    <s v="https://pbs.twimg.com/profile_images/1509686418662068230/6_KXm14m_normal.jpg"/>
    <d v="2022-05-14T23:40:18.000"/>
    <d v="2022-05-14T00:00:00.000"/>
    <s v="23:40:18"/>
    <s v="https://twitter.com/jennykaynz/status/1525622058943582208"/>
    <m/>
    <m/>
    <s v="1525622058943582208"/>
    <m/>
    <b v="0"/>
    <n v="6"/>
    <s v=""/>
    <b v="0"/>
    <s v="en"/>
    <m/>
    <s v=""/>
    <b v="0"/>
    <n v="1"/>
    <s v=""/>
    <s v="Twitter Web App"/>
    <b v="0"/>
    <s v="1525622058943582208"/>
    <s v="Tweet"/>
    <n v="0"/>
    <n v="0"/>
    <m/>
    <m/>
    <m/>
    <m/>
    <m/>
    <m/>
    <m/>
    <m/>
    <n v="1"/>
    <s v="1"/>
    <s v="1"/>
    <m/>
    <m/>
    <m/>
    <m/>
    <m/>
    <m/>
    <m/>
    <m/>
    <m/>
  </r>
  <r>
    <s v="endashnow"/>
    <s v="nzqanda"/>
    <m/>
    <m/>
    <m/>
    <m/>
    <m/>
    <m/>
    <m/>
    <m/>
    <s v="No"/>
    <n v="44"/>
    <m/>
    <m/>
    <s v="MentionsInRetweet"/>
    <x v="24"/>
    <s v="Saw @KrisInMana &amp;amp; @JackTame talking on #ImmigrationNZ on @NZQandA. Minister talks of getting people to come to NZ. What of their families? NZ separates families &amp;amp; won't let disabled kids stay with parents. So much for #BeKind. Reputational harm #EndASHnow #EndASHnow #NZQandA"/>
    <m/>
    <m/>
    <s v="immigrationnz bekind endashnow endashnow nzqanda"/>
    <m/>
    <s v="https://pbs.twimg.com/profile_images/1505255366879293442/znVK6sDd_normal.jpg"/>
    <d v="2022-05-15T02:52:50.000"/>
    <d v="2022-05-15T00:00:00.000"/>
    <s v="02:52:50"/>
    <s v="https://twitter.com/endashnow/status/1525670511443083264"/>
    <m/>
    <m/>
    <s v="1525670511443083264"/>
    <m/>
    <b v="0"/>
    <n v="0"/>
    <s v=""/>
    <b v="0"/>
    <s v="en"/>
    <m/>
    <s v=""/>
    <b v="0"/>
    <n v="1"/>
    <s v="1525622058943582208"/>
    <s v="Twitter for iPad"/>
    <b v="0"/>
    <s v="1525622058943582208"/>
    <s v="Tweet"/>
    <n v="0"/>
    <n v="0"/>
    <m/>
    <m/>
    <m/>
    <m/>
    <m/>
    <m/>
    <m/>
    <m/>
    <n v="1"/>
    <s v="1"/>
    <s v="1"/>
    <m/>
    <m/>
    <m/>
    <m/>
    <m/>
    <m/>
    <m/>
    <m/>
    <m/>
  </r>
  <r>
    <s v="jennykaynz"/>
    <s v="jacktame"/>
    <m/>
    <m/>
    <m/>
    <m/>
    <m/>
    <m/>
    <m/>
    <m/>
    <s v="No"/>
    <n v="45"/>
    <m/>
    <m/>
    <s v="Mentions"/>
    <x v="23"/>
    <s v="Saw @KrisInMana &amp;amp; @JackTame talking on #ImmigrationNZ on @NZQandA. Minister talks of getting people to come to NZ. What of their families? NZ separates families &amp;amp; won't let disabled kids stay with parents. So much for #BeKind. Reputational harm #EndASHnow #EndASHnow #NZQandA"/>
    <m/>
    <m/>
    <s v="immigrationnz bekind endashnow endashnow nzqanda"/>
    <m/>
    <s v="https://pbs.twimg.com/profile_images/1509686418662068230/6_KXm14m_normal.jpg"/>
    <d v="2022-05-14T23:40:18.000"/>
    <d v="2022-05-14T00:00:00.000"/>
    <s v="23:40:18"/>
    <s v="https://twitter.com/jennykaynz/status/1525622058943582208"/>
    <m/>
    <m/>
    <s v="1525622058943582208"/>
    <m/>
    <b v="0"/>
    <n v="6"/>
    <s v=""/>
    <b v="0"/>
    <s v="en"/>
    <m/>
    <s v=""/>
    <b v="0"/>
    <n v="1"/>
    <s v=""/>
    <s v="Twitter Web App"/>
    <b v="0"/>
    <s v="1525622058943582208"/>
    <s v="Tweet"/>
    <n v="0"/>
    <n v="0"/>
    <m/>
    <m/>
    <m/>
    <m/>
    <m/>
    <m/>
    <m/>
    <m/>
    <n v="1"/>
    <s v="1"/>
    <s v="1"/>
    <n v="0"/>
    <n v="0"/>
    <n v="2"/>
    <n v="4.761904761904762"/>
    <n v="0"/>
    <n v="0"/>
    <n v="40"/>
    <n v="95.23809523809524"/>
    <n v="42"/>
  </r>
  <r>
    <s v="endashnow"/>
    <s v="jacktame"/>
    <m/>
    <m/>
    <m/>
    <m/>
    <m/>
    <m/>
    <m/>
    <m/>
    <s v="No"/>
    <n v="46"/>
    <m/>
    <m/>
    <s v="MentionsInRetweet"/>
    <x v="24"/>
    <s v="Saw @KrisInMana &amp;amp; @JackTame talking on #ImmigrationNZ on @NZQandA. Minister talks of getting people to come to NZ. What of their families? NZ separates families &amp;amp; won't let disabled kids stay with parents. So much for #BeKind. Reputational harm #EndASHnow #EndASHnow #NZQandA"/>
    <m/>
    <m/>
    <s v="immigrationnz bekind endashnow endashnow nzqanda"/>
    <m/>
    <s v="https://pbs.twimg.com/profile_images/1505255366879293442/znVK6sDd_normal.jpg"/>
    <d v="2022-05-15T02:52:50.000"/>
    <d v="2022-05-15T00:00:00.000"/>
    <s v="02:52:50"/>
    <s v="https://twitter.com/endashnow/status/1525670511443083264"/>
    <m/>
    <m/>
    <s v="1525670511443083264"/>
    <m/>
    <b v="0"/>
    <n v="0"/>
    <s v=""/>
    <b v="0"/>
    <s v="en"/>
    <m/>
    <s v=""/>
    <b v="0"/>
    <n v="1"/>
    <s v="1525622058943582208"/>
    <s v="Twitter for iPad"/>
    <b v="0"/>
    <s v="1525622058943582208"/>
    <s v="Tweet"/>
    <n v="0"/>
    <n v="0"/>
    <m/>
    <m/>
    <m/>
    <m/>
    <m/>
    <m/>
    <m/>
    <m/>
    <n v="1"/>
    <s v="1"/>
    <s v="1"/>
    <n v="0"/>
    <n v="0"/>
    <n v="2"/>
    <n v="4.761904761904762"/>
    <n v="0"/>
    <n v="0"/>
    <n v="40"/>
    <n v="95.23809523809524"/>
    <n v="42"/>
  </r>
  <r>
    <s v="jennykaynz"/>
    <s v="krisinmana"/>
    <m/>
    <m/>
    <m/>
    <m/>
    <m/>
    <m/>
    <m/>
    <m/>
    <s v="No"/>
    <n v="47"/>
    <m/>
    <m/>
    <s v="Mentions"/>
    <x v="15"/>
    <s v="If families ties are a good reason to make ImmigrationNZ see sense @KrisInMana @PhilTwyford @MBIEgovtNZ what about letting 12YO Arianna join her working parents in NZ? @EndASHnow #EndASHnow _x000a_https://t.co/A1hCE2VS6r"/>
    <s v="https://www.stuff.co.nz/national/immigration/300580917/woman-who-has-overstayed-in-nz-for-16-years-granted-residence-due-to-family-ties"/>
    <s v="co.nz"/>
    <s v="endashnow"/>
    <m/>
    <s v="https://pbs.twimg.com/profile_images/1509686418662068230/6_KXm14m_normal.jpg"/>
    <d v="2022-05-09T01:23:13.000"/>
    <d v="2022-05-09T00:00:00.000"/>
    <s v="01:23:13"/>
    <s v="https://twitter.com/jennykaynz/status/1523473630767706112"/>
    <m/>
    <m/>
    <s v="1523473630767706112"/>
    <m/>
    <b v="0"/>
    <n v="3"/>
    <s v=""/>
    <b v="0"/>
    <s v="en"/>
    <m/>
    <s v=""/>
    <b v="0"/>
    <n v="1"/>
    <s v=""/>
    <s v="Twitter Web App"/>
    <b v="0"/>
    <s v="1523473630767706112"/>
    <s v="Tweet"/>
    <n v="0"/>
    <n v="0"/>
    <m/>
    <m/>
    <m/>
    <m/>
    <m/>
    <m/>
    <m/>
    <m/>
    <n v="3"/>
    <s v="1"/>
    <s v="4"/>
    <m/>
    <m/>
    <m/>
    <m/>
    <m/>
    <m/>
    <m/>
    <m/>
    <m/>
  </r>
  <r>
    <s v="jennykaynz"/>
    <s v="krisinmana"/>
    <m/>
    <m/>
    <m/>
    <m/>
    <m/>
    <m/>
    <m/>
    <m/>
    <s v="No"/>
    <n v="48"/>
    <m/>
    <m/>
    <s v="Mentions"/>
    <x v="21"/>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09686418662068230/6_KXm14m_normal.jpg"/>
    <d v="2022-05-11T04:47:39.000"/>
    <d v="2022-05-11T00:00:00.000"/>
    <s v="04:47:39"/>
    <s v="https://twitter.com/jennykaynz/status/1524249856658747392"/>
    <m/>
    <m/>
    <s v="1524249856658747392"/>
    <m/>
    <b v="0"/>
    <n v="3"/>
    <s v=""/>
    <b v="0"/>
    <s v="en"/>
    <m/>
    <s v=""/>
    <b v="0"/>
    <n v="2"/>
    <s v=""/>
    <s v="Twitter Web App"/>
    <b v="0"/>
    <s v="1524249856658747392"/>
    <s v="Tweet"/>
    <n v="0"/>
    <n v="0"/>
    <m/>
    <m/>
    <m/>
    <m/>
    <m/>
    <m/>
    <m/>
    <m/>
    <n v="3"/>
    <s v="1"/>
    <s v="4"/>
    <m/>
    <m/>
    <m/>
    <m/>
    <m/>
    <m/>
    <m/>
    <m/>
    <m/>
  </r>
  <r>
    <s v="jennykaynz"/>
    <s v="krisinmana"/>
    <m/>
    <m/>
    <m/>
    <m/>
    <m/>
    <m/>
    <m/>
    <m/>
    <s v="No"/>
    <n v="49"/>
    <m/>
    <m/>
    <s v="Mentions"/>
    <x v="23"/>
    <s v="Saw @KrisInMana &amp;amp; @JackTame talking on #ImmigrationNZ on @NZQandA. Minister talks of getting people to come to NZ. What of their families? NZ separates families &amp;amp; won't let disabled kids stay with parents. So much for #BeKind. Reputational harm #EndASHnow #EndASHnow #NZQandA"/>
    <m/>
    <m/>
    <s v="immigrationnz bekind endashnow endashnow nzqanda"/>
    <m/>
    <s v="https://pbs.twimg.com/profile_images/1509686418662068230/6_KXm14m_normal.jpg"/>
    <d v="2022-05-14T23:40:18.000"/>
    <d v="2022-05-14T00:00:00.000"/>
    <s v="23:40:18"/>
    <s v="https://twitter.com/jennykaynz/status/1525622058943582208"/>
    <m/>
    <m/>
    <s v="1525622058943582208"/>
    <m/>
    <b v="0"/>
    <n v="6"/>
    <s v=""/>
    <b v="0"/>
    <s v="en"/>
    <m/>
    <s v=""/>
    <b v="0"/>
    <n v="1"/>
    <s v=""/>
    <s v="Twitter Web App"/>
    <b v="0"/>
    <s v="1525622058943582208"/>
    <s v="Tweet"/>
    <n v="0"/>
    <n v="0"/>
    <m/>
    <m/>
    <m/>
    <m/>
    <m/>
    <m/>
    <m/>
    <m/>
    <n v="3"/>
    <s v="1"/>
    <s v="4"/>
    <m/>
    <m/>
    <m/>
    <m/>
    <m/>
    <m/>
    <m/>
    <m/>
    <m/>
  </r>
  <r>
    <s v="endashnow"/>
    <s v="krisinmana"/>
    <m/>
    <m/>
    <m/>
    <m/>
    <m/>
    <m/>
    <m/>
    <m/>
    <s v="No"/>
    <n v="50"/>
    <m/>
    <m/>
    <s v="MentionsInRetweet"/>
    <x v="22"/>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05255366879293442/znVK6sDd_normal.jpg"/>
    <d v="2022-05-11T07:15:42.000"/>
    <d v="2022-05-11T00:00:00.000"/>
    <s v="07:15:42"/>
    <s v="https://twitter.com/endashnow/status/1524287114099179521"/>
    <m/>
    <m/>
    <s v="1524287114099179521"/>
    <m/>
    <b v="0"/>
    <n v="0"/>
    <s v=""/>
    <b v="0"/>
    <s v="en"/>
    <m/>
    <s v=""/>
    <b v="0"/>
    <n v="2"/>
    <s v="1524249856658747392"/>
    <s v="Twitter for iPhone"/>
    <b v="0"/>
    <s v="1524249856658747392"/>
    <s v="Tweet"/>
    <n v="0"/>
    <n v="0"/>
    <m/>
    <m/>
    <m/>
    <m/>
    <m/>
    <m/>
    <m/>
    <m/>
    <n v="2"/>
    <s v="1"/>
    <s v="4"/>
    <m/>
    <m/>
    <m/>
    <m/>
    <m/>
    <m/>
    <m/>
    <m/>
    <m/>
  </r>
  <r>
    <s v="endashnow"/>
    <s v="krisinmana"/>
    <m/>
    <m/>
    <m/>
    <m/>
    <m/>
    <m/>
    <m/>
    <m/>
    <s v="No"/>
    <n v="51"/>
    <m/>
    <m/>
    <s v="MentionsInRetweet"/>
    <x v="24"/>
    <s v="Saw @KrisInMana &amp;amp; @JackTame talking on #ImmigrationNZ on @NZQandA. Minister talks of getting people to come to NZ. What of their families? NZ separates families &amp;amp; won't let disabled kids stay with parents. So much for #BeKind. Reputational harm #EndASHnow #EndASHnow #NZQandA"/>
    <m/>
    <m/>
    <s v="immigrationnz bekind endashnow endashnow nzqanda"/>
    <m/>
    <s v="https://pbs.twimg.com/profile_images/1505255366879293442/znVK6sDd_normal.jpg"/>
    <d v="2022-05-15T02:52:50.000"/>
    <d v="2022-05-15T00:00:00.000"/>
    <s v="02:52:50"/>
    <s v="https://twitter.com/endashnow/status/1525670511443083264"/>
    <m/>
    <m/>
    <s v="1525670511443083264"/>
    <m/>
    <b v="0"/>
    <n v="0"/>
    <s v=""/>
    <b v="0"/>
    <s v="en"/>
    <m/>
    <s v=""/>
    <b v="0"/>
    <n v="1"/>
    <s v="1525622058943582208"/>
    <s v="Twitter for iPad"/>
    <b v="0"/>
    <s v="1525622058943582208"/>
    <s v="Tweet"/>
    <n v="0"/>
    <n v="0"/>
    <m/>
    <m/>
    <m/>
    <m/>
    <m/>
    <m/>
    <m/>
    <m/>
    <n v="2"/>
    <s v="1"/>
    <s v="4"/>
    <m/>
    <m/>
    <m/>
    <m/>
    <m/>
    <m/>
    <m/>
    <m/>
    <m/>
  </r>
  <r>
    <s v="jennykaynz"/>
    <s v="endashnow"/>
    <m/>
    <m/>
    <m/>
    <m/>
    <m/>
    <m/>
    <m/>
    <m/>
    <s v="Yes"/>
    <n v="52"/>
    <m/>
    <m/>
    <s v="Mentions"/>
    <x v="15"/>
    <s v="If families ties are a good reason to make ImmigrationNZ see sense @KrisInMana @PhilTwyford @MBIEgovtNZ what about letting 12YO Arianna join her working parents in NZ? @EndASHnow #EndASHnow _x000a_https://t.co/A1hCE2VS6r"/>
    <s v="https://www.stuff.co.nz/national/immigration/300580917/woman-who-has-overstayed-in-nz-for-16-years-granted-residence-due-to-family-ties"/>
    <s v="co.nz"/>
    <s v="endashnow"/>
    <m/>
    <s v="https://pbs.twimg.com/profile_images/1509686418662068230/6_KXm14m_normal.jpg"/>
    <d v="2022-05-09T01:23:13.000"/>
    <d v="2022-05-09T00:00:00.000"/>
    <s v="01:23:13"/>
    <s v="https://twitter.com/jennykaynz/status/1523473630767706112"/>
    <m/>
    <m/>
    <s v="1523473630767706112"/>
    <m/>
    <b v="0"/>
    <n v="3"/>
    <s v=""/>
    <b v="0"/>
    <s v="en"/>
    <m/>
    <s v=""/>
    <b v="0"/>
    <n v="1"/>
    <s v=""/>
    <s v="Twitter Web App"/>
    <b v="0"/>
    <s v="1523473630767706112"/>
    <s v="Tweet"/>
    <n v="0"/>
    <n v="0"/>
    <m/>
    <m/>
    <m/>
    <m/>
    <m/>
    <m/>
    <m/>
    <m/>
    <n v="2"/>
    <s v="1"/>
    <s v="1"/>
    <m/>
    <m/>
    <m/>
    <m/>
    <m/>
    <m/>
    <m/>
    <m/>
    <m/>
  </r>
  <r>
    <s v="jennykaynz"/>
    <s v="endashnow"/>
    <m/>
    <m/>
    <m/>
    <m/>
    <m/>
    <m/>
    <m/>
    <m/>
    <s v="Yes"/>
    <n v="53"/>
    <m/>
    <m/>
    <s v="Mentions"/>
    <x v="21"/>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09686418662068230/6_KXm14m_normal.jpg"/>
    <d v="2022-05-11T04:47:39.000"/>
    <d v="2022-05-11T00:00:00.000"/>
    <s v="04:47:39"/>
    <s v="https://twitter.com/jennykaynz/status/1524249856658747392"/>
    <m/>
    <m/>
    <s v="1524249856658747392"/>
    <m/>
    <b v="0"/>
    <n v="3"/>
    <s v=""/>
    <b v="0"/>
    <s v="en"/>
    <m/>
    <s v=""/>
    <b v="0"/>
    <n v="2"/>
    <s v=""/>
    <s v="Twitter Web App"/>
    <b v="0"/>
    <s v="1524249856658747392"/>
    <s v="Tweet"/>
    <n v="0"/>
    <n v="0"/>
    <m/>
    <m/>
    <m/>
    <m/>
    <m/>
    <m/>
    <m/>
    <m/>
    <n v="2"/>
    <s v="1"/>
    <s v="1"/>
    <m/>
    <m/>
    <m/>
    <m/>
    <m/>
    <m/>
    <m/>
    <m/>
    <m/>
  </r>
  <r>
    <s v="endashnow"/>
    <s v="jennykaynz"/>
    <m/>
    <m/>
    <m/>
    <m/>
    <m/>
    <m/>
    <m/>
    <m/>
    <s v="Yes"/>
    <n v="54"/>
    <m/>
    <m/>
    <s v="Retweet"/>
    <x v="22"/>
    <s v="Where are changes to #ImmigrationNZ Rules &amp;amp; Policies to make them more humane? @JacindaArdern @KrisInMana @PhilTwyford When can @AriannaGail1 welcome her 12YO daughter to Aotearoa? Will you #EndASHnow @EndASHnow &amp;amp; unite families with disabled kids? #nzpol_x000a_https://t.co/RWkwbApNp0"/>
    <s v="https://www.stuff.co.nz/national/politics/300585646/immigration-overhaul-government-introduces-fasttrack-to-residency-for-some-migrants--but-with-hefty-pay-requirement"/>
    <s v="co.nz"/>
    <s v="immigrationnz endashnow nzpol"/>
    <m/>
    <s v="https://pbs.twimg.com/profile_images/1505255366879293442/znVK6sDd_normal.jpg"/>
    <d v="2022-05-11T07:15:42.000"/>
    <d v="2022-05-11T00:00:00.000"/>
    <s v="07:15:42"/>
    <s v="https://twitter.com/endashnow/status/1524287114099179521"/>
    <m/>
    <m/>
    <s v="1524287114099179521"/>
    <m/>
    <b v="0"/>
    <n v="0"/>
    <s v=""/>
    <b v="0"/>
    <s v="en"/>
    <m/>
    <s v=""/>
    <b v="0"/>
    <n v="2"/>
    <s v="1524249856658747392"/>
    <s v="Twitter for iPhone"/>
    <b v="0"/>
    <s v="1524249856658747392"/>
    <s v="Tweet"/>
    <n v="0"/>
    <n v="0"/>
    <m/>
    <m/>
    <m/>
    <m/>
    <m/>
    <m/>
    <m/>
    <m/>
    <n v="2"/>
    <s v="1"/>
    <s v="1"/>
    <m/>
    <m/>
    <m/>
    <m/>
    <m/>
    <m/>
    <m/>
    <m/>
    <m/>
  </r>
  <r>
    <s v="endashnow"/>
    <s v="jennykaynz"/>
    <m/>
    <m/>
    <m/>
    <m/>
    <m/>
    <m/>
    <m/>
    <m/>
    <s v="Yes"/>
    <n v="55"/>
    <m/>
    <m/>
    <s v="Retweet"/>
    <x v="24"/>
    <s v="Saw @KrisInMana &amp;amp; @JackTame talking on #ImmigrationNZ on @NZQandA. Minister talks of getting people to come to NZ. What of their families? NZ separates families &amp;amp; won't let disabled kids stay with parents. So much for #BeKind. Reputational harm #EndASHnow #EndASHnow #NZQandA"/>
    <m/>
    <m/>
    <s v="immigrationnz bekind endashnow endashnow nzqanda"/>
    <m/>
    <s v="https://pbs.twimg.com/profile_images/1505255366879293442/znVK6sDd_normal.jpg"/>
    <d v="2022-05-15T02:52:50.000"/>
    <d v="2022-05-15T00:00:00.000"/>
    <s v="02:52:50"/>
    <s v="https://twitter.com/endashnow/status/1525670511443083264"/>
    <m/>
    <m/>
    <s v="1525670511443083264"/>
    <m/>
    <b v="0"/>
    <n v="0"/>
    <s v=""/>
    <b v="0"/>
    <s v="en"/>
    <m/>
    <s v=""/>
    <b v="0"/>
    <n v="1"/>
    <s v="1525622058943582208"/>
    <s v="Twitter for iPad"/>
    <b v="0"/>
    <s v="1525622058943582208"/>
    <s v="Tweet"/>
    <n v="0"/>
    <n v="0"/>
    <m/>
    <m/>
    <m/>
    <m/>
    <m/>
    <m/>
    <m/>
    <m/>
    <n v="2"/>
    <s v="1"/>
    <s v="1"/>
    <m/>
    <m/>
    <m/>
    <m/>
    <m/>
    <m/>
    <m/>
    <m/>
    <m/>
  </r>
  <r>
    <s v="jackfra34133784"/>
    <s v="jackfra34133784"/>
    <m/>
    <m/>
    <m/>
    <m/>
    <m/>
    <m/>
    <m/>
    <m/>
    <s v="No"/>
    <n v="56"/>
    <m/>
    <m/>
    <s v="Tweet"/>
    <x v="25"/>
    <s v="Want to get the best assistance for immigration facilities to make your way to NZ? If so, then reaching the Immigration Office in Auckland may become the solitary choice._x000a_#immigrationnz_x000a_#nzimmigration_x000a_#immigrationtonewzealand_x000a_#nzvisa_x000a_#immigrationadvisers_x000a_https://t.co/TFkbOiYn2D https://t.co/cpvUWU1TIk"/>
    <s v="https://nzimmigration.info/"/>
    <s v="nzimmigration.info"/>
    <s v="immigrationnz nzimmigration immigrationtonewzealand nzvisa immigrationadvisers"/>
    <s v="https://pbs.twimg.com/media/FSiPNTKaUAA70vY.png"/>
    <s v="https://pbs.twimg.com/media/FSiPNTKaUAA70vY.png"/>
    <d v="2022-05-12T05:44:41.000"/>
    <d v="2022-05-12T00:00:00.000"/>
    <s v="05:44:41"/>
    <s v="https://twitter.com/jackfra34133784/status/1524626596770226176"/>
    <m/>
    <m/>
    <s v="1524626596770226176"/>
    <m/>
    <b v="0"/>
    <n v="0"/>
    <s v=""/>
    <b v="0"/>
    <s v="en"/>
    <m/>
    <s v=""/>
    <b v="0"/>
    <n v="0"/>
    <s v=""/>
    <s v="Twitter Web App"/>
    <b v="0"/>
    <s v="1524626596770226176"/>
    <s v="Tweet"/>
    <n v="0"/>
    <n v="0"/>
    <m/>
    <m/>
    <m/>
    <m/>
    <m/>
    <m/>
    <m/>
    <m/>
    <n v="2"/>
    <s v="8"/>
    <s v="8"/>
    <n v="1"/>
    <n v="2.9411764705882355"/>
    <n v="0"/>
    <n v="0"/>
    <n v="0"/>
    <n v="0"/>
    <n v="33"/>
    <n v="97.05882352941177"/>
    <n v="34"/>
  </r>
  <r>
    <s v="jackfra34133784"/>
    <s v="jackfra34133784"/>
    <m/>
    <m/>
    <m/>
    <m/>
    <m/>
    <m/>
    <m/>
    <m/>
    <s v="No"/>
    <n v="57"/>
    <m/>
    <m/>
    <s v="Tweet"/>
    <x v="26"/>
    <s v="Want to get the best assistance for immigration facilities to make your way to NZ? If so, then reaching the Immigration Office in Auckland may become the solitary choice._x000a_#immigrationnz_x000a_#nzimmigration_x000a_#immigrationtonewzealand_x000a_#nzvisa_x000a_#immigrationadvisers_x000a_https://t.co/TFkbOiYn2D https://t.co/v4pGHIooSC"/>
    <s v="https://nzimmigration.info/"/>
    <s v="nzimmigration.info"/>
    <s v="immigrationnz nzimmigration immigrationtonewzealand nzvisa immigrationadvisers"/>
    <s v="https://pbs.twimg.com/media/FS23OTmacAAlqE6.png"/>
    <s v="https://pbs.twimg.com/media/FS23OTmacAAlqE6.png"/>
    <d v="2022-05-16T05:55:38.000"/>
    <d v="2022-05-16T00:00:00.000"/>
    <s v="05:55:38"/>
    <s v="https://twitter.com/jackfra34133784/status/1526078903378661376"/>
    <m/>
    <m/>
    <s v="1526078903378661376"/>
    <m/>
    <b v="0"/>
    <n v="0"/>
    <s v=""/>
    <b v="0"/>
    <s v="en"/>
    <m/>
    <s v=""/>
    <b v="0"/>
    <n v="0"/>
    <s v=""/>
    <s v="Twitter Web App"/>
    <b v="0"/>
    <s v="1526078903378661376"/>
    <s v="Tweet"/>
    <n v="0"/>
    <n v="0"/>
    <m/>
    <m/>
    <m/>
    <m/>
    <m/>
    <m/>
    <m/>
    <m/>
    <n v="2"/>
    <s v="8"/>
    <s v="8"/>
    <n v="1"/>
    <n v="2.9411764705882355"/>
    <n v="0"/>
    <n v="0"/>
    <n v="0"/>
    <n v="0"/>
    <n v="33"/>
    <n v="97.05882352941177"/>
    <n v="34"/>
  </r>
  <r>
    <s v="nz_visa_adviser"/>
    <s v="nz_visa_adviser"/>
    <m/>
    <m/>
    <m/>
    <m/>
    <m/>
    <m/>
    <m/>
    <m/>
    <s v="No"/>
    <n v="58"/>
    <m/>
    <m/>
    <s v="Tweet"/>
    <x v="27"/>
    <s v="📝 Get immigration advice that matters._x000a_👉 Get Assessed - https://t.co/HsqeC3qmTK_x000a__x000a_#Immigrants #ImmigrationPolicy #ImmigrationNZ #ImmigrationNews #PartnershipVisa #Migration #ResidenceVisa #NZ #NewZealand  #VandanaRai #IANZ #FreeAssessment #ImmigrationLawyer  #ImmigrationAdvisers https://t.co/nyPrSgbjeh"/>
    <s v="https://nzimmigration.info/visa-query-form/?utm_source=Social+Media&amp;utm_medium=FB&amp;utm_campaign=Branding+SJ+7+May+2022"/>
    <s v="nzimmigration.info"/>
    <s v="immigrants immigrationpolicy immigrationnz immigrationnews partnershipvisa migration residencevisa nz newzealand vandanarai ianz freeassessment immigrationlawyer immigrationadvisers"/>
    <s v="https://pbs.twimg.com/media/FSGnzTyXwAIV4vx.jpg"/>
    <s v="https://pbs.twimg.com/media/FSGnzTyXwAIV4vx.jpg"/>
    <d v="2022-05-06T21:00:08.000"/>
    <d v="2022-05-06T00:00:00.000"/>
    <s v="21:00:08"/>
    <s v="https://twitter.com/nz_visa_adviser/status/1522682651693535233"/>
    <m/>
    <m/>
    <s v="1522682651693535233"/>
    <m/>
    <b v="0"/>
    <n v="1"/>
    <s v=""/>
    <b v="0"/>
    <s v="en"/>
    <m/>
    <s v=""/>
    <b v="0"/>
    <n v="1"/>
    <s v=""/>
    <s v="Kontentino"/>
    <b v="0"/>
    <s v="1522682651693535233"/>
    <s v="Retweet"/>
    <n v="0"/>
    <n v="0"/>
    <m/>
    <m/>
    <m/>
    <m/>
    <m/>
    <m/>
    <m/>
    <m/>
    <n v="2"/>
    <s v="3"/>
    <s v="3"/>
    <n v="0"/>
    <n v="0"/>
    <n v="0"/>
    <n v="0"/>
    <n v="0"/>
    <n v="0"/>
    <n v="21"/>
    <n v="100"/>
    <n v="21"/>
  </r>
  <r>
    <s v="nz_visa_adviser"/>
    <s v="nz_visa_adviser"/>
    <m/>
    <m/>
    <m/>
    <m/>
    <m/>
    <m/>
    <m/>
    <m/>
    <s v="No"/>
    <n v="59"/>
    <m/>
    <m/>
    <s v="Tweet"/>
    <x v="28"/>
    <s v="📝 Why is it #important to declare #VisaRefusals _x000a_📌 Making #FalseDeclaration has #implications_x000a_👉 Read More - https://t.co/au0iFIO5lq_x000a__x000a_#Blogs #MigrationAdvice #Visa #VandanaRai #ImmigrationNZ #ImmigrationAdvisers #IANZ #Newblog #Blogger #Newsletter #Policies #VisaRefusal #Blog"/>
    <s v="https://nzimmigration.info/visa-application-why-must-you-always-declare-your-previous-visa-refusals/?utm_source=Social+Media&amp;utm_medium=FB&amp;utm_campaign=+Study+Blog+SJ++10+May+2022"/>
    <s v="nzimmigration.info"/>
    <s v="important visarefusals falsedeclaration implications blogs migrationadvice visa vandanarai immigrationnz immigrationadvisers ianz newblog blogger newsletter policies visarefusal blog"/>
    <m/>
    <s v="https://pbs.twimg.com/profile_images/1275711829466066944/9_DECb_s_normal.jpg"/>
    <d v="2022-05-09T21:00:27.000"/>
    <d v="2022-05-09T00:00:00.000"/>
    <s v="21:00:27"/>
    <s v="https://twitter.com/nz_visa_adviser/status/1523769891697926146"/>
    <m/>
    <m/>
    <s v="1523769891697926146"/>
    <m/>
    <b v="0"/>
    <n v="1"/>
    <s v=""/>
    <b v="0"/>
    <s v="en"/>
    <m/>
    <s v=""/>
    <b v="0"/>
    <n v="1"/>
    <s v=""/>
    <s v="Kontentino"/>
    <b v="0"/>
    <s v="1523769891697926146"/>
    <s v="Tweet"/>
    <n v="0"/>
    <n v="0"/>
    <m/>
    <m/>
    <m/>
    <m/>
    <m/>
    <m/>
    <m/>
    <m/>
    <n v="2"/>
    <s v="3"/>
    <s v="3"/>
    <n v="1"/>
    <n v="3.8461538461538463"/>
    <n v="0"/>
    <n v="0"/>
    <n v="0"/>
    <n v="0"/>
    <n v="25"/>
    <n v="96.15384615384616"/>
    <n v="26"/>
  </r>
  <r>
    <s v="dhruvpa39231878"/>
    <s v="nz_visa_adviser"/>
    <m/>
    <m/>
    <m/>
    <m/>
    <m/>
    <m/>
    <m/>
    <m/>
    <s v="No"/>
    <n v="60"/>
    <m/>
    <m/>
    <s v="Retweet"/>
    <x v="29"/>
    <s v="📝 Get immigration advice that matters._x000a_👉 Get Assessed - https://t.co/HsqeC3qmTK_x000a__x000a_#Immigrants #ImmigrationPolicy #ImmigrationNZ #ImmigrationNews #PartnershipVisa #Migration #ResidenceVisa #NZ #NewZealand  #VandanaRai #IANZ #FreeAssessment #ImmigrationLawyer  #ImmigrationAdvisers https://t.co/nyPrSgbjeh"/>
    <s v="https://nzimmigration.info/visa-query-form/?utm_source=Social+Media&amp;utm_medium=FB&amp;utm_campaign=Branding+SJ+7+May+2022"/>
    <s v="nzimmigration.info"/>
    <s v="immigrants immigrationpolicy"/>
    <s v="https://pbs.twimg.com/media/FSGnzTyXwAIV4vx.jpg"/>
    <s v="https://pbs.twimg.com/media/FSGnzTyXwAIV4vx.jpg"/>
    <d v="2022-05-16T06:30:44.000"/>
    <d v="2022-05-16T00:00:00.000"/>
    <s v="06:30:44"/>
    <s v="https://twitter.com/dhruvpa39231878/status/1526087738331521024"/>
    <m/>
    <m/>
    <s v="1526087738331521024"/>
    <m/>
    <b v="0"/>
    <n v="0"/>
    <s v=""/>
    <b v="0"/>
    <s v="en"/>
    <m/>
    <s v=""/>
    <b v="0"/>
    <n v="1"/>
    <s v="1522682651693535233"/>
    <s v="Twitter for Android"/>
    <b v="0"/>
    <s v="1522682651693535233"/>
    <s v="Tweet"/>
    <n v="0"/>
    <n v="0"/>
    <m/>
    <m/>
    <m/>
    <m/>
    <m/>
    <m/>
    <m/>
    <m/>
    <n v="1"/>
    <s v="3"/>
    <s v="3"/>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5"/>
    </i>
    <i r="2">
      <x v="127"/>
    </i>
    <i r="2">
      <x v="129"/>
    </i>
    <i r="2">
      <x v="130"/>
    </i>
    <i r="2">
      <x v="131"/>
    </i>
    <i r="2">
      <x v="132"/>
    </i>
    <i r="2">
      <x v="133"/>
    </i>
    <i r="2">
      <x v="134"/>
    </i>
    <i r="2">
      <x v="135"/>
    </i>
    <i r="2">
      <x v="136"/>
    </i>
    <i r="2">
      <x v="137"/>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60" totalsRowShown="0" headerRowDxfId="469" dataDxfId="433">
  <autoFilter ref="A2:BN60"/>
  <tableColumns count="66">
    <tableColumn id="1" name="Vertex 1" dataDxfId="414"/>
    <tableColumn id="2" name="Vertex 2" dataDxfId="412"/>
    <tableColumn id="3" name="Color" dataDxfId="413"/>
    <tableColumn id="4" name="Width" dataDxfId="442"/>
    <tableColumn id="11" name="Style" dataDxfId="441"/>
    <tableColumn id="5" name="Opacity" dataDxfId="440"/>
    <tableColumn id="6" name="Visibility" dataDxfId="439"/>
    <tableColumn id="10" name="Label" dataDxfId="438"/>
    <tableColumn id="12" name="Label Text Color" dataDxfId="437"/>
    <tableColumn id="13" name="Label Font Size" dataDxfId="436"/>
    <tableColumn id="14" name="Reciprocated?" dataDxfId="318"/>
    <tableColumn id="7" name="ID" dataDxfId="435"/>
    <tableColumn id="9" name="Dynamic Filter" dataDxfId="434"/>
    <tableColumn id="8" name="Add Your Own Columns Here" dataDxfId="411"/>
    <tableColumn id="15" name="Relationship" dataDxfId="410"/>
    <tableColumn id="16" name="Relationship Date (UTC)" dataDxfId="409"/>
    <tableColumn id="17" name="Tweet" dataDxfId="408"/>
    <tableColumn id="18" name="URLs in Tweet" dataDxfId="407"/>
    <tableColumn id="19" name="Domains in Tweet" dataDxfId="406"/>
    <tableColumn id="20" name="Hashtags in Tweet" dataDxfId="405"/>
    <tableColumn id="21" name="Media in Tweet" dataDxfId="404"/>
    <tableColumn id="22" name="Tweet Image File" dataDxfId="403"/>
    <tableColumn id="23" name="Tweet Date (UTC)" dataDxfId="402"/>
    <tableColumn id="24" name="Date" dataDxfId="401"/>
    <tableColumn id="25" name="Time" dataDxfId="400"/>
    <tableColumn id="26" name="Twitter Page for Tweet" dataDxfId="399"/>
    <tableColumn id="27" name="Latitude" dataDxfId="398"/>
    <tableColumn id="28" name="Longitude" dataDxfId="397"/>
    <tableColumn id="29" name="Imported ID" dataDxfId="396"/>
    <tableColumn id="30" name="In-Reply-To Tweet ID" dataDxfId="395"/>
    <tableColumn id="31" name="Favorited" dataDxfId="394"/>
    <tableColumn id="32" name="Favorite Count" dataDxfId="393"/>
    <tableColumn id="33" name="In-Reply-To User ID" dataDxfId="392"/>
    <tableColumn id="34" name="Is Quote Status" dataDxfId="391"/>
    <tableColumn id="35" name="Language" dataDxfId="390"/>
    <tableColumn id="36" name="Possibly Sensitive" dataDxfId="389"/>
    <tableColumn id="37" name="Quoted Status ID" dataDxfId="388"/>
    <tableColumn id="38" name="Retweeted" dataDxfId="387"/>
    <tableColumn id="39" name="Retweet Count" dataDxfId="386"/>
    <tableColumn id="40" name="Retweet ID" dataDxfId="385"/>
    <tableColumn id="41" name="Source" dataDxfId="384"/>
    <tableColumn id="42" name="Truncated" dataDxfId="383"/>
    <tableColumn id="43" name="Unified Twitter ID" dataDxfId="382"/>
    <tableColumn id="44" name="Imported Tweet Type" dataDxfId="381"/>
    <tableColumn id="45" name="Added By Extended Analysis" dataDxfId="380"/>
    <tableColumn id="46" name="Corrected By Extended Analysis" dataDxfId="379"/>
    <tableColumn id="47" name="Place Bounding Box" dataDxfId="378"/>
    <tableColumn id="48" name="Place Country" dataDxfId="377"/>
    <tableColumn id="49" name="Place Country Code" dataDxfId="376"/>
    <tableColumn id="50" name="Place Full Name" dataDxfId="375"/>
    <tableColumn id="51" name="Place ID" dataDxfId="374"/>
    <tableColumn id="52" name="Place Name" dataDxfId="373"/>
    <tableColumn id="53" name="Place Type" dataDxfId="372"/>
    <tableColumn id="54" name="Place URL" dataDxfId="371"/>
    <tableColumn id="55" name="Edge Weight"/>
    <tableColumn id="56" name="Vertex 1 Group" dataDxfId="333">
      <calculatedColumnFormula>REPLACE(INDEX(GroupVertices[Group], MATCH(Edges[[#This Row],[Vertex 1]],GroupVertices[Vertex],0)),1,1,"")</calculatedColumnFormula>
    </tableColumn>
    <tableColumn id="57" name="Vertex 2 Group" dataDxfId="294">
      <calculatedColumnFormula>REPLACE(INDEX(GroupVertices[Group], MATCH(Edges[[#This Row],[Vertex 2]],GroupVertices[Vertex],0)),1,1,"")</calculatedColumnFormula>
    </tableColumn>
    <tableColumn id="58" name="Sentiment List #1: List1 Word Count" dataDxfId="293"/>
    <tableColumn id="59" name="Sentiment List #1: List1 Word Percentage (%)" dataDxfId="292"/>
    <tableColumn id="60" name="Sentiment List #2: List2 Word Count" dataDxfId="291"/>
    <tableColumn id="61" name="Sentiment List #2: List2 Word Percentage (%)" dataDxfId="290"/>
    <tableColumn id="62" name="Sentiment List #3: List3 Word Count" dataDxfId="289"/>
    <tableColumn id="63" name="Sentiment List #3: List3 Word Percentage (%)" dataDxfId="288"/>
    <tableColumn id="64" name="Non-categorized Word Count" dataDxfId="287"/>
    <tableColumn id="65" name="Non-categorized Word Percentage (%)" dataDxfId="286"/>
    <tableColumn id="66" name="Edge Content Word Count" dataDxfId="28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5" name="Words" displayName="Words" ref="A1:G272" totalsRowShown="0" headerRowDxfId="317" dataDxfId="316">
  <autoFilter ref="A1:G272"/>
  <tableColumns count="7">
    <tableColumn id="1" name="Word" dataDxfId="315"/>
    <tableColumn id="2" name="Count" dataDxfId="314"/>
    <tableColumn id="3" name="Salience" dataDxfId="313"/>
    <tableColumn id="4" name="Group" dataDxfId="312"/>
    <tableColumn id="5" name="Word on Sentiment List #1: List1" dataDxfId="311"/>
    <tableColumn id="6" name="Word on Sentiment List #2: List2" dataDxfId="310"/>
    <tableColumn id="7" name="Word on Sentiment List #3: List3" dataDxfId="309"/>
  </tableColumns>
  <tableStyleInfo name="NodeXL Table" showFirstColumn="0" showLastColumn="0" showRowStripes="1" showColumnStripes="0"/>
</table>
</file>

<file path=xl/tables/table12.xml><?xml version="1.0" encoding="utf-8"?>
<table xmlns="http://schemas.openxmlformats.org/spreadsheetml/2006/main" id="26" name="WordPairs" displayName="WordPairs" ref="A1:L272" totalsRowShown="0" headerRowDxfId="308" dataDxfId="307">
  <autoFilter ref="A1:L272"/>
  <tableColumns count="12">
    <tableColumn id="1" name="Word 1" dataDxfId="306"/>
    <tableColumn id="2" name="Word 2" dataDxfId="305"/>
    <tableColumn id="3" name="Count" dataDxfId="304"/>
    <tableColumn id="4" name="Salience" dataDxfId="303"/>
    <tableColumn id="5" name="Mutual Information" dataDxfId="302"/>
    <tableColumn id="6" name="Group" dataDxfId="301"/>
    <tableColumn id="7" name="Word1 on Sentiment List #1: List1" dataDxfId="300"/>
    <tableColumn id="8" name="Word1 on Sentiment List #2: List2" dataDxfId="299"/>
    <tableColumn id="9" name="Word1 on Sentiment List #3: List3" dataDxfId="298"/>
    <tableColumn id="10" name="Word2 on Sentiment List #1: List1" dataDxfId="297"/>
    <tableColumn id="11" name="Word2 on Sentiment List #2: List2" dataDxfId="296"/>
    <tableColumn id="12" name="Word2 on Sentiment List #3: List3" dataDxfId="295"/>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4" totalsRowShown="0" headerRowDxfId="418" dataDxfId="417">
  <autoFilter ref="A2:C14"/>
  <tableColumns count="3">
    <tableColumn id="1" name="Group 1" dataDxfId="266"/>
    <tableColumn id="2" name="Group 2" dataDxfId="265"/>
    <tableColumn id="3" name="Edges" dataDxfId="264"/>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416" dataDxfId="415">
  <autoFilter ref="A1:B7"/>
  <tableColumns count="2">
    <tableColumn id="1" name="Key" dataDxfId="248"/>
    <tableColumn id="2" name="Value" dataDxfId="247"/>
  </tableColumns>
  <tableStyleInfo name="NodeXL Table" showFirstColumn="0" showLastColumn="0" showRowStripes="1" showColumnStripes="0"/>
</table>
</file>

<file path=xl/tables/table15.xml><?xml version="1.0" encoding="utf-8"?>
<table xmlns="http://schemas.openxmlformats.org/spreadsheetml/2006/main" id="2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6.xml><?xml version="1.0" encoding="utf-8"?>
<table xmlns="http://schemas.openxmlformats.org/spreadsheetml/2006/main" id="2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17.xml><?xml version="1.0" encoding="utf-8"?>
<table xmlns="http://schemas.openxmlformats.org/spreadsheetml/2006/main" id="29" name="NetworkTopItems_2" displayName="NetworkTopItems_2" ref="A14:R18" totalsRowShown="0" headerRowDxfId="225" dataDxfId="224">
  <autoFilter ref="A14:R18"/>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18.xml><?xml version="1.0" encoding="utf-8"?>
<table xmlns="http://schemas.openxmlformats.org/spreadsheetml/2006/main" id="30" name="NetworkTopItems_3" displayName="NetworkTopItems_3" ref="A21:R31" totalsRowShown="0" headerRowDxfId="204" dataDxfId="203">
  <autoFilter ref="A21:R31"/>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19.xml><?xml version="1.0" encoding="utf-8"?>
<table xmlns="http://schemas.openxmlformats.org/spreadsheetml/2006/main" id="31" name="NetworkTopItems_4" displayName="NetworkTopItems_4" ref="A34:R44" totalsRowShown="0" headerRowDxfId="183" dataDxfId="182">
  <autoFilter ref="A34:R44"/>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468" dataDxfId="419">
  <autoFilter ref="A2:BT28"/>
  <tableColumns count="72">
    <tableColumn id="1" name="Vertex" dataDxfId="432"/>
    <tableColumn id="2" name="Color" dataDxfId="431"/>
    <tableColumn id="5" name="Shape" dataDxfId="430"/>
    <tableColumn id="6" name="Size" dataDxfId="429"/>
    <tableColumn id="4" name="Opacity" dataDxfId="350"/>
    <tableColumn id="7" name="Image File" dataDxfId="348"/>
    <tableColumn id="3" name="Visibility" dataDxfId="349"/>
    <tableColumn id="10" name="Label" dataDxfId="428"/>
    <tableColumn id="16" name="Label Fill Color" dataDxfId="427"/>
    <tableColumn id="9" name="Label Position" dataDxfId="344"/>
    <tableColumn id="8" name="Tooltip" dataDxfId="342"/>
    <tableColumn id="18" name="Layout Order" dataDxfId="343"/>
    <tableColumn id="13" name="X" dataDxfId="426"/>
    <tableColumn id="14" name="Y" dataDxfId="425"/>
    <tableColumn id="12" name="Locked?" dataDxfId="424"/>
    <tableColumn id="19" name="Polar R" dataDxfId="423"/>
    <tableColumn id="20" name="Polar Angle" dataDxfId="422"/>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21"/>
    <tableColumn id="28" name="Dynamic Filter" dataDxfId="420"/>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47"/>
    <tableColumn id="50" name="Custom Menu Item Text" dataDxfId="346"/>
    <tableColumn id="51" name="Custom Menu Item Action" dataDxfId="345"/>
    <tableColumn id="52" name="Tweeted Search Term?" dataDxfId="334"/>
    <tableColumn id="53" name="Vertex Group" dataDxfId="284">
      <calculatedColumnFormula>REPLACE(INDEX(GroupVertices[Group], MATCH(Vertices[[#This Row],[Vertex]],GroupVertices[Vertex],0)),1,1,"")</calculatedColumnFormula>
    </tableColumn>
    <tableColumn id="54" name="Sentiment List #1: List1 Word Count" dataDxfId="283"/>
    <tableColumn id="55" name="Sentiment List #1: List1 Word Percentage (%)" dataDxfId="282"/>
    <tableColumn id="56" name="Sentiment List #2: List2 Word Count" dataDxfId="281"/>
    <tableColumn id="57" name="Sentiment List #2: List2 Word Percentage (%)" dataDxfId="280"/>
    <tableColumn id="58" name="Sentiment List #3: List3 Word Count" dataDxfId="279"/>
    <tableColumn id="59" name="Sentiment List #3: List3 Word Percentage (%)" dataDxfId="278"/>
    <tableColumn id="60" name="Non-categorized Word Count" dataDxfId="277"/>
    <tableColumn id="61" name="Non-categorized Word Percentage (%)" dataDxfId="27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32" name="NetworkTopItems_5" displayName="NetworkTopItems_5" ref="A47:R57" totalsRowShown="0" headerRowDxfId="162" dataDxfId="161">
  <autoFilter ref="A47:R57"/>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1.xml><?xml version="1.0" encoding="utf-8"?>
<table xmlns="http://schemas.openxmlformats.org/spreadsheetml/2006/main" id="33" name="NetworkTopItems_6" displayName="NetworkTopItems_6" ref="A60:R65" totalsRowShown="0" headerRowDxfId="141" dataDxfId="140">
  <autoFilter ref="A60:R65"/>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2.xml><?xml version="1.0" encoding="utf-8"?>
<table xmlns="http://schemas.openxmlformats.org/spreadsheetml/2006/main" id="34" name="NetworkTopItems_7" displayName="NetworkTopItems_7" ref="A68:R78" totalsRowShown="0" headerRowDxfId="138" dataDxfId="137">
  <autoFilter ref="A68:R78"/>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3.xml><?xml version="1.0" encoding="utf-8"?>
<table xmlns="http://schemas.openxmlformats.org/spreadsheetml/2006/main" id="35" name="NetworkTopItems_8" displayName="NetworkTopItems_8" ref="A81:R91" totalsRowShown="0" headerRowDxfId="99" dataDxfId="98">
  <autoFilter ref="A81:R91"/>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24.xml><?xml version="1.0" encoding="utf-8"?>
<table xmlns="http://schemas.openxmlformats.org/spreadsheetml/2006/main" id="36" name="Edges37" displayName="Edges37" ref="A2:BN60" totalsRowShown="0" headerRowDxfId="66" dataDxfId="65">
  <autoFilter ref="A2:BN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MATCH(Edges37[[#This Row],[Vertex 1]],GroupVertices[Vertex],0)),1,1,"")</calculatedColumnFormula>
    </tableColumn>
    <tableColumn id="57" name="Vertex 2 Group" dataDxfId="9">
      <calculatedColumnFormula>REPLACE(INDEX(GroupVertices[Group], MATCH(Edges37[[#This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67">
  <autoFilter ref="A2:AO10"/>
  <tableColumns count="41">
    <tableColumn id="1" name="Group" dataDxfId="341"/>
    <tableColumn id="2" name="Vertex Color" dataDxfId="340"/>
    <tableColumn id="3" name="Vertex Shape" dataDxfId="338"/>
    <tableColumn id="22" name="Visibility" dataDxfId="339"/>
    <tableColumn id="4" name="Collapsed?"/>
    <tableColumn id="18" name="Label" dataDxfId="466"/>
    <tableColumn id="20" name="Collapsed X"/>
    <tableColumn id="21" name="Collapsed Y"/>
    <tableColumn id="6" name="ID" dataDxfId="465"/>
    <tableColumn id="19" name="Collapsed Properties" dataDxfId="332"/>
    <tableColumn id="5" name="Vertices" dataDxfId="331"/>
    <tableColumn id="7" name="Unique Edges" dataDxfId="330"/>
    <tableColumn id="8" name="Edges With Duplicates" dataDxfId="329"/>
    <tableColumn id="9" name="Total Edges" dataDxfId="328"/>
    <tableColumn id="10" name="Self-Loops" dataDxfId="327"/>
    <tableColumn id="24" name="Reciprocated Vertex Pair Ratio" dataDxfId="326"/>
    <tableColumn id="25" name="Reciprocated Edge Ratio" dataDxfId="325"/>
    <tableColumn id="11" name="Connected Components" dataDxfId="324"/>
    <tableColumn id="12" name="Single-Vertex Connected Components" dataDxfId="323"/>
    <tableColumn id="13" name="Maximum Vertices in a Connected Component" dataDxfId="322"/>
    <tableColumn id="14" name="Maximum Edges in a Connected Component" dataDxfId="321"/>
    <tableColumn id="15" name="Maximum Geodesic Distance (Diameter)" dataDxfId="320"/>
    <tableColumn id="16" name="Average Geodesic Distance" dataDxfId="319"/>
    <tableColumn id="17" name="Graph Density" dataDxfId="275"/>
    <tableColumn id="23" name="Sentiment List #1: List1 Word Count" dataDxfId="274"/>
    <tableColumn id="26" name="Sentiment List #1: List1 Word Percentage (%)" dataDxfId="273"/>
    <tableColumn id="27" name="Sentiment List #2: List2 Word Count" dataDxfId="272"/>
    <tableColumn id="28" name="Sentiment List #2: List2 Word Percentage (%)" dataDxfId="271"/>
    <tableColumn id="29" name="Sentiment List #3: List3 Word Count" dataDxfId="270"/>
    <tableColumn id="30" name="Sentiment List #3: List3 Word Percentage (%)" dataDxfId="269"/>
    <tableColumn id="31" name="Non-categorized Word Count" dataDxfId="268"/>
    <tableColumn id="32" name="Non-categorized Word Percentage (%)" dataDxfId="267"/>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464" dataDxfId="463">
  <autoFilter ref="A1:C27"/>
  <tableColumns count="3">
    <tableColumn id="1" name="Group" dataDxfId="337"/>
    <tableColumn id="2" name="Vertex" dataDxfId="336"/>
    <tableColumn id="3" name="Vertex ID" dataDxfId="33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3"/>
    <tableColumn id="2" name="Value" dataDxfId="26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62"/>
    <tableColumn id="2" name="Degree Frequency" dataDxfId="461">
      <calculatedColumnFormula>COUNTIF(Vertices[Degree], "&gt;= " &amp; D2) - COUNTIF(Vertices[Degree], "&gt;=" &amp; D3)</calculatedColumnFormula>
    </tableColumn>
    <tableColumn id="3" name="In-Degree Bin" dataDxfId="460"/>
    <tableColumn id="4" name="In-Degree Frequency" dataDxfId="459">
      <calculatedColumnFormula>COUNTIF(Vertices[In-Degree], "&gt;= " &amp; F2) - COUNTIF(Vertices[In-Degree], "&gt;=" &amp; F3)</calculatedColumnFormula>
    </tableColumn>
    <tableColumn id="5" name="Out-Degree Bin" dataDxfId="458"/>
    <tableColumn id="6" name="Out-Degree Frequency" dataDxfId="457">
      <calculatedColumnFormula>COUNTIF(Vertices[Out-Degree], "&gt;= " &amp; H2) - COUNTIF(Vertices[Out-Degree], "&gt;=" &amp; H3)</calculatedColumnFormula>
    </tableColumn>
    <tableColumn id="7" name="Betweenness Centrality Bin" dataDxfId="456"/>
    <tableColumn id="8" name="Betweenness Centrality Frequency" dataDxfId="455">
      <calculatedColumnFormula>COUNTIF(Vertices[Betweenness Centrality], "&gt;= " &amp; J2) - COUNTIF(Vertices[Betweenness Centrality], "&gt;=" &amp; J3)</calculatedColumnFormula>
    </tableColumn>
    <tableColumn id="9" name="Closeness Centrality Bin" dataDxfId="454"/>
    <tableColumn id="10" name="Closeness Centrality Frequency" dataDxfId="453">
      <calculatedColumnFormula>COUNTIF(Vertices[Closeness Centrality], "&gt;= " &amp; L2) - COUNTIF(Vertices[Closeness Centrality], "&gt;=" &amp; L3)</calculatedColumnFormula>
    </tableColumn>
    <tableColumn id="11" name="Eigenvector Centrality Bin" dataDxfId="452"/>
    <tableColumn id="12" name="Eigenvector Centrality Frequency" dataDxfId="451">
      <calculatedColumnFormula>COUNTIF(Vertices[Eigenvector Centrality], "&gt;= " &amp; N2) - COUNTIF(Vertices[Eigenvector Centrality], "&gt;=" &amp; N3)</calculatedColumnFormula>
    </tableColumn>
    <tableColumn id="18" name="PageRank Bin" dataDxfId="450"/>
    <tableColumn id="17" name="PageRank Frequency" dataDxfId="449">
      <calculatedColumnFormula>COUNTIF(Vertices[Eigenvector Centrality], "&gt;= " &amp; P2) - COUNTIF(Vertices[Eigenvector Centrality], "&gt;=" &amp; P3)</calculatedColumnFormula>
    </tableColumn>
    <tableColumn id="13" name="Clustering Coefficient Bin" dataDxfId="448"/>
    <tableColumn id="14" name="Clustering Coefficient Frequency" dataDxfId="447">
      <calculatedColumnFormula>COUNTIF(Vertices[Clustering Coefficient], "&gt;= " &amp; R2) - COUNTIF(Vertices[Clustering Coefficient], "&gt;=" &amp; R3)</calculatedColumnFormula>
    </tableColumn>
    <tableColumn id="15" name="Dynamic Filter Bin" dataDxfId="446"/>
    <tableColumn id="16" name="Dynamic Filter Frequency" dataDxfId="4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8" totalsRowShown="0" headerRowDxfId="444">
  <autoFilter ref="J1:K2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stuff.co.nz/national/politics/300585646/immigration-overhaul-government-introduces-fasttrack-to-residency-for-some-migrants--but-with-hefty-pay-requirement" TargetMode="External" /><Relationship Id="rId2" Type="http://schemas.openxmlformats.org/officeDocument/2006/relationships/hyperlink" Target="https://nzimmigration.info/visa-query-form/?utm_source=Social+Media&amp;utm_medium=FB&amp;utm_campaign=Branding+SJ+7+May+2022" TargetMode="External" /><Relationship Id="rId3" Type="http://schemas.openxmlformats.org/officeDocument/2006/relationships/hyperlink" Target="https://nzimmigration.info/" TargetMode="External" /><Relationship Id="rId4" Type="http://schemas.openxmlformats.org/officeDocument/2006/relationships/hyperlink" Target="https://www.stuff.co.nz/national/immigration/300580917/woman-who-has-overstayed-in-nz-for-16-years-granted-residence-due-to-family-ties" TargetMode="External" /><Relationship Id="rId5" Type="http://schemas.openxmlformats.org/officeDocument/2006/relationships/hyperlink" Target="https://www.stuff.co.nz/pou-tiaki/128476403/very-painful-family-split-between-nz-and-philippines-over-immigration-health-policy" TargetMode="External" /><Relationship Id="rId6" Type="http://schemas.openxmlformats.org/officeDocument/2006/relationships/hyperlink" Target="https://twitter.com/JennyKayNZ/status/1524249856658747392" TargetMode="External" /><Relationship Id="rId7" Type="http://schemas.openxmlformats.org/officeDocument/2006/relationships/hyperlink" Target="https://nzimmigration.info/visa-application-why-must-you-always-declare-your-previous-visa-refusals/?utm_source=Social+Media&amp;utm_medium=FB&amp;utm_campaign=+Study+Blog+SJ++10+May+2022" TargetMode="External" /><Relationship Id="rId8" Type="http://schemas.openxmlformats.org/officeDocument/2006/relationships/hyperlink" Target="https://nzccss.org.nz/wp-content/uploads/NZCCSS-Manifesto-Tracker-May-2022.pdf" TargetMode="External" /><Relationship Id="rId9" Type="http://schemas.openxmlformats.org/officeDocument/2006/relationships/hyperlink" Target="https://www.indianweekender.co.nz/Pages/ArticleDetails/7/19650/New-Zealand/Immigration-Rebalance-International-students-will-have-to-show-5000-for-post-st" TargetMode="External" /><Relationship Id="rId10" Type="http://schemas.openxmlformats.org/officeDocument/2006/relationships/hyperlink" Target="https://www.indianweekender.co.nz/Pages/ArticleDetails/7/19648/New-Zealand/Immigration-re-balance-plan-Partners-of-future-work-visa-holders-to-not-get-ope" TargetMode="External" /><Relationship Id="rId11" Type="http://schemas.openxmlformats.org/officeDocument/2006/relationships/hyperlink" Target="https://www.stuff.co.nz/national/politics/300585646/immigration-overhaul-government-introduces-fasttrack-to-residency-for-some-migrants--but-with-hefty-pay-requirement" TargetMode="External" /><Relationship Id="rId12" Type="http://schemas.openxmlformats.org/officeDocument/2006/relationships/hyperlink" Target="https://nzccss.org.nz/wp-content/uploads/NZCCSS-Manifesto-Tracker-May-2022.pdf" TargetMode="External" /><Relationship Id="rId13" Type="http://schemas.openxmlformats.org/officeDocument/2006/relationships/hyperlink" Target="https://www.stuff.co.nz/pou-tiaki/128476403/very-painful-family-split-between-nz-and-philippines-over-immigration-health-policy" TargetMode="External" /><Relationship Id="rId14" Type="http://schemas.openxmlformats.org/officeDocument/2006/relationships/hyperlink" Target="https://twitter.com/JennyKayNZ/status/1524249856658747392" TargetMode="External" /><Relationship Id="rId15" Type="http://schemas.openxmlformats.org/officeDocument/2006/relationships/hyperlink" Target="https://www.stuff.co.nz/national/immigration/300580917/woman-who-has-overstayed-in-nz-for-16-years-granted-residence-due-to-family-ties" TargetMode="External" /><Relationship Id="rId16" Type="http://schemas.openxmlformats.org/officeDocument/2006/relationships/hyperlink" Target="https://www.stuff.co.nz/national/politics/300585646/immigration-overhaul-government-introduces-fasttrack-to-residency-for-some-migrants--but-with-hefty-pay-requirement" TargetMode="External" /><Relationship Id="rId17" Type="http://schemas.openxmlformats.org/officeDocument/2006/relationships/hyperlink" Target="https://www.stuff.co.nz/pou-tiaki/128476403/very-painful-family-split-between-nz-and-philippines-over-immigration-health-policy" TargetMode="External" /><Relationship Id="rId18" Type="http://schemas.openxmlformats.org/officeDocument/2006/relationships/hyperlink" Target="https://twitter.com/JennyKayNZ/status/1524249856658747392" TargetMode="External" /><Relationship Id="rId19" Type="http://schemas.openxmlformats.org/officeDocument/2006/relationships/hyperlink" Target="https://www.stuff.co.nz/national/immigration/300580917/woman-who-has-overstayed-in-nz-for-16-years-granted-residence-due-to-family-ties" TargetMode="External" /><Relationship Id="rId20" Type="http://schemas.openxmlformats.org/officeDocument/2006/relationships/hyperlink" Target="https://nzimmigration.info/visa-query-form/?utm_source=Social+Media&amp;utm_medium=FB&amp;utm_campaign=Branding+SJ+7+May+2022" TargetMode="External" /><Relationship Id="rId21" Type="http://schemas.openxmlformats.org/officeDocument/2006/relationships/hyperlink" Target="https://nzimmigration.info/visa-application-why-must-you-always-declare-your-previous-visa-refusals/?utm_source=Social+Media&amp;utm_medium=FB&amp;utm_campaign=+Study+Blog+SJ++10+May+2022" TargetMode="External" /><Relationship Id="rId22" Type="http://schemas.openxmlformats.org/officeDocument/2006/relationships/hyperlink" Target="https://www.odt.co.nz/news/national/defeated-couples-visa-heartbreak-after-application-fiasco" TargetMode="External" /><Relationship Id="rId23" Type="http://schemas.openxmlformats.org/officeDocument/2006/relationships/hyperlink" Target="https://www.indianweekender.co.nz/Pages/ArticleDetails/7/19650/New-Zealand/Immigration-Rebalance-International-students-will-have-to-show-5000-for-post-st" TargetMode="External" /><Relationship Id="rId24" Type="http://schemas.openxmlformats.org/officeDocument/2006/relationships/hyperlink" Target="https://www.indianweekender.co.nz/Pages/ArticleDetails/7/19623/New-Zealand/Migrants-Facebook-group-folds-over-legal-fears" TargetMode="External" /><Relationship Id="rId25" Type="http://schemas.openxmlformats.org/officeDocument/2006/relationships/hyperlink" Target="https://www.indianweekender.co.nz/Pages/ArticleDetails/7/19630/New-Zealand/Government-expected-to-reveal-new-border-re-opening-date" TargetMode="External" /><Relationship Id="rId26" Type="http://schemas.openxmlformats.org/officeDocument/2006/relationships/hyperlink" Target="https://www.indianweekender.co.nz/Pages/ArticleDetails/7/19648/New-Zealand/Immigration-re-balance-plan-Partners-of-future-work-visa-holders-to-not-get-ope" TargetMode="External" /><Relationship Id="rId27" Type="http://schemas.openxmlformats.org/officeDocument/2006/relationships/hyperlink" Target="https://www.newsroom.co.nz/hold-ups-at-immigration-despite-surge-in-staff-and-expenditure" TargetMode="External" /><Relationship Id="rId28" Type="http://schemas.openxmlformats.org/officeDocument/2006/relationships/hyperlink" Target="https://nzimmigration.info/" TargetMode="Externa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24.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216</v>
      </c>
      <c r="P2" s="13" t="s">
        <v>217</v>
      </c>
      <c r="Q2" s="13" t="s">
        <v>218</v>
      </c>
      <c r="R2" s="13" t="s">
        <v>219</v>
      </c>
      <c r="S2" s="13" t="s">
        <v>220</v>
      </c>
      <c r="T2" s="13" t="s">
        <v>221</v>
      </c>
      <c r="U2" s="13" t="s">
        <v>222</v>
      </c>
      <c r="V2" s="13" t="s">
        <v>223</v>
      </c>
      <c r="W2" s="13" t="s">
        <v>224</v>
      </c>
      <c r="X2" s="13" t="s">
        <v>225</v>
      </c>
      <c r="Y2" s="13" t="s">
        <v>226</v>
      </c>
      <c r="Z2" s="13" t="s">
        <v>227</v>
      </c>
      <c r="AA2" s="13" t="s">
        <v>228</v>
      </c>
      <c r="AB2" s="13" t="s">
        <v>229</v>
      </c>
      <c r="AC2" s="13" t="s">
        <v>230</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247</v>
      </c>
      <c r="AU2" s="13" t="s">
        <v>248</v>
      </c>
      <c r="AV2" s="13" t="s">
        <v>249</v>
      </c>
      <c r="AW2" s="13" t="s">
        <v>250</v>
      </c>
      <c r="AX2" s="13" t="s">
        <v>251</v>
      </c>
      <c r="AY2" s="13" t="s">
        <v>252</v>
      </c>
      <c r="AZ2" s="13" t="s">
        <v>253</v>
      </c>
      <c r="BA2" s="13" t="s">
        <v>254</v>
      </c>
      <c r="BB2" s="13" t="s">
        <v>255</v>
      </c>
      <c r="BC2" t="s">
        <v>313</v>
      </c>
      <c r="BD2" s="13" t="s">
        <v>331</v>
      </c>
      <c r="BE2" s="13" t="s">
        <v>332</v>
      </c>
      <c r="BF2" s="54" t="s">
        <v>408</v>
      </c>
      <c r="BG2" s="54" t="s">
        <v>409</v>
      </c>
      <c r="BH2" s="54" t="s">
        <v>410</v>
      </c>
      <c r="BI2" s="54" t="s">
        <v>411</v>
      </c>
      <c r="BJ2" s="54" t="s">
        <v>412</v>
      </c>
      <c r="BK2" s="54" t="s">
        <v>413</v>
      </c>
      <c r="BL2" s="54" t="s">
        <v>414</v>
      </c>
      <c r="BM2" s="54" t="s">
        <v>415</v>
      </c>
      <c r="BN2" s="54" t="s">
        <v>416</v>
      </c>
    </row>
    <row r="3" spans="1:66" ht="15" customHeight="1">
      <c r="A3" s="65" t="s">
        <v>586</v>
      </c>
      <c r="B3" s="65" t="s">
        <v>256</v>
      </c>
      <c r="C3" s="66" t="s">
        <v>568</v>
      </c>
      <c r="D3" s="67">
        <v>5</v>
      </c>
      <c r="E3" s="68"/>
      <c r="F3" s="69">
        <v>50</v>
      </c>
      <c r="G3" s="66"/>
      <c r="H3" s="70"/>
      <c r="I3" s="71"/>
      <c r="J3" s="71"/>
      <c r="K3" s="35" t="s">
        <v>65</v>
      </c>
      <c r="L3" s="72">
        <v>3</v>
      </c>
      <c r="M3" s="72"/>
      <c r="N3" s="73"/>
      <c r="O3" s="80" t="s">
        <v>260</v>
      </c>
      <c r="P3" s="82">
        <v>44689.814479166664</v>
      </c>
      <c r="Q3" s="80" t="s">
        <v>619</v>
      </c>
      <c r="R3" s="85" t="str">
        <f>HYPERLINK("https://www.newsroom.co.nz/hold-ups-at-immigration-despite-surge-in-staff-and-expenditure")</f>
        <v>https://www.newsroom.co.nz/hold-ups-at-immigration-despite-surge-in-staff-and-expenditure</v>
      </c>
      <c r="S3" s="80" t="s">
        <v>264</v>
      </c>
      <c r="T3" s="80"/>
      <c r="U3" s="80"/>
      <c r="V3" s="85" t="str">
        <f>HYPERLINK("https://pbs.twimg.com/profile_images/1293905861744582658/xKDTYoX__normal.jpg")</f>
        <v>https://pbs.twimg.com/profile_images/1293905861744582658/xKDTYoX__normal.jpg</v>
      </c>
      <c r="W3" s="82">
        <v>44689.814479166664</v>
      </c>
      <c r="X3" s="87">
        <v>44689</v>
      </c>
      <c r="Y3" s="89" t="s">
        <v>668</v>
      </c>
      <c r="Z3" s="85" t="str">
        <f>HYPERLINK("https://twitter.com/bullxbear/status/1523385460218757120")</f>
        <v>https://twitter.com/bullxbear/status/1523385460218757120</v>
      </c>
      <c r="AA3" s="80"/>
      <c r="AB3" s="80"/>
      <c r="AC3" s="89" t="s">
        <v>698</v>
      </c>
      <c r="AD3" s="89" t="s">
        <v>702</v>
      </c>
      <c r="AE3" s="80" t="b">
        <v>0</v>
      </c>
      <c r="AF3" s="80">
        <v>17</v>
      </c>
      <c r="AG3" s="89" t="s">
        <v>267</v>
      </c>
      <c r="AH3" s="80" t="b">
        <v>0</v>
      </c>
      <c r="AI3" s="80" t="s">
        <v>268</v>
      </c>
      <c r="AJ3" s="80"/>
      <c r="AK3" s="89" t="s">
        <v>266</v>
      </c>
      <c r="AL3" s="80" t="b">
        <v>0</v>
      </c>
      <c r="AM3" s="80">
        <v>1</v>
      </c>
      <c r="AN3" s="89" t="s">
        <v>266</v>
      </c>
      <c r="AO3" s="89" t="s">
        <v>272</v>
      </c>
      <c r="AP3" s="80" t="b">
        <v>0</v>
      </c>
      <c r="AQ3" s="89" t="s">
        <v>702</v>
      </c>
      <c r="AR3" s="80" t="s">
        <v>218</v>
      </c>
      <c r="AS3" s="80">
        <v>0</v>
      </c>
      <c r="AT3" s="80">
        <v>0</v>
      </c>
      <c r="AU3" s="80"/>
      <c r="AV3" s="80"/>
      <c r="AW3" s="80"/>
      <c r="AX3" s="80"/>
      <c r="AY3" s="80"/>
      <c r="AZ3" s="80"/>
      <c r="BA3" s="80"/>
      <c r="BB3" s="80"/>
      <c r="BC3">
        <v>1</v>
      </c>
      <c r="BD3" s="80" t="str">
        <f>REPLACE(INDEX(GroupVertices[Group],MATCH(Edges[[#This Row],[Vertex 1]],GroupVertices[Vertex],0)),1,1,"")</f>
        <v>7</v>
      </c>
      <c r="BE3" s="80" t="str">
        <f>REPLACE(INDEX(GroupVertices[Group],MATCH(Edges[[#This Row],[Vertex 2]],GroupVertices[Vertex],0)),1,1,"")</f>
        <v>7</v>
      </c>
      <c r="BF3" s="49">
        <v>0</v>
      </c>
      <c r="BG3" s="50">
        <v>0</v>
      </c>
      <c r="BH3" s="49">
        <v>0</v>
      </c>
      <c r="BI3" s="50">
        <v>0</v>
      </c>
      <c r="BJ3" s="49">
        <v>0</v>
      </c>
      <c r="BK3" s="50">
        <v>0</v>
      </c>
      <c r="BL3" s="49">
        <v>15</v>
      </c>
      <c r="BM3" s="50">
        <v>100</v>
      </c>
      <c r="BN3" s="49">
        <v>15</v>
      </c>
    </row>
    <row r="4" spans="1:66" ht="15" customHeight="1">
      <c r="A4" s="65" t="s">
        <v>574</v>
      </c>
      <c r="B4" s="65" t="s">
        <v>587</v>
      </c>
      <c r="C4" s="66" t="s">
        <v>568</v>
      </c>
      <c r="D4" s="67">
        <v>5</v>
      </c>
      <c r="E4" s="66"/>
      <c r="F4" s="69">
        <v>50</v>
      </c>
      <c r="G4" s="66"/>
      <c r="H4" s="70"/>
      <c r="I4" s="71"/>
      <c r="J4" s="71"/>
      <c r="K4" s="35" t="s">
        <v>65</v>
      </c>
      <c r="L4" s="72">
        <v>4</v>
      </c>
      <c r="M4" s="72"/>
      <c r="N4" s="73"/>
      <c r="O4" s="81" t="s">
        <v>260</v>
      </c>
      <c r="P4" s="83">
        <v>44691.0825</v>
      </c>
      <c r="Q4" s="81" t="s">
        <v>598</v>
      </c>
      <c r="R4" s="84" t="str">
        <f>HYPERLINK("https://www.odt.co.nz/news/national/defeated-couples-visa-heartbreak-after-application-fiasco")</f>
        <v>https://www.odt.co.nz/news/national/defeated-couples-visa-heartbreak-after-application-fiasco</v>
      </c>
      <c r="S4" s="81" t="s">
        <v>264</v>
      </c>
      <c r="T4" s="86" t="s">
        <v>623</v>
      </c>
      <c r="U4" s="81"/>
      <c r="V4" s="84" t="str">
        <f>HYPERLINK("https://pbs.twimg.com/profile_images/767518424641613824/rWkNOlq5_normal.jpg")</f>
        <v>https://pbs.twimg.com/profile_images/767518424641613824/rWkNOlq5_normal.jpg</v>
      </c>
      <c r="W4" s="83">
        <v>44691.0825</v>
      </c>
      <c r="X4" s="88">
        <v>44691</v>
      </c>
      <c r="Y4" s="86" t="s">
        <v>640</v>
      </c>
      <c r="Z4" s="84" t="str">
        <f>HYPERLINK("https://twitter.com/tomboyoptional/status/1523844973837570048")</f>
        <v>https://twitter.com/tomboyoptional/status/1523844973837570048</v>
      </c>
      <c r="AA4" s="81"/>
      <c r="AB4" s="81"/>
      <c r="AC4" s="86" t="s">
        <v>669</v>
      </c>
      <c r="AD4" s="81"/>
      <c r="AE4" s="81" t="b">
        <v>0</v>
      </c>
      <c r="AF4" s="81">
        <v>0</v>
      </c>
      <c r="AG4" s="86" t="s">
        <v>703</v>
      </c>
      <c r="AH4" s="81" t="b">
        <v>0</v>
      </c>
      <c r="AI4" s="81" t="s">
        <v>268</v>
      </c>
      <c r="AJ4" s="81"/>
      <c r="AK4" s="86" t="s">
        <v>266</v>
      </c>
      <c r="AL4" s="81" t="b">
        <v>0</v>
      </c>
      <c r="AM4" s="81">
        <v>0</v>
      </c>
      <c r="AN4" s="86" t="s">
        <v>266</v>
      </c>
      <c r="AO4" s="86" t="s">
        <v>269</v>
      </c>
      <c r="AP4" s="81" t="b">
        <v>0</v>
      </c>
      <c r="AQ4" s="86" t="s">
        <v>669</v>
      </c>
      <c r="AR4" s="81" t="s">
        <v>218</v>
      </c>
      <c r="AS4" s="81">
        <v>0</v>
      </c>
      <c r="AT4" s="81">
        <v>0</v>
      </c>
      <c r="AU4" s="81"/>
      <c r="AV4" s="81"/>
      <c r="AW4" s="81"/>
      <c r="AX4" s="81"/>
      <c r="AY4" s="81"/>
      <c r="AZ4" s="81"/>
      <c r="BA4" s="81"/>
      <c r="BB4" s="81"/>
      <c r="BC4" s="78">
        <v>1</v>
      </c>
      <c r="BD4" s="80" t="str">
        <f>REPLACE(INDEX(GroupVertices[Group],MATCH(Edges[[#This Row],[Vertex 1]],GroupVertices[Vertex],0)),1,1,"")</f>
        <v>4</v>
      </c>
      <c r="BE4" s="80" t="str">
        <f>REPLACE(INDEX(GroupVertices[Group],MATCH(Edges[[#This Row],[Vertex 2]],GroupVertices[Vertex],0)),1,1,"")</f>
        <v>4</v>
      </c>
      <c r="BF4" s="49">
        <v>0</v>
      </c>
      <c r="BG4" s="50">
        <v>0</v>
      </c>
      <c r="BH4" s="49">
        <v>0</v>
      </c>
      <c r="BI4" s="50">
        <v>0</v>
      </c>
      <c r="BJ4" s="49">
        <v>0</v>
      </c>
      <c r="BK4" s="50">
        <v>0</v>
      </c>
      <c r="BL4" s="49">
        <v>27</v>
      </c>
      <c r="BM4" s="50">
        <v>100</v>
      </c>
      <c r="BN4" s="49">
        <v>27</v>
      </c>
    </row>
    <row r="5" spans="1:66" ht="15">
      <c r="A5" s="65" t="s">
        <v>575</v>
      </c>
      <c r="B5" s="65" t="s">
        <v>588</v>
      </c>
      <c r="C5" s="66" t="s">
        <v>568</v>
      </c>
      <c r="D5" s="67">
        <v>5</v>
      </c>
      <c r="E5" s="66"/>
      <c r="F5" s="69">
        <v>50</v>
      </c>
      <c r="G5" s="66"/>
      <c r="H5" s="70"/>
      <c r="I5" s="71"/>
      <c r="J5" s="71"/>
      <c r="K5" s="35" t="s">
        <v>65</v>
      </c>
      <c r="L5" s="72">
        <v>5</v>
      </c>
      <c r="M5" s="72"/>
      <c r="N5" s="73"/>
      <c r="O5" s="81" t="s">
        <v>260</v>
      </c>
      <c r="P5" s="83">
        <v>44691.909837962965</v>
      </c>
      <c r="Q5" s="81" t="s">
        <v>599</v>
      </c>
      <c r="R5" s="81"/>
      <c r="S5" s="81"/>
      <c r="T5" s="81"/>
      <c r="U5" s="81"/>
      <c r="V5" s="84" t="str">
        <f>HYPERLINK("https://pbs.twimg.com/profile_images/692527351838724096/q9dGroLl_normal.jpg")</f>
        <v>https://pbs.twimg.com/profile_images/692527351838724096/q9dGroLl_normal.jpg</v>
      </c>
      <c r="W5" s="83">
        <v>44691.909837962965</v>
      </c>
      <c r="X5" s="88">
        <v>44691</v>
      </c>
      <c r="Y5" s="86" t="s">
        <v>641</v>
      </c>
      <c r="Z5" s="84" t="str">
        <f>HYPERLINK("https://twitter.com/batdoyle/status/1524144791302598656")</f>
        <v>https://twitter.com/batdoyle/status/1524144791302598656</v>
      </c>
      <c r="AA5" s="81"/>
      <c r="AB5" s="81"/>
      <c r="AC5" s="86" t="s">
        <v>670</v>
      </c>
      <c r="AD5" s="81"/>
      <c r="AE5" s="81" t="b">
        <v>0</v>
      </c>
      <c r="AF5" s="81">
        <v>0</v>
      </c>
      <c r="AG5" s="86" t="s">
        <v>704</v>
      </c>
      <c r="AH5" s="81" t="b">
        <v>0</v>
      </c>
      <c r="AI5" s="81" t="s">
        <v>268</v>
      </c>
      <c r="AJ5" s="81"/>
      <c r="AK5" s="86" t="s">
        <v>266</v>
      </c>
      <c r="AL5" s="81" t="b">
        <v>0</v>
      </c>
      <c r="AM5" s="81">
        <v>0</v>
      </c>
      <c r="AN5" s="86" t="s">
        <v>266</v>
      </c>
      <c r="AO5" s="86" t="s">
        <v>269</v>
      </c>
      <c r="AP5" s="81" t="b">
        <v>0</v>
      </c>
      <c r="AQ5" s="86" t="s">
        <v>670</v>
      </c>
      <c r="AR5" s="81" t="s">
        <v>218</v>
      </c>
      <c r="AS5" s="81">
        <v>0</v>
      </c>
      <c r="AT5" s="81">
        <v>0</v>
      </c>
      <c r="AU5" s="81"/>
      <c r="AV5" s="81"/>
      <c r="AW5" s="81"/>
      <c r="AX5" s="81"/>
      <c r="AY5" s="81"/>
      <c r="AZ5" s="81"/>
      <c r="BA5" s="81"/>
      <c r="BB5" s="81"/>
      <c r="BC5" s="78">
        <v>1</v>
      </c>
      <c r="BD5" s="80" t="str">
        <f>REPLACE(INDEX(GroupVertices[Group],MATCH(Edges[[#This Row],[Vertex 1]],GroupVertices[Vertex],0)),1,1,"")</f>
        <v>2</v>
      </c>
      <c r="BE5" s="80" t="str">
        <f>REPLACE(INDEX(GroupVertices[Group],MATCH(Edges[[#This Row],[Vertex 2]],GroupVertices[Vertex],0)),1,1,"")</f>
        <v>2</v>
      </c>
      <c r="BF5" s="49">
        <v>1</v>
      </c>
      <c r="BG5" s="50">
        <v>2.7027027027027026</v>
      </c>
      <c r="BH5" s="49">
        <v>1</v>
      </c>
      <c r="BI5" s="50">
        <v>2.7027027027027026</v>
      </c>
      <c r="BJ5" s="49">
        <v>0</v>
      </c>
      <c r="BK5" s="50">
        <v>0</v>
      </c>
      <c r="BL5" s="49">
        <v>35</v>
      </c>
      <c r="BM5" s="50">
        <v>94.5945945945946</v>
      </c>
      <c r="BN5" s="49">
        <v>37</v>
      </c>
    </row>
    <row r="6" spans="1:66" ht="15">
      <c r="A6" s="65" t="s">
        <v>576</v>
      </c>
      <c r="B6" s="65" t="s">
        <v>589</v>
      </c>
      <c r="C6" s="66" t="s">
        <v>568</v>
      </c>
      <c r="D6" s="67">
        <v>5</v>
      </c>
      <c r="E6" s="66"/>
      <c r="F6" s="69">
        <v>50</v>
      </c>
      <c r="G6" s="66"/>
      <c r="H6" s="70"/>
      <c r="I6" s="71"/>
      <c r="J6" s="71"/>
      <c r="K6" s="35" t="s">
        <v>65</v>
      </c>
      <c r="L6" s="72">
        <v>6</v>
      </c>
      <c r="M6" s="72"/>
      <c r="N6" s="73"/>
      <c r="O6" s="81" t="s">
        <v>260</v>
      </c>
      <c r="P6" s="83">
        <v>44692.09730324074</v>
      </c>
      <c r="Q6" s="81" t="s">
        <v>600</v>
      </c>
      <c r="R6" s="81"/>
      <c r="S6" s="81"/>
      <c r="T6" s="81"/>
      <c r="U6" s="81"/>
      <c r="V6" s="84" t="str">
        <f>HYPERLINK("https://pbs.twimg.com/profile_images/2623788199/ozkgloy3owdivuiclfub_normal.png")</f>
        <v>https://pbs.twimg.com/profile_images/2623788199/ozkgloy3owdivuiclfub_normal.png</v>
      </c>
      <c r="W6" s="83">
        <v>44692.09730324074</v>
      </c>
      <c r="X6" s="88">
        <v>44692</v>
      </c>
      <c r="Y6" s="86" t="s">
        <v>642</v>
      </c>
      <c r="Z6" s="84" t="str">
        <f>HYPERLINK("https://twitter.com/mariojunior/status/1524212727773753345")</f>
        <v>https://twitter.com/mariojunior/status/1524212727773753345</v>
      </c>
      <c r="AA6" s="81"/>
      <c r="AB6" s="81"/>
      <c r="AC6" s="86" t="s">
        <v>671</v>
      </c>
      <c r="AD6" s="86" t="s">
        <v>699</v>
      </c>
      <c r="AE6" s="81" t="b">
        <v>0</v>
      </c>
      <c r="AF6" s="81">
        <v>0</v>
      </c>
      <c r="AG6" s="86" t="s">
        <v>705</v>
      </c>
      <c r="AH6" s="81" t="b">
        <v>0</v>
      </c>
      <c r="AI6" s="81" t="s">
        <v>268</v>
      </c>
      <c r="AJ6" s="81"/>
      <c r="AK6" s="86" t="s">
        <v>266</v>
      </c>
      <c r="AL6" s="81" t="b">
        <v>0</v>
      </c>
      <c r="AM6" s="81">
        <v>0</v>
      </c>
      <c r="AN6" s="86" t="s">
        <v>266</v>
      </c>
      <c r="AO6" s="86" t="s">
        <v>270</v>
      </c>
      <c r="AP6" s="81" t="b">
        <v>0</v>
      </c>
      <c r="AQ6" s="86" t="s">
        <v>699</v>
      </c>
      <c r="AR6" s="81" t="s">
        <v>218</v>
      </c>
      <c r="AS6" s="81">
        <v>0</v>
      </c>
      <c r="AT6" s="81">
        <v>0</v>
      </c>
      <c r="AU6" s="81"/>
      <c r="AV6" s="81"/>
      <c r="AW6" s="81"/>
      <c r="AX6" s="81"/>
      <c r="AY6" s="81"/>
      <c r="AZ6" s="81"/>
      <c r="BA6" s="81"/>
      <c r="BB6" s="81"/>
      <c r="BC6" s="78">
        <v>1</v>
      </c>
      <c r="BD6" s="80" t="str">
        <f>REPLACE(INDEX(GroupVertices[Group],MATCH(Edges[[#This Row],[Vertex 1]],GroupVertices[Vertex],0)),1,1,"")</f>
        <v>6</v>
      </c>
      <c r="BE6" s="80" t="str">
        <f>REPLACE(INDEX(GroupVertices[Group],MATCH(Edges[[#This Row],[Vertex 2]],GroupVertices[Vertex],0)),1,1,"")</f>
        <v>6</v>
      </c>
      <c r="BF6" s="49">
        <v>1</v>
      </c>
      <c r="BG6" s="50">
        <v>3.3333333333333335</v>
      </c>
      <c r="BH6" s="49">
        <v>2</v>
      </c>
      <c r="BI6" s="50">
        <v>6.666666666666667</v>
      </c>
      <c r="BJ6" s="49">
        <v>0</v>
      </c>
      <c r="BK6" s="50">
        <v>0</v>
      </c>
      <c r="BL6" s="49">
        <v>27</v>
      </c>
      <c r="BM6" s="50">
        <v>90</v>
      </c>
      <c r="BN6" s="49">
        <v>30</v>
      </c>
    </row>
    <row r="7" spans="1:66" ht="15">
      <c r="A7" s="65" t="s">
        <v>577</v>
      </c>
      <c r="B7" s="65" t="s">
        <v>577</v>
      </c>
      <c r="C7" s="66" t="s">
        <v>568</v>
      </c>
      <c r="D7" s="67">
        <v>5</v>
      </c>
      <c r="E7" s="66"/>
      <c r="F7" s="69">
        <v>50</v>
      </c>
      <c r="G7" s="66"/>
      <c r="H7" s="70"/>
      <c r="I7" s="71"/>
      <c r="J7" s="71"/>
      <c r="K7" s="35" t="s">
        <v>65</v>
      </c>
      <c r="L7" s="72">
        <v>7</v>
      </c>
      <c r="M7" s="72"/>
      <c r="N7" s="73"/>
      <c r="O7" s="81" t="s">
        <v>218</v>
      </c>
      <c r="P7" s="83">
        <v>44693.99837962963</v>
      </c>
      <c r="Q7" s="81" t="s">
        <v>601</v>
      </c>
      <c r="R7" s="81"/>
      <c r="S7" s="81"/>
      <c r="T7" s="86" t="s">
        <v>624</v>
      </c>
      <c r="U7" s="81"/>
      <c r="V7" s="84" t="str">
        <f>HYPERLINK("https://pbs.twimg.com/profile_images/1489363320687583237/DentiMES_normal.jpg")</f>
        <v>https://pbs.twimg.com/profile_images/1489363320687583237/DentiMES_normal.jpg</v>
      </c>
      <c r="W7" s="83">
        <v>44693.99837962963</v>
      </c>
      <c r="X7" s="88">
        <v>44693</v>
      </c>
      <c r="Y7" s="86" t="s">
        <v>643</v>
      </c>
      <c r="Z7" s="84" t="str">
        <f>HYPERLINK("https://twitter.com/tramorabroad/status/1524901656751579142")</f>
        <v>https://twitter.com/tramorabroad/status/1524901656751579142</v>
      </c>
      <c r="AA7" s="81"/>
      <c r="AB7" s="81"/>
      <c r="AC7" s="86" t="s">
        <v>672</v>
      </c>
      <c r="AD7" s="86" t="s">
        <v>700</v>
      </c>
      <c r="AE7" s="81" t="b">
        <v>0</v>
      </c>
      <c r="AF7" s="81">
        <v>2</v>
      </c>
      <c r="AG7" s="86" t="s">
        <v>706</v>
      </c>
      <c r="AH7" s="81" t="b">
        <v>0</v>
      </c>
      <c r="AI7" s="81" t="s">
        <v>268</v>
      </c>
      <c r="AJ7" s="81"/>
      <c r="AK7" s="86" t="s">
        <v>266</v>
      </c>
      <c r="AL7" s="81" t="b">
        <v>0</v>
      </c>
      <c r="AM7" s="81">
        <v>0</v>
      </c>
      <c r="AN7" s="86" t="s">
        <v>266</v>
      </c>
      <c r="AO7" s="86" t="s">
        <v>270</v>
      </c>
      <c r="AP7" s="81" t="b">
        <v>0</v>
      </c>
      <c r="AQ7" s="86" t="s">
        <v>700</v>
      </c>
      <c r="AR7" s="81" t="s">
        <v>218</v>
      </c>
      <c r="AS7" s="81">
        <v>0</v>
      </c>
      <c r="AT7" s="81">
        <v>0</v>
      </c>
      <c r="AU7" s="81"/>
      <c r="AV7" s="81"/>
      <c r="AW7" s="81"/>
      <c r="AX7" s="81"/>
      <c r="AY7" s="81"/>
      <c r="AZ7" s="81"/>
      <c r="BA7" s="81"/>
      <c r="BB7" s="81"/>
      <c r="BC7" s="78">
        <v>1</v>
      </c>
      <c r="BD7" s="80" t="str">
        <f>REPLACE(INDEX(GroupVertices[Group],MATCH(Edges[[#This Row],[Vertex 1]],GroupVertices[Vertex],0)),1,1,"")</f>
        <v>8</v>
      </c>
      <c r="BE7" s="80" t="str">
        <f>REPLACE(INDEX(GroupVertices[Group],MATCH(Edges[[#This Row],[Vertex 2]],GroupVertices[Vertex],0)),1,1,"")</f>
        <v>8</v>
      </c>
      <c r="BF7" s="49">
        <v>1</v>
      </c>
      <c r="BG7" s="50">
        <v>2.7027027027027026</v>
      </c>
      <c r="BH7" s="49">
        <v>1</v>
      </c>
      <c r="BI7" s="50">
        <v>2.7027027027027026</v>
      </c>
      <c r="BJ7" s="49">
        <v>0</v>
      </c>
      <c r="BK7" s="50">
        <v>0</v>
      </c>
      <c r="BL7" s="49">
        <v>35</v>
      </c>
      <c r="BM7" s="50">
        <v>94.5945945945946</v>
      </c>
      <c r="BN7" s="49">
        <v>37</v>
      </c>
    </row>
    <row r="8" spans="1:66" ht="15">
      <c r="A8" s="65" t="s">
        <v>578</v>
      </c>
      <c r="B8" s="65" t="s">
        <v>578</v>
      </c>
      <c r="C8" s="66" t="s">
        <v>569</v>
      </c>
      <c r="D8" s="67">
        <v>10</v>
      </c>
      <c r="E8" s="66"/>
      <c r="F8" s="69">
        <v>15</v>
      </c>
      <c r="G8" s="66"/>
      <c r="H8" s="70"/>
      <c r="I8" s="71"/>
      <c r="J8" s="71"/>
      <c r="K8" s="35" t="s">
        <v>65</v>
      </c>
      <c r="L8" s="72">
        <v>8</v>
      </c>
      <c r="M8" s="72"/>
      <c r="N8" s="73"/>
      <c r="O8" s="81" t="s">
        <v>218</v>
      </c>
      <c r="P8" s="83">
        <v>44690.083402777775</v>
      </c>
      <c r="Q8" s="81" t="s">
        <v>602</v>
      </c>
      <c r="R8" s="84" t="str">
        <f>HYPERLINK("https://www.indianweekender.co.nz/Pages/ArticleDetails/7/19623/New-Zealand/Migrants-Facebook-group-folds-over-legal-fears")</f>
        <v>https://www.indianweekender.co.nz/Pages/ArticleDetails/7/19623/New-Zealand/Migrants-Facebook-group-folds-over-legal-fears</v>
      </c>
      <c r="S8" s="81" t="s">
        <v>264</v>
      </c>
      <c r="T8" s="86" t="s">
        <v>625</v>
      </c>
      <c r="U8" s="81"/>
      <c r="V8" s="84" t="str">
        <f>HYPERLINK("https://pbs.twimg.com/profile_images/1261271976728903681/tiry95eM_normal.jpg")</f>
        <v>https://pbs.twimg.com/profile_images/1261271976728903681/tiry95eM_normal.jpg</v>
      </c>
      <c r="W8" s="83">
        <v>44690.083402777775</v>
      </c>
      <c r="X8" s="88">
        <v>44690</v>
      </c>
      <c r="Y8" s="86" t="s">
        <v>644</v>
      </c>
      <c r="Z8" s="84" t="str">
        <f>HYPERLINK("https://twitter.com/indianweekender/status/1523482914993827842")</f>
        <v>https://twitter.com/indianweekender/status/1523482914993827842</v>
      </c>
      <c r="AA8" s="81"/>
      <c r="AB8" s="81"/>
      <c r="AC8" s="86" t="s">
        <v>673</v>
      </c>
      <c r="AD8" s="81"/>
      <c r="AE8" s="81" t="b">
        <v>0</v>
      </c>
      <c r="AF8" s="81">
        <v>0</v>
      </c>
      <c r="AG8" s="86" t="s">
        <v>266</v>
      </c>
      <c r="AH8" s="81" t="b">
        <v>0</v>
      </c>
      <c r="AI8" s="81" t="s">
        <v>268</v>
      </c>
      <c r="AJ8" s="81"/>
      <c r="AK8" s="86" t="s">
        <v>266</v>
      </c>
      <c r="AL8" s="81" t="b">
        <v>0</v>
      </c>
      <c r="AM8" s="81">
        <v>0</v>
      </c>
      <c r="AN8" s="86" t="s">
        <v>266</v>
      </c>
      <c r="AO8" s="86" t="s">
        <v>273</v>
      </c>
      <c r="AP8" s="81" t="b">
        <v>0</v>
      </c>
      <c r="AQ8" s="86" t="s">
        <v>673</v>
      </c>
      <c r="AR8" s="81" t="s">
        <v>218</v>
      </c>
      <c r="AS8" s="81">
        <v>0</v>
      </c>
      <c r="AT8" s="81">
        <v>0</v>
      </c>
      <c r="AU8" s="81"/>
      <c r="AV8" s="81"/>
      <c r="AW8" s="81"/>
      <c r="AX8" s="81"/>
      <c r="AY8" s="81"/>
      <c r="AZ8" s="81"/>
      <c r="BA8" s="81"/>
      <c r="BB8" s="81"/>
      <c r="BC8" s="78">
        <v>7</v>
      </c>
      <c r="BD8" s="80" t="str">
        <f>REPLACE(INDEX(GroupVertices[Group],MATCH(Edges[[#This Row],[Vertex 1]],GroupVertices[Vertex],0)),1,1,"")</f>
        <v>5</v>
      </c>
      <c r="BE8" s="80" t="str">
        <f>REPLACE(INDEX(GroupVertices[Group],MATCH(Edges[[#This Row],[Vertex 2]],GroupVertices[Vertex],0)),1,1,"")</f>
        <v>5</v>
      </c>
      <c r="BF8" s="49">
        <v>2</v>
      </c>
      <c r="BG8" s="50">
        <v>5.714285714285714</v>
      </c>
      <c r="BH8" s="49">
        <v>2</v>
      </c>
      <c r="BI8" s="50">
        <v>5.714285714285714</v>
      </c>
      <c r="BJ8" s="49">
        <v>0</v>
      </c>
      <c r="BK8" s="50">
        <v>0</v>
      </c>
      <c r="BL8" s="49">
        <v>31</v>
      </c>
      <c r="BM8" s="50">
        <v>88.57142857142857</v>
      </c>
      <c r="BN8" s="49">
        <v>35</v>
      </c>
    </row>
    <row r="9" spans="1:66" ht="15">
      <c r="A9" s="65" t="s">
        <v>578</v>
      </c>
      <c r="B9" s="65" t="s">
        <v>578</v>
      </c>
      <c r="C9" s="66" t="s">
        <v>569</v>
      </c>
      <c r="D9" s="67">
        <v>10</v>
      </c>
      <c r="E9" s="66"/>
      <c r="F9" s="69">
        <v>15</v>
      </c>
      <c r="G9" s="66"/>
      <c r="H9" s="70"/>
      <c r="I9" s="71"/>
      <c r="J9" s="71"/>
      <c r="K9" s="35" t="s">
        <v>65</v>
      </c>
      <c r="L9" s="72">
        <v>9</v>
      </c>
      <c r="M9" s="72"/>
      <c r="N9" s="73"/>
      <c r="O9" s="81" t="s">
        <v>218</v>
      </c>
      <c r="P9" s="83">
        <v>44691.13527777778</v>
      </c>
      <c r="Q9" s="81" t="s">
        <v>603</v>
      </c>
      <c r="R9" s="84" t="str">
        <f>HYPERLINK("https://www.indianweekender.co.nz/Pages/ArticleDetails/7/19630/New-Zealand/Government-expected-to-reveal-new-border-re-opening-date")</f>
        <v>https://www.indianweekender.co.nz/Pages/ArticleDetails/7/19630/New-Zealand/Government-expected-to-reveal-new-border-re-opening-date</v>
      </c>
      <c r="S9" s="81" t="s">
        <v>264</v>
      </c>
      <c r="T9" s="86" t="s">
        <v>626</v>
      </c>
      <c r="U9" s="84" t="str">
        <f>HYPERLINK("https://pbs.twimg.com/media/FSXaUwqWQAACekf.jpg")</f>
        <v>https://pbs.twimg.com/media/FSXaUwqWQAACekf.jpg</v>
      </c>
      <c r="V9" s="84" t="str">
        <f>HYPERLINK("https://pbs.twimg.com/media/FSXaUwqWQAACekf.jpg")</f>
        <v>https://pbs.twimg.com/media/FSXaUwqWQAACekf.jpg</v>
      </c>
      <c r="W9" s="83">
        <v>44691.13527777778</v>
      </c>
      <c r="X9" s="88">
        <v>44691</v>
      </c>
      <c r="Y9" s="86" t="s">
        <v>645</v>
      </c>
      <c r="Z9" s="84" t="str">
        <f>HYPERLINK("https://twitter.com/indianweekender/status/1523864102195679232")</f>
        <v>https://twitter.com/indianweekender/status/1523864102195679232</v>
      </c>
      <c r="AA9" s="81"/>
      <c r="AB9" s="81"/>
      <c r="AC9" s="86" t="s">
        <v>674</v>
      </c>
      <c r="AD9" s="81"/>
      <c r="AE9" s="81" t="b">
        <v>0</v>
      </c>
      <c r="AF9" s="81">
        <v>3</v>
      </c>
      <c r="AG9" s="86" t="s">
        <v>266</v>
      </c>
      <c r="AH9" s="81" t="b">
        <v>0</v>
      </c>
      <c r="AI9" s="81" t="s">
        <v>268</v>
      </c>
      <c r="AJ9" s="81"/>
      <c r="AK9" s="86" t="s">
        <v>266</v>
      </c>
      <c r="AL9" s="81" t="b">
        <v>0</v>
      </c>
      <c r="AM9" s="81">
        <v>0</v>
      </c>
      <c r="AN9" s="86" t="s">
        <v>266</v>
      </c>
      <c r="AO9" s="86" t="s">
        <v>273</v>
      </c>
      <c r="AP9" s="81" t="b">
        <v>0</v>
      </c>
      <c r="AQ9" s="86" t="s">
        <v>674</v>
      </c>
      <c r="AR9" s="81" t="s">
        <v>218</v>
      </c>
      <c r="AS9" s="81">
        <v>0</v>
      </c>
      <c r="AT9" s="81">
        <v>0</v>
      </c>
      <c r="AU9" s="81"/>
      <c r="AV9" s="81"/>
      <c r="AW9" s="81"/>
      <c r="AX9" s="81"/>
      <c r="AY9" s="81"/>
      <c r="AZ9" s="81"/>
      <c r="BA9" s="81"/>
      <c r="BB9" s="81"/>
      <c r="BC9" s="78">
        <v>7</v>
      </c>
      <c r="BD9" s="80" t="str">
        <f>REPLACE(INDEX(GroupVertices[Group],MATCH(Edges[[#This Row],[Vertex 1]],GroupVertices[Vertex],0)),1,1,"")</f>
        <v>5</v>
      </c>
      <c r="BE9" s="80" t="str">
        <f>REPLACE(INDEX(GroupVertices[Group],MATCH(Edges[[#This Row],[Vertex 2]],GroupVertices[Vertex],0)),1,1,"")</f>
        <v>5</v>
      </c>
      <c r="BF9" s="49">
        <v>1</v>
      </c>
      <c r="BG9" s="50">
        <v>4.761904761904762</v>
      </c>
      <c r="BH9" s="49">
        <v>1</v>
      </c>
      <c r="BI9" s="50">
        <v>4.761904761904762</v>
      </c>
      <c r="BJ9" s="49">
        <v>0</v>
      </c>
      <c r="BK9" s="50">
        <v>0</v>
      </c>
      <c r="BL9" s="49">
        <v>19</v>
      </c>
      <c r="BM9" s="50">
        <v>90.47619047619048</v>
      </c>
      <c r="BN9" s="49">
        <v>21</v>
      </c>
    </row>
    <row r="10" spans="1:66" ht="15">
      <c r="A10" s="65" t="s">
        <v>578</v>
      </c>
      <c r="B10" s="65" t="s">
        <v>578</v>
      </c>
      <c r="C10" s="66" t="s">
        <v>569</v>
      </c>
      <c r="D10" s="67">
        <v>10</v>
      </c>
      <c r="E10" s="66"/>
      <c r="F10" s="69">
        <v>15</v>
      </c>
      <c r="G10" s="66"/>
      <c r="H10" s="70"/>
      <c r="I10" s="71"/>
      <c r="J10" s="71"/>
      <c r="K10" s="35" t="s">
        <v>65</v>
      </c>
      <c r="L10" s="72">
        <v>10</v>
      </c>
      <c r="M10" s="72"/>
      <c r="N10" s="73"/>
      <c r="O10" s="81" t="s">
        <v>218</v>
      </c>
      <c r="P10" s="83">
        <v>44693.0625</v>
      </c>
      <c r="Q10" s="81" t="s">
        <v>604</v>
      </c>
      <c r="R10" s="84" t="str">
        <f>HYPERLINK("https://www.indianweekender.co.nz/Pages/ArticleDetails/7/19648/New-Zealand/Immigration-re-balance-plan-Partners-of-future-work-visa-holders-to-not-get-ope")</f>
        <v>https://www.indianweekender.co.nz/Pages/ArticleDetails/7/19648/New-Zealand/Immigration-re-balance-plan-Partners-of-future-work-visa-holders-to-not-get-ope</v>
      </c>
      <c r="S10" s="81" t="s">
        <v>264</v>
      </c>
      <c r="T10" s="86" t="s">
        <v>627</v>
      </c>
      <c r="U10" s="81"/>
      <c r="V10" s="84" t="str">
        <f>HYPERLINK("https://pbs.twimg.com/profile_images/1261271976728903681/tiry95eM_normal.jpg")</f>
        <v>https://pbs.twimg.com/profile_images/1261271976728903681/tiry95eM_normal.jpg</v>
      </c>
      <c r="W10" s="83">
        <v>44693.0625</v>
      </c>
      <c r="X10" s="88">
        <v>44693</v>
      </c>
      <c r="Y10" s="86" t="s">
        <v>646</v>
      </c>
      <c r="Z10" s="84" t="str">
        <f>HYPERLINK("https://twitter.com/indianweekender/status/1524562505112117248")</f>
        <v>https://twitter.com/indianweekender/status/1524562505112117248</v>
      </c>
      <c r="AA10" s="81"/>
      <c r="AB10" s="81"/>
      <c r="AC10" s="86" t="s">
        <v>675</v>
      </c>
      <c r="AD10" s="81"/>
      <c r="AE10" s="81" t="b">
        <v>0</v>
      </c>
      <c r="AF10" s="81">
        <v>0</v>
      </c>
      <c r="AG10" s="86" t="s">
        <v>266</v>
      </c>
      <c r="AH10" s="81" t="b">
        <v>0</v>
      </c>
      <c r="AI10" s="81" t="s">
        <v>268</v>
      </c>
      <c r="AJ10" s="81"/>
      <c r="AK10" s="86" t="s">
        <v>266</v>
      </c>
      <c r="AL10" s="81" t="b">
        <v>0</v>
      </c>
      <c r="AM10" s="81">
        <v>0</v>
      </c>
      <c r="AN10" s="86" t="s">
        <v>266</v>
      </c>
      <c r="AO10" s="86" t="s">
        <v>273</v>
      </c>
      <c r="AP10" s="81" t="b">
        <v>0</v>
      </c>
      <c r="AQ10" s="86" t="s">
        <v>675</v>
      </c>
      <c r="AR10" s="81" t="s">
        <v>218</v>
      </c>
      <c r="AS10" s="81">
        <v>0</v>
      </c>
      <c r="AT10" s="81">
        <v>0</v>
      </c>
      <c r="AU10" s="81"/>
      <c r="AV10" s="81"/>
      <c r="AW10" s="81"/>
      <c r="AX10" s="81"/>
      <c r="AY10" s="81"/>
      <c r="AZ10" s="81"/>
      <c r="BA10" s="81"/>
      <c r="BB10" s="81"/>
      <c r="BC10" s="78">
        <v>7</v>
      </c>
      <c r="BD10" s="80" t="str">
        <f>REPLACE(INDEX(GroupVertices[Group],MATCH(Edges[[#This Row],[Vertex 1]],GroupVertices[Vertex],0)),1,1,"")</f>
        <v>5</v>
      </c>
      <c r="BE10" s="80" t="str">
        <f>REPLACE(INDEX(GroupVertices[Group],MATCH(Edges[[#This Row],[Vertex 2]],GroupVertices[Vertex],0)),1,1,"")</f>
        <v>5</v>
      </c>
      <c r="BF10" s="49">
        <v>2</v>
      </c>
      <c r="BG10" s="50">
        <v>7.142857142857143</v>
      </c>
      <c r="BH10" s="49">
        <v>0</v>
      </c>
      <c r="BI10" s="50">
        <v>0</v>
      </c>
      <c r="BJ10" s="49">
        <v>0</v>
      </c>
      <c r="BK10" s="50">
        <v>0</v>
      </c>
      <c r="BL10" s="49">
        <v>26</v>
      </c>
      <c r="BM10" s="50">
        <v>92.85714285714286</v>
      </c>
      <c r="BN10" s="49">
        <v>28</v>
      </c>
    </row>
    <row r="11" spans="1:66" ht="15">
      <c r="A11" s="65" t="s">
        <v>578</v>
      </c>
      <c r="B11" s="65" t="s">
        <v>578</v>
      </c>
      <c r="C11" s="66" t="s">
        <v>569</v>
      </c>
      <c r="D11" s="67">
        <v>10</v>
      </c>
      <c r="E11" s="66"/>
      <c r="F11" s="69">
        <v>15</v>
      </c>
      <c r="G11" s="66"/>
      <c r="H11" s="70"/>
      <c r="I11" s="71"/>
      <c r="J11" s="71"/>
      <c r="K11" s="35" t="s">
        <v>65</v>
      </c>
      <c r="L11" s="72">
        <v>11</v>
      </c>
      <c r="M11" s="72"/>
      <c r="N11" s="73"/>
      <c r="O11" s="81" t="s">
        <v>218</v>
      </c>
      <c r="P11" s="83">
        <v>44693.10418981482</v>
      </c>
      <c r="Q11" s="81" t="s">
        <v>605</v>
      </c>
      <c r="R11" s="81"/>
      <c r="S11" s="81"/>
      <c r="T11" s="86" t="s">
        <v>628</v>
      </c>
      <c r="U11" s="84" t="str">
        <f>HYPERLINK("https://pbs.twimg.com/media/FShjQiPXoAAO-2g.jpg")</f>
        <v>https://pbs.twimg.com/media/FShjQiPXoAAO-2g.jpg</v>
      </c>
      <c r="V11" s="84" t="str">
        <f>HYPERLINK("https://pbs.twimg.com/media/FShjQiPXoAAO-2g.jpg")</f>
        <v>https://pbs.twimg.com/media/FShjQiPXoAAO-2g.jpg</v>
      </c>
      <c r="W11" s="83">
        <v>44693.10418981482</v>
      </c>
      <c r="X11" s="88">
        <v>44693</v>
      </c>
      <c r="Y11" s="86" t="s">
        <v>647</v>
      </c>
      <c r="Z11" s="84" t="str">
        <f>HYPERLINK("https://twitter.com/indianweekender/status/1524577612542189568")</f>
        <v>https://twitter.com/indianweekender/status/1524577612542189568</v>
      </c>
      <c r="AA11" s="81"/>
      <c r="AB11" s="81"/>
      <c r="AC11" s="86" t="s">
        <v>676</v>
      </c>
      <c r="AD11" s="81"/>
      <c r="AE11" s="81" t="b">
        <v>0</v>
      </c>
      <c r="AF11" s="81">
        <v>0</v>
      </c>
      <c r="AG11" s="86" t="s">
        <v>266</v>
      </c>
      <c r="AH11" s="81" t="b">
        <v>0</v>
      </c>
      <c r="AI11" s="81" t="s">
        <v>268</v>
      </c>
      <c r="AJ11" s="81"/>
      <c r="AK11" s="86" t="s">
        <v>266</v>
      </c>
      <c r="AL11" s="81" t="b">
        <v>0</v>
      </c>
      <c r="AM11" s="81">
        <v>1</v>
      </c>
      <c r="AN11" s="86" t="s">
        <v>266</v>
      </c>
      <c r="AO11" s="86" t="s">
        <v>273</v>
      </c>
      <c r="AP11" s="81" t="b">
        <v>0</v>
      </c>
      <c r="AQ11" s="86" t="s">
        <v>676</v>
      </c>
      <c r="AR11" s="81" t="s">
        <v>218</v>
      </c>
      <c r="AS11" s="81">
        <v>0</v>
      </c>
      <c r="AT11" s="81">
        <v>0</v>
      </c>
      <c r="AU11" s="81"/>
      <c r="AV11" s="81"/>
      <c r="AW11" s="81"/>
      <c r="AX11" s="81"/>
      <c r="AY11" s="81"/>
      <c r="AZ11" s="81"/>
      <c r="BA11" s="81"/>
      <c r="BB11" s="81"/>
      <c r="BC11" s="78">
        <v>7</v>
      </c>
      <c r="BD11" s="80" t="str">
        <f>REPLACE(INDEX(GroupVertices[Group],MATCH(Edges[[#This Row],[Vertex 1]],GroupVertices[Vertex],0)),1,1,"")</f>
        <v>5</v>
      </c>
      <c r="BE11" s="80" t="str">
        <f>REPLACE(INDEX(GroupVertices[Group],MATCH(Edges[[#This Row],[Vertex 2]],GroupVertices[Vertex],0)),1,1,"")</f>
        <v>5</v>
      </c>
      <c r="BF11" s="49">
        <v>0</v>
      </c>
      <c r="BG11" s="50">
        <v>0</v>
      </c>
      <c r="BH11" s="49">
        <v>0</v>
      </c>
      <c r="BI11" s="50">
        <v>0</v>
      </c>
      <c r="BJ11" s="49">
        <v>0</v>
      </c>
      <c r="BK11" s="50">
        <v>0</v>
      </c>
      <c r="BL11" s="49">
        <v>20</v>
      </c>
      <c r="BM11" s="50">
        <v>100</v>
      </c>
      <c r="BN11" s="49">
        <v>20</v>
      </c>
    </row>
    <row r="12" spans="1:66" ht="15">
      <c r="A12" s="65" t="s">
        <v>578</v>
      </c>
      <c r="B12" s="65" t="s">
        <v>578</v>
      </c>
      <c r="C12" s="66" t="s">
        <v>569</v>
      </c>
      <c r="D12" s="67">
        <v>10</v>
      </c>
      <c r="E12" s="66"/>
      <c r="F12" s="69">
        <v>15</v>
      </c>
      <c r="G12" s="66"/>
      <c r="H12" s="70"/>
      <c r="I12" s="71"/>
      <c r="J12" s="71"/>
      <c r="K12" s="35" t="s">
        <v>65</v>
      </c>
      <c r="L12" s="72">
        <v>12</v>
      </c>
      <c r="M12" s="72"/>
      <c r="N12" s="73"/>
      <c r="O12" s="81" t="s">
        <v>218</v>
      </c>
      <c r="P12" s="83">
        <v>44693.10422453703</v>
      </c>
      <c r="Q12" s="81" t="s">
        <v>606</v>
      </c>
      <c r="R12" s="81"/>
      <c r="S12" s="81"/>
      <c r="T12" s="86" t="s">
        <v>629</v>
      </c>
      <c r="U12" s="84" t="str">
        <f>HYPERLINK("https://pbs.twimg.com/media/FShjRMvXMAEvUPA.jpg")</f>
        <v>https://pbs.twimg.com/media/FShjRMvXMAEvUPA.jpg</v>
      </c>
      <c r="V12" s="84" t="str">
        <f>HYPERLINK("https://pbs.twimg.com/media/FShjRMvXMAEvUPA.jpg")</f>
        <v>https://pbs.twimg.com/media/FShjRMvXMAEvUPA.jpg</v>
      </c>
      <c r="W12" s="83">
        <v>44693.10422453703</v>
      </c>
      <c r="X12" s="88">
        <v>44693</v>
      </c>
      <c r="Y12" s="86" t="s">
        <v>648</v>
      </c>
      <c r="Z12" s="84" t="str">
        <f>HYPERLINK("https://twitter.com/indianweekender/status/1524577623720054786")</f>
        <v>https://twitter.com/indianweekender/status/1524577623720054786</v>
      </c>
      <c r="AA12" s="81"/>
      <c r="AB12" s="81"/>
      <c r="AC12" s="86" t="s">
        <v>677</v>
      </c>
      <c r="AD12" s="81"/>
      <c r="AE12" s="81" t="b">
        <v>0</v>
      </c>
      <c r="AF12" s="81">
        <v>0</v>
      </c>
      <c r="AG12" s="86" t="s">
        <v>266</v>
      </c>
      <c r="AH12" s="81" t="b">
        <v>0</v>
      </c>
      <c r="AI12" s="81" t="s">
        <v>268</v>
      </c>
      <c r="AJ12" s="81"/>
      <c r="AK12" s="86" t="s">
        <v>266</v>
      </c>
      <c r="AL12" s="81" t="b">
        <v>0</v>
      </c>
      <c r="AM12" s="81">
        <v>1</v>
      </c>
      <c r="AN12" s="86" t="s">
        <v>266</v>
      </c>
      <c r="AO12" s="86" t="s">
        <v>273</v>
      </c>
      <c r="AP12" s="81" t="b">
        <v>0</v>
      </c>
      <c r="AQ12" s="86" t="s">
        <v>677</v>
      </c>
      <c r="AR12" s="81" t="s">
        <v>218</v>
      </c>
      <c r="AS12" s="81">
        <v>0</v>
      </c>
      <c r="AT12" s="81">
        <v>0</v>
      </c>
      <c r="AU12" s="81"/>
      <c r="AV12" s="81"/>
      <c r="AW12" s="81"/>
      <c r="AX12" s="81"/>
      <c r="AY12" s="81"/>
      <c r="AZ12" s="81"/>
      <c r="BA12" s="81"/>
      <c r="BB12" s="81"/>
      <c r="BC12" s="78">
        <v>7</v>
      </c>
      <c r="BD12" s="80" t="str">
        <f>REPLACE(INDEX(GroupVertices[Group],MATCH(Edges[[#This Row],[Vertex 1]],GroupVertices[Vertex],0)),1,1,"")</f>
        <v>5</v>
      </c>
      <c r="BE12" s="80" t="str">
        <f>REPLACE(INDEX(GroupVertices[Group],MATCH(Edges[[#This Row],[Vertex 2]],GroupVertices[Vertex],0)),1,1,"")</f>
        <v>5</v>
      </c>
      <c r="BF12" s="49">
        <v>5</v>
      </c>
      <c r="BG12" s="50">
        <v>11.904761904761905</v>
      </c>
      <c r="BH12" s="49">
        <v>1</v>
      </c>
      <c r="BI12" s="50">
        <v>2.380952380952381</v>
      </c>
      <c r="BJ12" s="49">
        <v>0</v>
      </c>
      <c r="BK12" s="50">
        <v>0</v>
      </c>
      <c r="BL12" s="49">
        <v>36</v>
      </c>
      <c r="BM12" s="50">
        <v>85.71428571428571</v>
      </c>
      <c r="BN12" s="49">
        <v>42</v>
      </c>
    </row>
    <row r="13" spans="1:66" ht="15">
      <c r="A13" s="65" t="s">
        <v>578</v>
      </c>
      <c r="B13" s="65" t="s">
        <v>578</v>
      </c>
      <c r="C13" s="66" t="s">
        <v>569</v>
      </c>
      <c r="D13" s="67">
        <v>10</v>
      </c>
      <c r="E13" s="66"/>
      <c r="F13" s="69">
        <v>15</v>
      </c>
      <c r="G13" s="66"/>
      <c r="H13" s="70"/>
      <c r="I13" s="71"/>
      <c r="J13" s="71"/>
      <c r="K13" s="35" t="s">
        <v>65</v>
      </c>
      <c r="L13" s="72">
        <v>13</v>
      </c>
      <c r="M13" s="72"/>
      <c r="N13" s="73"/>
      <c r="O13" s="81" t="s">
        <v>218</v>
      </c>
      <c r="P13" s="83">
        <v>44693.13116898148</v>
      </c>
      <c r="Q13" s="81" t="s">
        <v>607</v>
      </c>
      <c r="R13" s="81"/>
      <c r="S13" s="81"/>
      <c r="T13" s="86" t="s">
        <v>630</v>
      </c>
      <c r="U13" s="84" t="str">
        <f>HYPERLINK("https://pbs.twimg.com/media/FShsJasWQAEiNGj.jpg")</f>
        <v>https://pbs.twimg.com/media/FShsJasWQAEiNGj.jpg</v>
      </c>
      <c r="V13" s="84" t="str">
        <f>HYPERLINK("https://pbs.twimg.com/media/FShsJasWQAEiNGj.jpg")</f>
        <v>https://pbs.twimg.com/media/FShsJasWQAEiNGj.jpg</v>
      </c>
      <c r="W13" s="83">
        <v>44693.13116898148</v>
      </c>
      <c r="X13" s="88">
        <v>44693</v>
      </c>
      <c r="Y13" s="86" t="s">
        <v>649</v>
      </c>
      <c r="Z13" s="84" t="str">
        <f>HYPERLINK("https://twitter.com/indianweekender/status/1524587386654572550")</f>
        <v>https://twitter.com/indianweekender/status/1524587386654572550</v>
      </c>
      <c r="AA13" s="81"/>
      <c r="AB13" s="81"/>
      <c r="AC13" s="86" t="s">
        <v>678</v>
      </c>
      <c r="AD13" s="81"/>
      <c r="AE13" s="81" t="b">
        <v>0</v>
      </c>
      <c r="AF13" s="81">
        <v>0</v>
      </c>
      <c r="AG13" s="86" t="s">
        <v>266</v>
      </c>
      <c r="AH13" s="81" t="b">
        <v>0</v>
      </c>
      <c r="AI13" s="81" t="s">
        <v>268</v>
      </c>
      <c r="AJ13" s="81"/>
      <c r="AK13" s="86" t="s">
        <v>266</v>
      </c>
      <c r="AL13" s="81" t="b">
        <v>0</v>
      </c>
      <c r="AM13" s="81">
        <v>0</v>
      </c>
      <c r="AN13" s="86" t="s">
        <v>266</v>
      </c>
      <c r="AO13" s="86" t="s">
        <v>273</v>
      </c>
      <c r="AP13" s="81" t="b">
        <v>0</v>
      </c>
      <c r="AQ13" s="86" t="s">
        <v>678</v>
      </c>
      <c r="AR13" s="81" t="s">
        <v>218</v>
      </c>
      <c r="AS13" s="81">
        <v>0</v>
      </c>
      <c r="AT13" s="81">
        <v>0</v>
      </c>
      <c r="AU13" s="81"/>
      <c r="AV13" s="81"/>
      <c r="AW13" s="81"/>
      <c r="AX13" s="81"/>
      <c r="AY13" s="81"/>
      <c r="AZ13" s="81"/>
      <c r="BA13" s="81"/>
      <c r="BB13" s="81"/>
      <c r="BC13" s="78">
        <v>7</v>
      </c>
      <c r="BD13" s="80" t="str">
        <f>REPLACE(INDEX(GroupVertices[Group],MATCH(Edges[[#This Row],[Vertex 1]],GroupVertices[Vertex],0)),1,1,"")</f>
        <v>5</v>
      </c>
      <c r="BE13" s="80" t="str">
        <f>REPLACE(INDEX(GroupVertices[Group],MATCH(Edges[[#This Row],[Vertex 2]],GroupVertices[Vertex],0)),1,1,"")</f>
        <v>5</v>
      </c>
      <c r="BF13" s="49">
        <v>0</v>
      </c>
      <c r="BG13" s="50">
        <v>0</v>
      </c>
      <c r="BH13" s="49">
        <v>1</v>
      </c>
      <c r="BI13" s="50">
        <v>5.555555555555555</v>
      </c>
      <c r="BJ13" s="49">
        <v>0</v>
      </c>
      <c r="BK13" s="50">
        <v>0</v>
      </c>
      <c r="BL13" s="49">
        <v>17</v>
      </c>
      <c r="BM13" s="50">
        <v>94.44444444444444</v>
      </c>
      <c r="BN13" s="49">
        <v>18</v>
      </c>
    </row>
    <row r="14" spans="1:66" ht="15">
      <c r="A14" s="65" t="s">
        <v>578</v>
      </c>
      <c r="B14" s="65" t="s">
        <v>578</v>
      </c>
      <c r="C14" s="66" t="s">
        <v>569</v>
      </c>
      <c r="D14" s="67">
        <v>10</v>
      </c>
      <c r="E14" s="66"/>
      <c r="F14" s="69">
        <v>15</v>
      </c>
      <c r="G14" s="66"/>
      <c r="H14" s="70"/>
      <c r="I14" s="71"/>
      <c r="J14" s="71"/>
      <c r="K14" s="35" t="s">
        <v>65</v>
      </c>
      <c r="L14" s="72">
        <v>14</v>
      </c>
      <c r="M14" s="72"/>
      <c r="N14" s="73"/>
      <c r="O14" s="81" t="s">
        <v>218</v>
      </c>
      <c r="P14" s="83">
        <v>44693.21695601852</v>
      </c>
      <c r="Q14" s="81" t="s">
        <v>608</v>
      </c>
      <c r="R14" s="84" t="str">
        <f>HYPERLINK("https://www.indianweekender.co.nz/Pages/ArticleDetails/7/19650/New-Zealand/Immigration-Rebalance-International-students-will-have-to-show-5000-for-post-st")</f>
        <v>https://www.indianweekender.co.nz/Pages/ArticleDetails/7/19650/New-Zealand/Immigration-Rebalance-International-students-will-have-to-show-5000-for-post-st</v>
      </c>
      <c r="S14" s="81" t="s">
        <v>264</v>
      </c>
      <c r="T14" s="86" t="s">
        <v>631</v>
      </c>
      <c r="U14" s="81"/>
      <c r="V14" s="84" t="str">
        <f>HYPERLINK("https://pbs.twimg.com/profile_images/1261271976728903681/tiry95eM_normal.jpg")</f>
        <v>https://pbs.twimg.com/profile_images/1261271976728903681/tiry95eM_normal.jpg</v>
      </c>
      <c r="W14" s="83">
        <v>44693.21695601852</v>
      </c>
      <c r="X14" s="88">
        <v>44693</v>
      </c>
      <c r="Y14" s="86" t="s">
        <v>650</v>
      </c>
      <c r="Z14" s="84" t="str">
        <f>HYPERLINK("https://twitter.com/indianweekender/status/1524618478250246144")</f>
        <v>https://twitter.com/indianweekender/status/1524618478250246144</v>
      </c>
      <c r="AA14" s="81"/>
      <c r="AB14" s="81"/>
      <c r="AC14" s="86" t="s">
        <v>679</v>
      </c>
      <c r="AD14" s="81"/>
      <c r="AE14" s="81" t="b">
        <v>0</v>
      </c>
      <c r="AF14" s="81">
        <v>1</v>
      </c>
      <c r="AG14" s="86" t="s">
        <v>266</v>
      </c>
      <c r="AH14" s="81" t="b">
        <v>0</v>
      </c>
      <c r="AI14" s="81" t="s">
        <v>268</v>
      </c>
      <c r="AJ14" s="81"/>
      <c r="AK14" s="86" t="s">
        <v>266</v>
      </c>
      <c r="AL14" s="81" t="b">
        <v>0</v>
      </c>
      <c r="AM14" s="81">
        <v>0</v>
      </c>
      <c r="AN14" s="86" t="s">
        <v>266</v>
      </c>
      <c r="AO14" s="86" t="s">
        <v>273</v>
      </c>
      <c r="AP14" s="81" t="b">
        <v>0</v>
      </c>
      <c r="AQ14" s="86" t="s">
        <v>679</v>
      </c>
      <c r="AR14" s="81" t="s">
        <v>218</v>
      </c>
      <c r="AS14" s="81">
        <v>0</v>
      </c>
      <c r="AT14" s="81">
        <v>0</v>
      </c>
      <c r="AU14" s="81"/>
      <c r="AV14" s="81"/>
      <c r="AW14" s="81"/>
      <c r="AX14" s="81"/>
      <c r="AY14" s="81"/>
      <c r="AZ14" s="81"/>
      <c r="BA14" s="81"/>
      <c r="BB14" s="81"/>
      <c r="BC14" s="78">
        <v>7</v>
      </c>
      <c r="BD14" s="80" t="str">
        <f>REPLACE(INDEX(GroupVertices[Group],MATCH(Edges[[#This Row],[Vertex 1]],GroupVertices[Vertex],0)),1,1,"")</f>
        <v>5</v>
      </c>
      <c r="BE14" s="80" t="str">
        <f>REPLACE(INDEX(GroupVertices[Group],MATCH(Edges[[#This Row],[Vertex 2]],GroupVertices[Vertex],0)),1,1,"")</f>
        <v>5</v>
      </c>
      <c r="BF14" s="49">
        <v>1</v>
      </c>
      <c r="BG14" s="50">
        <v>3.7037037037037037</v>
      </c>
      <c r="BH14" s="49">
        <v>0</v>
      </c>
      <c r="BI14" s="50">
        <v>0</v>
      </c>
      <c r="BJ14" s="49">
        <v>0</v>
      </c>
      <c r="BK14" s="50">
        <v>0</v>
      </c>
      <c r="BL14" s="49">
        <v>26</v>
      </c>
      <c r="BM14" s="50">
        <v>96.29629629629629</v>
      </c>
      <c r="BN14" s="49">
        <v>27</v>
      </c>
    </row>
    <row r="15" spans="1:66" ht="15">
      <c r="A15" s="65" t="s">
        <v>579</v>
      </c>
      <c r="B15" s="65" t="s">
        <v>578</v>
      </c>
      <c r="C15" s="66" t="s">
        <v>570</v>
      </c>
      <c r="D15" s="67">
        <v>7.5</v>
      </c>
      <c r="E15" s="66"/>
      <c r="F15" s="69">
        <v>32.5</v>
      </c>
      <c r="G15" s="66"/>
      <c r="H15" s="70"/>
      <c r="I15" s="71"/>
      <c r="J15" s="71"/>
      <c r="K15" s="35" t="s">
        <v>65</v>
      </c>
      <c r="L15" s="72">
        <v>15</v>
      </c>
      <c r="M15" s="72"/>
      <c r="N15" s="73"/>
      <c r="O15" s="81" t="s">
        <v>261</v>
      </c>
      <c r="P15" s="83">
        <v>44694.15709490741</v>
      </c>
      <c r="Q15" s="81" t="s">
        <v>606</v>
      </c>
      <c r="R15" s="81"/>
      <c r="S15" s="81"/>
      <c r="T15" s="86" t="s">
        <v>629</v>
      </c>
      <c r="U15" s="84" t="str">
        <f>HYPERLINK("https://pbs.twimg.com/media/FShjRMvXMAEvUPA.jpg")</f>
        <v>https://pbs.twimg.com/media/FShjRMvXMAEvUPA.jpg</v>
      </c>
      <c r="V15" s="84" t="str">
        <f>HYPERLINK("https://pbs.twimg.com/media/FShjRMvXMAEvUPA.jpg")</f>
        <v>https://pbs.twimg.com/media/FShjRMvXMAEvUPA.jpg</v>
      </c>
      <c r="W15" s="83">
        <v>44694.15709490741</v>
      </c>
      <c r="X15" s="88">
        <v>44694</v>
      </c>
      <c r="Y15" s="86" t="s">
        <v>651</v>
      </c>
      <c r="Z15" s="84" t="str">
        <f>HYPERLINK("https://twitter.com/sureshk01547631/status/1524959171522613248")</f>
        <v>https://twitter.com/sureshk01547631/status/1524959171522613248</v>
      </c>
      <c r="AA15" s="81"/>
      <c r="AB15" s="81"/>
      <c r="AC15" s="86" t="s">
        <v>680</v>
      </c>
      <c r="AD15" s="81"/>
      <c r="AE15" s="81" t="b">
        <v>0</v>
      </c>
      <c r="AF15" s="81">
        <v>0</v>
      </c>
      <c r="AG15" s="86" t="s">
        <v>266</v>
      </c>
      <c r="AH15" s="81" t="b">
        <v>0</v>
      </c>
      <c r="AI15" s="81" t="s">
        <v>268</v>
      </c>
      <c r="AJ15" s="81"/>
      <c r="AK15" s="86" t="s">
        <v>266</v>
      </c>
      <c r="AL15" s="81" t="b">
        <v>0</v>
      </c>
      <c r="AM15" s="81">
        <v>1</v>
      </c>
      <c r="AN15" s="86" t="s">
        <v>677</v>
      </c>
      <c r="AO15" s="86" t="s">
        <v>271</v>
      </c>
      <c r="AP15" s="81" t="b">
        <v>0</v>
      </c>
      <c r="AQ15" s="86" t="s">
        <v>677</v>
      </c>
      <c r="AR15" s="81" t="s">
        <v>218</v>
      </c>
      <c r="AS15" s="81">
        <v>0</v>
      </c>
      <c r="AT15" s="81">
        <v>0</v>
      </c>
      <c r="AU15" s="81"/>
      <c r="AV15" s="81"/>
      <c r="AW15" s="81"/>
      <c r="AX15" s="81"/>
      <c r="AY15" s="81"/>
      <c r="AZ15" s="81"/>
      <c r="BA15" s="81"/>
      <c r="BB15" s="81"/>
      <c r="BC15" s="78">
        <v>2</v>
      </c>
      <c r="BD15" s="80" t="str">
        <f>REPLACE(INDEX(GroupVertices[Group],MATCH(Edges[[#This Row],[Vertex 1]],GroupVertices[Vertex],0)),1,1,"")</f>
        <v>5</v>
      </c>
      <c r="BE15" s="80" t="str">
        <f>REPLACE(INDEX(GroupVertices[Group],MATCH(Edges[[#This Row],[Vertex 2]],GroupVertices[Vertex],0)),1,1,"")</f>
        <v>5</v>
      </c>
      <c r="BF15" s="49">
        <v>5</v>
      </c>
      <c r="BG15" s="50">
        <v>11.904761904761905</v>
      </c>
      <c r="BH15" s="49">
        <v>1</v>
      </c>
      <c r="BI15" s="50">
        <v>2.380952380952381</v>
      </c>
      <c r="BJ15" s="49">
        <v>0</v>
      </c>
      <c r="BK15" s="50">
        <v>0</v>
      </c>
      <c r="BL15" s="49">
        <v>36</v>
      </c>
      <c r="BM15" s="50">
        <v>85.71428571428571</v>
      </c>
      <c r="BN15" s="49">
        <v>42</v>
      </c>
    </row>
    <row r="16" spans="1:66" ht="15">
      <c r="A16" s="65" t="s">
        <v>579</v>
      </c>
      <c r="B16" s="65" t="s">
        <v>578</v>
      </c>
      <c r="C16" s="66" t="s">
        <v>570</v>
      </c>
      <c r="D16" s="67">
        <v>7.5</v>
      </c>
      <c r="E16" s="66"/>
      <c r="F16" s="69">
        <v>32.5</v>
      </c>
      <c r="G16" s="66"/>
      <c r="H16" s="70"/>
      <c r="I16" s="71"/>
      <c r="J16" s="71"/>
      <c r="K16" s="35" t="s">
        <v>65</v>
      </c>
      <c r="L16" s="72">
        <v>16</v>
      </c>
      <c r="M16" s="72"/>
      <c r="N16" s="73"/>
      <c r="O16" s="81" t="s">
        <v>261</v>
      </c>
      <c r="P16" s="83">
        <v>44694.15728009259</v>
      </c>
      <c r="Q16" s="81" t="s">
        <v>605</v>
      </c>
      <c r="R16" s="81"/>
      <c r="S16" s="81"/>
      <c r="T16" s="86" t="s">
        <v>628</v>
      </c>
      <c r="U16" s="84" t="str">
        <f>HYPERLINK("https://pbs.twimg.com/media/FShjQiPXoAAO-2g.jpg")</f>
        <v>https://pbs.twimg.com/media/FShjQiPXoAAO-2g.jpg</v>
      </c>
      <c r="V16" s="84" t="str">
        <f>HYPERLINK("https://pbs.twimg.com/media/FShjQiPXoAAO-2g.jpg")</f>
        <v>https://pbs.twimg.com/media/FShjQiPXoAAO-2g.jpg</v>
      </c>
      <c r="W16" s="83">
        <v>44694.15728009259</v>
      </c>
      <c r="X16" s="88">
        <v>44694</v>
      </c>
      <c r="Y16" s="86" t="s">
        <v>652</v>
      </c>
      <c r="Z16" s="84" t="str">
        <f>HYPERLINK("https://twitter.com/sureshk01547631/status/1524959238547574784")</f>
        <v>https://twitter.com/sureshk01547631/status/1524959238547574784</v>
      </c>
      <c r="AA16" s="81"/>
      <c r="AB16" s="81"/>
      <c r="AC16" s="86" t="s">
        <v>681</v>
      </c>
      <c r="AD16" s="81"/>
      <c r="AE16" s="81" t="b">
        <v>0</v>
      </c>
      <c r="AF16" s="81">
        <v>0</v>
      </c>
      <c r="AG16" s="86" t="s">
        <v>266</v>
      </c>
      <c r="AH16" s="81" t="b">
        <v>0</v>
      </c>
      <c r="AI16" s="81" t="s">
        <v>268</v>
      </c>
      <c r="AJ16" s="81"/>
      <c r="AK16" s="86" t="s">
        <v>266</v>
      </c>
      <c r="AL16" s="81" t="b">
        <v>0</v>
      </c>
      <c r="AM16" s="81">
        <v>1</v>
      </c>
      <c r="AN16" s="86" t="s">
        <v>676</v>
      </c>
      <c r="AO16" s="86" t="s">
        <v>271</v>
      </c>
      <c r="AP16" s="81" t="b">
        <v>0</v>
      </c>
      <c r="AQ16" s="86" t="s">
        <v>676</v>
      </c>
      <c r="AR16" s="81" t="s">
        <v>218</v>
      </c>
      <c r="AS16" s="81">
        <v>0</v>
      </c>
      <c r="AT16" s="81">
        <v>0</v>
      </c>
      <c r="AU16" s="81"/>
      <c r="AV16" s="81"/>
      <c r="AW16" s="81"/>
      <c r="AX16" s="81"/>
      <c r="AY16" s="81"/>
      <c r="AZ16" s="81"/>
      <c r="BA16" s="81"/>
      <c r="BB16" s="81"/>
      <c r="BC16" s="78">
        <v>2</v>
      </c>
      <c r="BD16" s="80" t="str">
        <f>REPLACE(INDEX(GroupVertices[Group],MATCH(Edges[[#This Row],[Vertex 1]],GroupVertices[Vertex],0)),1,1,"")</f>
        <v>5</v>
      </c>
      <c r="BE16" s="80" t="str">
        <f>REPLACE(INDEX(GroupVertices[Group],MATCH(Edges[[#This Row],[Vertex 2]],GroupVertices[Vertex],0)),1,1,"")</f>
        <v>5</v>
      </c>
      <c r="BF16" s="49">
        <v>0</v>
      </c>
      <c r="BG16" s="50">
        <v>0</v>
      </c>
      <c r="BH16" s="49">
        <v>0</v>
      </c>
      <c r="BI16" s="50">
        <v>0</v>
      </c>
      <c r="BJ16" s="49">
        <v>0</v>
      </c>
      <c r="BK16" s="50">
        <v>0</v>
      </c>
      <c r="BL16" s="49">
        <v>20</v>
      </c>
      <c r="BM16" s="50">
        <v>100</v>
      </c>
      <c r="BN16" s="49">
        <v>20</v>
      </c>
    </row>
    <row r="17" spans="1:66" ht="15">
      <c r="A17" s="65" t="s">
        <v>580</v>
      </c>
      <c r="B17" s="65" t="s">
        <v>588</v>
      </c>
      <c r="C17" s="66" t="s">
        <v>568</v>
      </c>
      <c r="D17" s="67">
        <v>5</v>
      </c>
      <c r="E17" s="66"/>
      <c r="F17" s="69">
        <v>50</v>
      </c>
      <c r="G17" s="66"/>
      <c r="H17" s="70"/>
      <c r="I17" s="71"/>
      <c r="J17" s="71"/>
      <c r="K17" s="35" t="s">
        <v>65</v>
      </c>
      <c r="L17" s="72">
        <v>17</v>
      </c>
      <c r="M17" s="72"/>
      <c r="N17" s="73"/>
      <c r="O17" s="81" t="s">
        <v>262</v>
      </c>
      <c r="P17" s="83">
        <v>44691.13585648148</v>
      </c>
      <c r="Q17" s="81" t="s">
        <v>609</v>
      </c>
      <c r="R17" s="84" t="str">
        <f>HYPERLINK("https://www.stuff.co.nz/national/immigration/300580917/woman-who-has-overstayed-in-nz-for-16-years-granted-residence-due-to-family-ties")</f>
        <v>https://www.stuff.co.nz/national/immigration/300580917/woman-who-has-overstayed-in-nz-for-16-years-granted-residence-due-to-family-ties</v>
      </c>
      <c r="S17" s="81" t="s">
        <v>264</v>
      </c>
      <c r="T17" s="86" t="s">
        <v>582</v>
      </c>
      <c r="U17" s="81"/>
      <c r="V17" s="84" t="str">
        <f>HYPERLINK("https://pbs.twimg.com/profile_images/1521083114046758913/ia08w9bB_normal.jpg")</f>
        <v>https://pbs.twimg.com/profile_images/1521083114046758913/ia08w9bB_normal.jpg</v>
      </c>
      <c r="W17" s="83">
        <v>44691.13585648148</v>
      </c>
      <c r="X17" s="88">
        <v>44691</v>
      </c>
      <c r="Y17" s="86" t="s">
        <v>653</v>
      </c>
      <c r="Z17" s="84" t="str">
        <f>HYPERLINK("https://twitter.com/ariannagail1/status/1523864310879223809")</f>
        <v>https://twitter.com/ariannagail1/status/1523864310879223809</v>
      </c>
      <c r="AA17" s="81"/>
      <c r="AB17" s="81"/>
      <c r="AC17" s="86" t="s">
        <v>682</v>
      </c>
      <c r="AD17" s="81"/>
      <c r="AE17" s="81" t="b">
        <v>0</v>
      </c>
      <c r="AF17" s="81">
        <v>0</v>
      </c>
      <c r="AG17" s="86" t="s">
        <v>266</v>
      </c>
      <c r="AH17" s="81" t="b">
        <v>0</v>
      </c>
      <c r="AI17" s="81" t="s">
        <v>268</v>
      </c>
      <c r="AJ17" s="81"/>
      <c r="AK17" s="86" t="s">
        <v>266</v>
      </c>
      <c r="AL17" s="81" t="b">
        <v>0</v>
      </c>
      <c r="AM17" s="81">
        <v>1</v>
      </c>
      <c r="AN17" s="86" t="s">
        <v>683</v>
      </c>
      <c r="AO17" s="86" t="s">
        <v>270</v>
      </c>
      <c r="AP17" s="81" t="b">
        <v>0</v>
      </c>
      <c r="AQ17" s="86" t="s">
        <v>683</v>
      </c>
      <c r="AR17" s="81" t="s">
        <v>218</v>
      </c>
      <c r="AS17" s="81">
        <v>0</v>
      </c>
      <c r="AT17" s="81">
        <v>0</v>
      </c>
      <c r="AU17" s="81"/>
      <c r="AV17" s="81"/>
      <c r="AW17" s="81"/>
      <c r="AX17" s="81"/>
      <c r="AY17" s="81"/>
      <c r="AZ17" s="81"/>
      <c r="BA17" s="81"/>
      <c r="BB17" s="81"/>
      <c r="BC17" s="78">
        <v>1</v>
      </c>
      <c r="BD17" s="80" t="str">
        <f>REPLACE(INDEX(GroupVertices[Group],MATCH(Edges[[#This Row],[Vertex 1]],GroupVertices[Vertex],0)),1,1,"")</f>
        <v>2</v>
      </c>
      <c r="BE17" s="80" t="str">
        <f>REPLACE(INDEX(GroupVertices[Group],MATCH(Edges[[#This Row],[Vertex 2]],GroupVertices[Vertex],0)),1,1,"")</f>
        <v>2</v>
      </c>
      <c r="BF17" s="49"/>
      <c r="BG17" s="50"/>
      <c r="BH17" s="49"/>
      <c r="BI17" s="50"/>
      <c r="BJ17" s="49"/>
      <c r="BK17" s="50"/>
      <c r="BL17" s="49"/>
      <c r="BM17" s="50"/>
      <c r="BN17" s="49"/>
    </row>
    <row r="18" spans="1:66" ht="15">
      <c r="A18" s="65" t="s">
        <v>581</v>
      </c>
      <c r="B18" s="65" t="s">
        <v>588</v>
      </c>
      <c r="C18" s="66" t="s">
        <v>568</v>
      </c>
      <c r="D18" s="67">
        <v>5</v>
      </c>
      <c r="E18" s="66"/>
      <c r="F18" s="69">
        <v>50</v>
      </c>
      <c r="G18" s="66"/>
      <c r="H18" s="70"/>
      <c r="I18" s="71"/>
      <c r="J18" s="71"/>
      <c r="K18" s="35" t="s">
        <v>65</v>
      </c>
      <c r="L18" s="72">
        <v>18</v>
      </c>
      <c r="M18" s="72"/>
      <c r="N18" s="73"/>
      <c r="O18" s="81" t="s">
        <v>259</v>
      </c>
      <c r="P18" s="83">
        <v>44690.05778935185</v>
      </c>
      <c r="Q18" s="81" t="s">
        <v>609</v>
      </c>
      <c r="R18" s="84" t="str">
        <f>HYPERLINK("https://www.stuff.co.nz/national/immigration/300580917/woman-who-has-overstayed-in-nz-for-16-years-granted-residence-due-to-family-ties")</f>
        <v>https://www.stuff.co.nz/national/immigration/300580917/woman-who-has-overstayed-in-nz-for-16-years-granted-residence-due-to-family-ties</v>
      </c>
      <c r="S18" s="81" t="s">
        <v>264</v>
      </c>
      <c r="T18" s="86" t="s">
        <v>582</v>
      </c>
      <c r="U18" s="81"/>
      <c r="V18" s="84" t="str">
        <f>HYPERLINK("https://pbs.twimg.com/profile_images/1509686418662068230/6_KXm14m_normal.jpg")</f>
        <v>https://pbs.twimg.com/profile_images/1509686418662068230/6_KXm14m_normal.jpg</v>
      </c>
      <c r="W18" s="83">
        <v>44690.05778935185</v>
      </c>
      <c r="X18" s="88">
        <v>44690</v>
      </c>
      <c r="Y18" s="86" t="s">
        <v>654</v>
      </c>
      <c r="Z18" s="84" t="str">
        <f>HYPERLINK("https://twitter.com/jennykaynz/status/1523473630767706112")</f>
        <v>https://twitter.com/jennykaynz/status/1523473630767706112</v>
      </c>
      <c r="AA18" s="81"/>
      <c r="AB18" s="81"/>
      <c r="AC18" s="86" t="s">
        <v>683</v>
      </c>
      <c r="AD18" s="81"/>
      <c r="AE18" s="81" t="b">
        <v>0</v>
      </c>
      <c r="AF18" s="81">
        <v>3</v>
      </c>
      <c r="AG18" s="86" t="s">
        <v>266</v>
      </c>
      <c r="AH18" s="81" t="b">
        <v>0</v>
      </c>
      <c r="AI18" s="81" t="s">
        <v>268</v>
      </c>
      <c r="AJ18" s="81"/>
      <c r="AK18" s="86" t="s">
        <v>266</v>
      </c>
      <c r="AL18" s="81" t="b">
        <v>0</v>
      </c>
      <c r="AM18" s="81">
        <v>1</v>
      </c>
      <c r="AN18" s="86" t="s">
        <v>266</v>
      </c>
      <c r="AO18" s="86" t="s">
        <v>269</v>
      </c>
      <c r="AP18" s="81" t="b">
        <v>0</v>
      </c>
      <c r="AQ18" s="86" t="s">
        <v>683</v>
      </c>
      <c r="AR18" s="81" t="s">
        <v>218</v>
      </c>
      <c r="AS18" s="81">
        <v>0</v>
      </c>
      <c r="AT18" s="81">
        <v>0</v>
      </c>
      <c r="AU18" s="81"/>
      <c r="AV18" s="81"/>
      <c r="AW18" s="81"/>
      <c r="AX18" s="81"/>
      <c r="AY18" s="81"/>
      <c r="AZ18" s="81"/>
      <c r="BA18" s="81"/>
      <c r="BB18" s="81"/>
      <c r="BC18" s="78">
        <v>1</v>
      </c>
      <c r="BD18" s="80" t="str">
        <f>REPLACE(INDEX(GroupVertices[Group],MATCH(Edges[[#This Row],[Vertex 1]],GroupVertices[Vertex],0)),1,1,"")</f>
        <v>1</v>
      </c>
      <c r="BE18" s="80" t="str">
        <f>REPLACE(INDEX(GroupVertices[Group],MATCH(Edges[[#This Row],[Vertex 2]],GroupVertices[Vertex],0)),1,1,"")</f>
        <v>2</v>
      </c>
      <c r="BF18" s="49"/>
      <c r="BG18" s="50"/>
      <c r="BH18" s="49"/>
      <c r="BI18" s="50"/>
      <c r="BJ18" s="49"/>
      <c r="BK18" s="50"/>
      <c r="BL18" s="49"/>
      <c r="BM18" s="50"/>
      <c r="BN18" s="49"/>
    </row>
    <row r="19" spans="1:66" ht="15">
      <c r="A19" s="65" t="s">
        <v>581</v>
      </c>
      <c r="B19" s="65" t="s">
        <v>590</v>
      </c>
      <c r="C19" s="66" t="s">
        <v>568</v>
      </c>
      <c r="D19" s="67">
        <v>5</v>
      </c>
      <c r="E19" s="66"/>
      <c r="F19" s="69">
        <v>50</v>
      </c>
      <c r="G19" s="66"/>
      <c r="H19" s="70"/>
      <c r="I19" s="71"/>
      <c r="J19" s="71"/>
      <c r="K19" s="35" t="s">
        <v>65</v>
      </c>
      <c r="L19" s="72">
        <v>19</v>
      </c>
      <c r="M19" s="72"/>
      <c r="N19" s="73"/>
      <c r="O19" s="81" t="s">
        <v>259</v>
      </c>
      <c r="P19" s="83">
        <v>44690.130266203705</v>
      </c>
      <c r="Q19" s="81" t="s">
        <v>610</v>
      </c>
      <c r="R19" s="84" t="str">
        <f>HYPERLINK("https://nzccss.org.nz/wp-content/uploads/NZCCSS-Manifesto-Tracker-May-2022.pdf")</f>
        <v>https://nzccss.org.nz/wp-content/uploads/NZCCSS-Manifesto-Tracker-May-2022.pdf</v>
      </c>
      <c r="S19" s="81" t="s">
        <v>621</v>
      </c>
      <c r="T19" s="86" t="s">
        <v>632</v>
      </c>
      <c r="U19" s="81"/>
      <c r="V19" s="84" t="str">
        <f>HYPERLINK("https://pbs.twimg.com/profile_images/1509686418662068230/6_KXm14m_normal.jpg")</f>
        <v>https://pbs.twimg.com/profile_images/1509686418662068230/6_KXm14m_normal.jpg</v>
      </c>
      <c r="W19" s="83">
        <v>44690.130266203705</v>
      </c>
      <c r="X19" s="88">
        <v>44690</v>
      </c>
      <c r="Y19" s="86" t="s">
        <v>655</v>
      </c>
      <c r="Z19" s="84" t="str">
        <f>HYPERLINK("https://twitter.com/jennykaynz/status/1523499898741555202")</f>
        <v>https://twitter.com/jennykaynz/status/1523499898741555202</v>
      </c>
      <c r="AA19" s="81"/>
      <c r="AB19" s="81"/>
      <c r="AC19" s="86" t="s">
        <v>684</v>
      </c>
      <c r="AD19" s="81"/>
      <c r="AE19" s="81" t="b">
        <v>0</v>
      </c>
      <c r="AF19" s="81">
        <v>0</v>
      </c>
      <c r="AG19" s="86" t="s">
        <v>266</v>
      </c>
      <c r="AH19" s="81" t="b">
        <v>0</v>
      </c>
      <c r="AI19" s="81" t="s">
        <v>268</v>
      </c>
      <c r="AJ19" s="81"/>
      <c r="AK19" s="86" t="s">
        <v>266</v>
      </c>
      <c r="AL19" s="81" t="b">
        <v>0</v>
      </c>
      <c r="AM19" s="81">
        <v>0</v>
      </c>
      <c r="AN19" s="86" t="s">
        <v>266</v>
      </c>
      <c r="AO19" s="86" t="s">
        <v>269</v>
      </c>
      <c r="AP19" s="81" t="b">
        <v>0</v>
      </c>
      <c r="AQ19" s="86" t="s">
        <v>684</v>
      </c>
      <c r="AR19" s="81" t="s">
        <v>218</v>
      </c>
      <c r="AS19" s="81">
        <v>0</v>
      </c>
      <c r="AT19" s="81">
        <v>0</v>
      </c>
      <c r="AU19" s="81"/>
      <c r="AV19" s="81"/>
      <c r="AW19" s="81"/>
      <c r="AX19" s="81"/>
      <c r="AY19" s="81"/>
      <c r="AZ19" s="81"/>
      <c r="BA19" s="81"/>
      <c r="BB19" s="81"/>
      <c r="BC19" s="78">
        <v>1</v>
      </c>
      <c r="BD19" s="80" t="str">
        <f>REPLACE(INDEX(GroupVertices[Group],MATCH(Edges[[#This Row],[Vertex 1]],GroupVertices[Vertex],0)),1,1,"")</f>
        <v>1</v>
      </c>
      <c r="BE19" s="80" t="str">
        <f>REPLACE(INDEX(GroupVertices[Group],MATCH(Edges[[#This Row],[Vertex 2]],GroupVertices[Vertex],0)),1,1,"")</f>
        <v>1</v>
      </c>
      <c r="BF19" s="49"/>
      <c r="BG19" s="50"/>
      <c r="BH19" s="49"/>
      <c r="BI19" s="50"/>
      <c r="BJ19" s="49"/>
      <c r="BK19" s="50"/>
      <c r="BL19" s="49"/>
      <c r="BM19" s="50"/>
      <c r="BN19" s="49"/>
    </row>
    <row r="20" spans="1:66" ht="15">
      <c r="A20" s="65" t="s">
        <v>581</v>
      </c>
      <c r="B20" s="65" t="s">
        <v>591</v>
      </c>
      <c r="C20" s="66" t="s">
        <v>568</v>
      </c>
      <c r="D20" s="67">
        <v>5</v>
      </c>
      <c r="E20" s="66"/>
      <c r="F20" s="69">
        <v>50</v>
      </c>
      <c r="G20" s="66"/>
      <c r="H20" s="70"/>
      <c r="I20" s="71"/>
      <c r="J20" s="71"/>
      <c r="K20" s="35" t="s">
        <v>65</v>
      </c>
      <c r="L20" s="72">
        <v>20</v>
      </c>
      <c r="M20" s="72"/>
      <c r="N20" s="73"/>
      <c r="O20" s="81" t="s">
        <v>259</v>
      </c>
      <c r="P20" s="83">
        <v>44690.130266203705</v>
      </c>
      <c r="Q20" s="81" t="s">
        <v>610</v>
      </c>
      <c r="R20" s="84" t="str">
        <f>HYPERLINK("https://nzccss.org.nz/wp-content/uploads/NZCCSS-Manifesto-Tracker-May-2022.pdf")</f>
        <v>https://nzccss.org.nz/wp-content/uploads/NZCCSS-Manifesto-Tracker-May-2022.pdf</v>
      </c>
      <c r="S20" s="81" t="s">
        <v>621</v>
      </c>
      <c r="T20" s="86" t="s">
        <v>632</v>
      </c>
      <c r="U20" s="81"/>
      <c r="V20" s="84" t="str">
        <f>HYPERLINK("https://pbs.twimg.com/profile_images/1509686418662068230/6_KXm14m_normal.jpg")</f>
        <v>https://pbs.twimg.com/profile_images/1509686418662068230/6_KXm14m_normal.jpg</v>
      </c>
      <c r="W20" s="83">
        <v>44690.130266203705</v>
      </c>
      <c r="X20" s="88">
        <v>44690</v>
      </c>
      <c r="Y20" s="86" t="s">
        <v>655</v>
      </c>
      <c r="Z20" s="84" t="str">
        <f>HYPERLINK("https://twitter.com/jennykaynz/status/1523499898741555202")</f>
        <v>https://twitter.com/jennykaynz/status/1523499898741555202</v>
      </c>
      <c r="AA20" s="81"/>
      <c r="AB20" s="81"/>
      <c r="AC20" s="86" t="s">
        <v>684</v>
      </c>
      <c r="AD20" s="81"/>
      <c r="AE20" s="81" t="b">
        <v>0</v>
      </c>
      <c r="AF20" s="81">
        <v>0</v>
      </c>
      <c r="AG20" s="86" t="s">
        <v>266</v>
      </c>
      <c r="AH20" s="81" t="b">
        <v>0</v>
      </c>
      <c r="AI20" s="81" t="s">
        <v>268</v>
      </c>
      <c r="AJ20" s="81"/>
      <c r="AK20" s="86" t="s">
        <v>266</v>
      </c>
      <c r="AL20" s="81" t="b">
        <v>0</v>
      </c>
      <c r="AM20" s="81">
        <v>0</v>
      </c>
      <c r="AN20" s="86" t="s">
        <v>266</v>
      </c>
      <c r="AO20" s="86" t="s">
        <v>269</v>
      </c>
      <c r="AP20" s="81" t="b">
        <v>0</v>
      </c>
      <c r="AQ20" s="86" t="s">
        <v>684</v>
      </c>
      <c r="AR20" s="81" t="s">
        <v>218</v>
      </c>
      <c r="AS20" s="81">
        <v>0</v>
      </c>
      <c r="AT20" s="81">
        <v>0</v>
      </c>
      <c r="AU20" s="81"/>
      <c r="AV20" s="81"/>
      <c r="AW20" s="81"/>
      <c r="AX20" s="81"/>
      <c r="AY20" s="81"/>
      <c r="AZ20" s="81"/>
      <c r="BA20" s="81"/>
      <c r="BB20" s="81"/>
      <c r="BC20" s="78">
        <v>1</v>
      </c>
      <c r="BD20" s="80" t="str">
        <f>REPLACE(INDEX(GroupVertices[Group],MATCH(Edges[[#This Row],[Vertex 1]],GroupVertices[Vertex],0)),1,1,"")</f>
        <v>1</v>
      </c>
      <c r="BE20" s="80" t="str">
        <f>REPLACE(INDEX(GroupVertices[Group],MATCH(Edges[[#This Row],[Vertex 2]],GroupVertices[Vertex],0)),1,1,"")</f>
        <v>1</v>
      </c>
      <c r="BF20" s="49">
        <v>1</v>
      </c>
      <c r="BG20" s="50">
        <v>2.7777777777777777</v>
      </c>
      <c r="BH20" s="49">
        <v>0</v>
      </c>
      <c r="BI20" s="50">
        <v>0</v>
      </c>
      <c r="BJ20" s="49">
        <v>0</v>
      </c>
      <c r="BK20" s="50">
        <v>0</v>
      </c>
      <c r="BL20" s="49">
        <v>35</v>
      </c>
      <c r="BM20" s="50">
        <v>97.22222222222223</v>
      </c>
      <c r="BN20" s="49">
        <v>36</v>
      </c>
    </row>
    <row r="21" spans="1:66" ht="15">
      <c r="A21" s="65" t="s">
        <v>580</v>
      </c>
      <c r="B21" s="65" t="s">
        <v>592</v>
      </c>
      <c r="C21" s="66" t="s">
        <v>568</v>
      </c>
      <c r="D21" s="67">
        <v>5</v>
      </c>
      <c r="E21" s="66"/>
      <c r="F21" s="69">
        <v>50</v>
      </c>
      <c r="G21" s="66"/>
      <c r="H21" s="70"/>
      <c r="I21" s="71"/>
      <c r="J21" s="71"/>
      <c r="K21" s="35" t="s">
        <v>65</v>
      </c>
      <c r="L21" s="72">
        <v>21</v>
      </c>
      <c r="M21" s="72"/>
      <c r="N21" s="73"/>
      <c r="O21" s="81" t="s">
        <v>262</v>
      </c>
      <c r="P21" s="83">
        <v>44692.27914351852</v>
      </c>
      <c r="Q21" s="81" t="s">
        <v>611</v>
      </c>
      <c r="R21" s="81" t="s">
        <v>620</v>
      </c>
      <c r="S21" s="81" t="s">
        <v>483</v>
      </c>
      <c r="T21" s="86" t="s">
        <v>633</v>
      </c>
      <c r="U21" s="81"/>
      <c r="V21" s="84" t="str">
        <f>HYPERLINK("https://pbs.twimg.com/profile_images/1521083114046758913/ia08w9bB_normal.jpg")</f>
        <v>https://pbs.twimg.com/profile_images/1521083114046758913/ia08w9bB_normal.jpg</v>
      </c>
      <c r="W21" s="83">
        <v>44692.27914351852</v>
      </c>
      <c r="X21" s="88">
        <v>44692</v>
      </c>
      <c r="Y21" s="86" t="s">
        <v>656</v>
      </c>
      <c r="Z21" s="84" t="str">
        <f>HYPERLINK("https://twitter.com/ariannagail1/status/1524278622798102529")</f>
        <v>https://twitter.com/ariannagail1/status/1524278622798102529</v>
      </c>
      <c r="AA21" s="81"/>
      <c r="AB21" s="81"/>
      <c r="AC21" s="86" t="s">
        <v>685</v>
      </c>
      <c r="AD21" s="81"/>
      <c r="AE21" s="81" t="b">
        <v>0</v>
      </c>
      <c r="AF21" s="81">
        <v>0</v>
      </c>
      <c r="AG21" s="86" t="s">
        <v>266</v>
      </c>
      <c r="AH21" s="81" t="b">
        <v>1</v>
      </c>
      <c r="AI21" s="81" t="s">
        <v>268</v>
      </c>
      <c r="AJ21" s="81"/>
      <c r="AK21" s="86" t="s">
        <v>689</v>
      </c>
      <c r="AL21" s="81" t="b">
        <v>0</v>
      </c>
      <c r="AM21" s="81">
        <v>1</v>
      </c>
      <c r="AN21" s="86" t="s">
        <v>686</v>
      </c>
      <c r="AO21" s="86" t="s">
        <v>270</v>
      </c>
      <c r="AP21" s="81" t="b">
        <v>0</v>
      </c>
      <c r="AQ21" s="86" t="s">
        <v>686</v>
      </c>
      <c r="AR21" s="81" t="s">
        <v>218</v>
      </c>
      <c r="AS21" s="81">
        <v>0</v>
      </c>
      <c r="AT21" s="81">
        <v>0</v>
      </c>
      <c r="AU21" s="81"/>
      <c r="AV21" s="81"/>
      <c r="AW21" s="81"/>
      <c r="AX21" s="81"/>
      <c r="AY21" s="81"/>
      <c r="AZ21" s="81"/>
      <c r="BA21" s="81"/>
      <c r="BB21" s="81"/>
      <c r="BC21" s="78">
        <v>1</v>
      </c>
      <c r="BD21" s="80" t="str">
        <f>REPLACE(INDEX(GroupVertices[Group],MATCH(Edges[[#This Row],[Vertex 1]],GroupVertices[Vertex],0)),1,1,"")</f>
        <v>2</v>
      </c>
      <c r="BE21" s="80" t="str">
        <f>REPLACE(INDEX(GroupVertices[Group],MATCH(Edges[[#This Row],[Vertex 2]],GroupVertices[Vertex],0)),1,1,"")</f>
        <v>2</v>
      </c>
      <c r="BF21" s="49"/>
      <c r="BG21" s="50"/>
      <c r="BH21" s="49"/>
      <c r="BI21" s="50"/>
      <c r="BJ21" s="49"/>
      <c r="BK21" s="50"/>
      <c r="BL21" s="49"/>
      <c r="BM21" s="50"/>
      <c r="BN21" s="49"/>
    </row>
    <row r="22" spans="1:66" ht="15">
      <c r="A22" s="65" t="s">
        <v>581</v>
      </c>
      <c r="B22" s="65" t="s">
        <v>592</v>
      </c>
      <c r="C22" s="66" t="s">
        <v>568</v>
      </c>
      <c r="D22" s="67">
        <v>5</v>
      </c>
      <c r="E22" s="66"/>
      <c r="F22" s="69">
        <v>50</v>
      </c>
      <c r="G22" s="66"/>
      <c r="H22" s="70"/>
      <c r="I22" s="71"/>
      <c r="J22" s="71"/>
      <c r="K22" s="35" t="s">
        <v>65</v>
      </c>
      <c r="L22" s="72">
        <v>22</v>
      </c>
      <c r="M22" s="72"/>
      <c r="N22" s="73"/>
      <c r="O22" s="81" t="s">
        <v>259</v>
      </c>
      <c r="P22" s="83">
        <v>44692.24354166666</v>
      </c>
      <c r="Q22" s="81" t="s">
        <v>611</v>
      </c>
      <c r="R22" s="81" t="s">
        <v>620</v>
      </c>
      <c r="S22" s="81" t="s">
        <v>483</v>
      </c>
      <c r="T22" s="86" t="s">
        <v>633</v>
      </c>
      <c r="U22" s="81"/>
      <c r="V22" s="84" t="str">
        <f>HYPERLINK("https://pbs.twimg.com/profile_images/1509686418662068230/6_KXm14m_normal.jpg")</f>
        <v>https://pbs.twimg.com/profile_images/1509686418662068230/6_KXm14m_normal.jpg</v>
      </c>
      <c r="W22" s="83">
        <v>44692.24354166666</v>
      </c>
      <c r="X22" s="88">
        <v>44692</v>
      </c>
      <c r="Y22" s="86" t="s">
        <v>657</v>
      </c>
      <c r="Z22" s="84" t="str">
        <f>HYPERLINK("https://twitter.com/jennykaynz/status/1524265722628608000")</f>
        <v>https://twitter.com/jennykaynz/status/1524265722628608000</v>
      </c>
      <c r="AA22" s="81"/>
      <c r="AB22" s="81"/>
      <c r="AC22" s="86" t="s">
        <v>686</v>
      </c>
      <c r="AD22" s="81"/>
      <c r="AE22" s="81" t="b">
        <v>0</v>
      </c>
      <c r="AF22" s="81">
        <v>2</v>
      </c>
      <c r="AG22" s="86" t="s">
        <v>266</v>
      </c>
      <c r="AH22" s="81" t="b">
        <v>1</v>
      </c>
      <c r="AI22" s="81" t="s">
        <v>268</v>
      </c>
      <c r="AJ22" s="81"/>
      <c r="AK22" s="86" t="s">
        <v>689</v>
      </c>
      <c r="AL22" s="81" t="b">
        <v>0</v>
      </c>
      <c r="AM22" s="81">
        <v>1</v>
      </c>
      <c r="AN22" s="86" t="s">
        <v>266</v>
      </c>
      <c r="AO22" s="86" t="s">
        <v>269</v>
      </c>
      <c r="AP22" s="81" t="b">
        <v>0</v>
      </c>
      <c r="AQ22" s="86" t="s">
        <v>686</v>
      </c>
      <c r="AR22" s="81" t="s">
        <v>218</v>
      </c>
      <c r="AS22" s="81">
        <v>0</v>
      </c>
      <c r="AT22" s="81">
        <v>0</v>
      </c>
      <c r="AU22" s="81"/>
      <c r="AV22" s="81"/>
      <c r="AW22" s="81"/>
      <c r="AX22" s="81"/>
      <c r="AY22" s="81"/>
      <c r="AZ22" s="81"/>
      <c r="BA22" s="81"/>
      <c r="BB22" s="81"/>
      <c r="BC22" s="78">
        <v>1</v>
      </c>
      <c r="BD22" s="80" t="str">
        <f>REPLACE(INDEX(GroupVertices[Group],MATCH(Edges[[#This Row],[Vertex 1]],GroupVertices[Vertex],0)),1,1,"")</f>
        <v>1</v>
      </c>
      <c r="BE22" s="80" t="str">
        <f>REPLACE(INDEX(GroupVertices[Group],MATCH(Edges[[#This Row],[Vertex 2]],GroupVertices[Vertex],0)),1,1,"")</f>
        <v>2</v>
      </c>
      <c r="BF22" s="49"/>
      <c r="BG22" s="50"/>
      <c r="BH22" s="49"/>
      <c r="BI22" s="50"/>
      <c r="BJ22" s="49"/>
      <c r="BK22" s="50"/>
      <c r="BL22" s="49"/>
      <c r="BM22" s="50"/>
      <c r="BN22" s="49"/>
    </row>
    <row r="23" spans="1:66" ht="15">
      <c r="A23" s="65" t="s">
        <v>580</v>
      </c>
      <c r="B23" s="65" t="s">
        <v>593</v>
      </c>
      <c r="C23" s="66" t="s">
        <v>568</v>
      </c>
      <c r="D23" s="67">
        <v>5</v>
      </c>
      <c r="E23" s="66"/>
      <c r="F23" s="69">
        <v>50</v>
      </c>
      <c r="G23" s="66"/>
      <c r="H23" s="70"/>
      <c r="I23" s="71"/>
      <c r="J23" s="71"/>
      <c r="K23" s="35" t="s">
        <v>65</v>
      </c>
      <c r="L23" s="72">
        <v>23</v>
      </c>
      <c r="M23" s="72"/>
      <c r="N23" s="73"/>
      <c r="O23" s="81" t="s">
        <v>262</v>
      </c>
      <c r="P23" s="83">
        <v>44692.27914351852</v>
      </c>
      <c r="Q23" s="81" t="s">
        <v>611</v>
      </c>
      <c r="R23" s="81" t="s">
        <v>620</v>
      </c>
      <c r="S23" s="81" t="s">
        <v>483</v>
      </c>
      <c r="T23" s="86" t="s">
        <v>633</v>
      </c>
      <c r="U23" s="81"/>
      <c r="V23" s="84" t="str">
        <f>HYPERLINK("https://pbs.twimg.com/profile_images/1521083114046758913/ia08w9bB_normal.jpg")</f>
        <v>https://pbs.twimg.com/profile_images/1521083114046758913/ia08w9bB_normal.jpg</v>
      </c>
      <c r="W23" s="83">
        <v>44692.27914351852</v>
      </c>
      <c r="X23" s="88">
        <v>44692</v>
      </c>
      <c r="Y23" s="86" t="s">
        <v>656</v>
      </c>
      <c r="Z23" s="84" t="str">
        <f>HYPERLINK("https://twitter.com/ariannagail1/status/1524278622798102529")</f>
        <v>https://twitter.com/ariannagail1/status/1524278622798102529</v>
      </c>
      <c r="AA23" s="81"/>
      <c r="AB23" s="81"/>
      <c r="AC23" s="86" t="s">
        <v>685</v>
      </c>
      <c r="AD23" s="81"/>
      <c r="AE23" s="81" t="b">
        <v>0</v>
      </c>
      <c r="AF23" s="81">
        <v>0</v>
      </c>
      <c r="AG23" s="86" t="s">
        <v>266</v>
      </c>
      <c r="AH23" s="81" t="b">
        <v>1</v>
      </c>
      <c r="AI23" s="81" t="s">
        <v>268</v>
      </c>
      <c r="AJ23" s="81"/>
      <c r="AK23" s="86" t="s">
        <v>689</v>
      </c>
      <c r="AL23" s="81" t="b">
        <v>0</v>
      </c>
      <c r="AM23" s="81">
        <v>1</v>
      </c>
      <c r="AN23" s="86" t="s">
        <v>686</v>
      </c>
      <c r="AO23" s="86" t="s">
        <v>270</v>
      </c>
      <c r="AP23" s="81" t="b">
        <v>0</v>
      </c>
      <c r="AQ23" s="86" t="s">
        <v>686</v>
      </c>
      <c r="AR23" s="81" t="s">
        <v>218</v>
      </c>
      <c r="AS23" s="81">
        <v>0</v>
      </c>
      <c r="AT23" s="81">
        <v>0</v>
      </c>
      <c r="AU23" s="81"/>
      <c r="AV23" s="81"/>
      <c r="AW23" s="81"/>
      <c r="AX23" s="81"/>
      <c r="AY23" s="81"/>
      <c r="AZ23" s="81"/>
      <c r="BA23" s="81"/>
      <c r="BB23" s="81"/>
      <c r="BC23" s="78">
        <v>1</v>
      </c>
      <c r="BD23" s="80" t="str">
        <f>REPLACE(INDEX(GroupVertices[Group],MATCH(Edges[[#This Row],[Vertex 1]],GroupVertices[Vertex],0)),1,1,"")</f>
        <v>2</v>
      </c>
      <c r="BE23" s="80" t="str">
        <f>REPLACE(INDEX(GroupVertices[Group],MATCH(Edges[[#This Row],[Vertex 2]],GroupVertices[Vertex],0)),1,1,"")</f>
        <v>2</v>
      </c>
      <c r="BF23" s="49">
        <v>0</v>
      </c>
      <c r="BG23" s="50">
        <v>0</v>
      </c>
      <c r="BH23" s="49">
        <v>1</v>
      </c>
      <c r="BI23" s="50">
        <v>4.166666666666667</v>
      </c>
      <c r="BJ23" s="49">
        <v>0</v>
      </c>
      <c r="BK23" s="50">
        <v>0</v>
      </c>
      <c r="BL23" s="49">
        <v>23</v>
      </c>
      <c r="BM23" s="50">
        <v>95.83333333333333</v>
      </c>
      <c r="BN23" s="49">
        <v>24</v>
      </c>
    </row>
    <row r="24" spans="1:66" ht="15">
      <c r="A24" s="65" t="s">
        <v>581</v>
      </c>
      <c r="B24" s="65" t="s">
        <v>593</v>
      </c>
      <c r="C24" s="66" t="s">
        <v>568</v>
      </c>
      <c r="D24" s="67">
        <v>5</v>
      </c>
      <c r="E24" s="66"/>
      <c r="F24" s="69">
        <v>50</v>
      </c>
      <c r="G24" s="66"/>
      <c r="H24" s="70"/>
      <c r="I24" s="71"/>
      <c r="J24" s="71"/>
      <c r="K24" s="35" t="s">
        <v>65</v>
      </c>
      <c r="L24" s="72">
        <v>24</v>
      </c>
      <c r="M24" s="72"/>
      <c r="N24" s="73"/>
      <c r="O24" s="81" t="s">
        <v>259</v>
      </c>
      <c r="P24" s="83">
        <v>44692.24354166666</v>
      </c>
      <c r="Q24" s="81" t="s">
        <v>611</v>
      </c>
      <c r="R24" s="81" t="s">
        <v>620</v>
      </c>
      <c r="S24" s="81" t="s">
        <v>483</v>
      </c>
      <c r="T24" s="86" t="s">
        <v>633</v>
      </c>
      <c r="U24" s="81"/>
      <c r="V24" s="84" t="str">
        <f>HYPERLINK("https://pbs.twimg.com/profile_images/1509686418662068230/6_KXm14m_normal.jpg")</f>
        <v>https://pbs.twimg.com/profile_images/1509686418662068230/6_KXm14m_normal.jpg</v>
      </c>
      <c r="W24" s="83">
        <v>44692.24354166666</v>
      </c>
      <c r="X24" s="88">
        <v>44692</v>
      </c>
      <c r="Y24" s="86" t="s">
        <v>657</v>
      </c>
      <c r="Z24" s="84" t="str">
        <f>HYPERLINK("https://twitter.com/jennykaynz/status/1524265722628608000")</f>
        <v>https://twitter.com/jennykaynz/status/1524265722628608000</v>
      </c>
      <c r="AA24" s="81"/>
      <c r="AB24" s="81"/>
      <c r="AC24" s="86" t="s">
        <v>686</v>
      </c>
      <c r="AD24" s="81"/>
      <c r="AE24" s="81" t="b">
        <v>0</v>
      </c>
      <c r="AF24" s="81">
        <v>2</v>
      </c>
      <c r="AG24" s="86" t="s">
        <v>266</v>
      </c>
      <c r="AH24" s="81" t="b">
        <v>1</v>
      </c>
      <c r="AI24" s="81" t="s">
        <v>268</v>
      </c>
      <c r="AJ24" s="81"/>
      <c r="AK24" s="86" t="s">
        <v>689</v>
      </c>
      <c r="AL24" s="81" t="b">
        <v>0</v>
      </c>
      <c r="AM24" s="81">
        <v>1</v>
      </c>
      <c r="AN24" s="86" t="s">
        <v>266</v>
      </c>
      <c r="AO24" s="86" t="s">
        <v>269</v>
      </c>
      <c r="AP24" s="81" t="b">
        <v>0</v>
      </c>
      <c r="AQ24" s="86" t="s">
        <v>686</v>
      </c>
      <c r="AR24" s="81" t="s">
        <v>218</v>
      </c>
      <c r="AS24" s="81">
        <v>0</v>
      </c>
      <c r="AT24" s="81">
        <v>0</v>
      </c>
      <c r="AU24" s="81"/>
      <c r="AV24" s="81"/>
      <c r="AW24" s="81"/>
      <c r="AX24" s="81"/>
      <c r="AY24" s="81"/>
      <c r="AZ24" s="81"/>
      <c r="BA24" s="81"/>
      <c r="BB24" s="81"/>
      <c r="BC24" s="78">
        <v>1</v>
      </c>
      <c r="BD24" s="80" t="str">
        <f>REPLACE(INDEX(GroupVertices[Group],MATCH(Edges[[#This Row],[Vertex 1]],GroupVertices[Vertex],0)),1,1,"")</f>
        <v>1</v>
      </c>
      <c r="BE24" s="80" t="str">
        <f>REPLACE(INDEX(GroupVertices[Group],MATCH(Edges[[#This Row],[Vertex 2]],GroupVertices[Vertex],0)),1,1,"")</f>
        <v>2</v>
      </c>
      <c r="BF24" s="49">
        <v>0</v>
      </c>
      <c r="BG24" s="50">
        <v>0</v>
      </c>
      <c r="BH24" s="49">
        <v>1</v>
      </c>
      <c r="BI24" s="50">
        <v>4.166666666666667</v>
      </c>
      <c r="BJ24" s="49">
        <v>0</v>
      </c>
      <c r="BK24" s="50">
        <v>0</v>
      </c>
      <c r="BL24" s="49">
        <v>23</v>
      </c>
      <c r="BM24" s="50">
        <v>95.83333333333333</v>
      </c>
      <c r="BN24" s="49">
        <v>24</v>
      </c>
    </row>
    <row r="25" spans="1:66" ht="15">
      <c r="A25" s="65" t="s">
        <v>581</v>
      </c>
      <c r="B25" s="65" t="s">
        <v>594</v>
      </c>
      <c r="C25" s="66" t="s">
        <v>568</v>
      </c>
      <c r="D25" s="67">
        <v>5</v>
      </c>
      <c r="E25" s="66"/>
      <c r="F25" s="69">
        <v>50</v>
      </c>
      <c r="G25" s="66"/>
      <c r="H25" s="70"/>
      <c r="I25" s="71"/>
      <c r="J25" s="71"/>
      <c r="K25" s="35" t="s">
        <v>65</v>
      </c>
      <c r="L25" s="72">
        <v>25</v>
      </c>
      <c r="M25" s="72"/>
      <c r="N25" s="73"/>
      <c r="O25" s="81" t="s">
        <v>260</v>
      </c>
      <c r="P25" s="83">
        <v>44694.224131944444</v>
      </c>
      <c r="Q25" s="81" t="s">
        <v>612</v>
      </c>
      <c r="R25" s="81"/>
      <c r="S25" s="81"/>
      <c r="T25" s="81"/>
      <c r="U25" s="81"/>
      <c r="V25" s="84" t="str">
        <f>HYPERLINK("https://pbs.twimg.com/profile_images/1509686418662068230/6_KXm14m_normal.jpg")</f>
        <v>https://pbs.twimg.com/profile_images/1509686418662068230/6_KXm14m_normal.jpg</v>
      </c>
      <c r="W25" s="83">
        <v>44694.224131944444</v>
      </c>
      <c r="X25" s="88">
        <v>44694</v>
      </c>
      <c r="Y25" s="86" t="s">
        <v>658</v>
      </c>
      <c r="Z25" s="84" t="str">
        <f>HYPERLINK("https://twitter.com/jennykaynz/status/1524983462850990080")</f>
        <v>https://twitter.com/jennykaynz/status/1524983462850990080</v>
      </c>
      <c r="AA25" s="81"/>
      <c r="AB25" s="81"/>
      <c r="AC25" s="86" t="s">
        <v>687</v>
      </c>
      <c r="AD25" s="86" t="s">
        <v>701</v>
      </c>
      <c r="AE25" s="81" t="b">
        <v>0</v>
      </c>
      <c r="AF25" s="81">
        <v>2</v>
      </c>
      <c r="AG25" s="86" t="s">
        <v>707</v>
      </c>
      <c r="AH25" s="81" t="b">
        <v>0</v>
      </c>
      <c r="AI25" s="81" t="s">
        <v>268</v>
      </c>
      <c r="AJ25" s="81"/>
      <c r="AK25" s="86" t="s">
        <v>266</v>
      </c>
      <c r="AL25" s="81" t="b">
        <v>0</v>
      </c>
      <c r="AM25" s="81">
        <v>0</v>
      </c>
      <c r="AN25" s="86" t="s">
        <v>266</v>
      </c>
      <c r="AO25" s="86" t="s">
        <v>269</v>
      </c>
      <c r="AP25" s="81" t="b">
        <v>0</v>
      </c>
      <c r="AQ25" s="86" t="s">
        <v>701</v>
      </c>
      <c r="AR25" s="81" t="s">
        <v>218</v>
      </c>
      <c r="AS25" s="81">
        <v>0</v>
      </c>
      <c r="AT25" s="81">
        <v>0</v>
      </c>
      <c r="AU25" s="81"/>
      <c r="AV25" s="81"/>
      <c r="AW25" s="81"/>
      <c r="AX25" s="81"/>
      <c r="AY25" s="81"/>
      <c r="AZ25" s="81"/>
      <c r="BA25" s="81"/>
      <c r="BB25" s="81"/>
      <c r="BC25" s="78">
        <v>1</v>
      </c>
      <c r="BD25" s="80" t="str">
        <f>REPLACE(INDEX(GroupVertices[Group],MATCH(Edges[[#This Row],[Vertex 1]],GroupVertices[Vertex],0)),1,1,"")</f>
        <v>1</v>
      </c>
      <c r="BE25" s="80" t="str">
        <f>REPLACE(INDEX(GroupVertices[Group],MATCH(Edges[[#This Row],[Vertex 2]],GroupVertices[Vertex],0)),1,1,"")</f>
        <v>1</v>
      </c>
      <c r="BF25" s="49">
        <v>2</v>
      </c>
      <c r="BG25" s="50">
        <v>4.444444444444445</v>
      </c>
      <c r="BH25" s="49">
        <v>3</v>
      </c>
      <c r="BI25" s="50">
        <v>6.666666666666667</v>
      </c>
      <c r="BJ25" s="49">
        <v>0</v>
      </c>
      <c r="BK25" s="50">
        <v>0</v>
      </c>
      <c r="BL25" s="49">
        <v>40</v>
      </c>
      <c r="BM25" s="50">
        <v>88.88888888888889</v>
      </c>
      <c r="BN25" s="49">
        <v>45</v>
      </c>
    </row>
    <row r="26" spans="1:66" ht="15">
      <c r="A26" s="65" t="s">
        <v>580</v>
      </c>
      <c r="B26" s="65" t="s">
        <v>582</v>
      </c>
      <c r="C26" s="66" t="s">
        <v>570</v>
      </c>
      <c r="D26" s="67">
        <v>7.5</v>
      </c>
      <c r="E26" s="66"/>
      <c r="F26" s="69">
        <v>32.5</v>
      </c>
      <c r="G26" s="66"/>
      <c r="H26" s="70"/>
      <c r="I26" s="71"/>
      <c r="J26" s="71"/>
      <c r="K26" s="35" t="s">
        <v>66</v>
      </c>
      <c r="L26" s="72">
        <v>26</v>
      </c>
      <c r="M26" s="72"/>
      <c r="N26" s="73"/>
      <c r="O26" s="81" t="s">
        <v>262</v>
      </c>
      <c r="P26" s="83">
        <v>44691.13585648148</v>
      </c>
      <c r="Q26" s="81" t="s">
        <v>609</v>
      </c>
      <c r="R26" s="84" t="str">
        <f>HYPERLINK("https://www.stuff.co.nz/national/immigration/300580917/woman-who-has-overstayed-in-nz-for-16-years-granted-residence-due-to-family-ties")</f>
        <v>https://www.stuff.co.nz/national/immigration/300580917/woman-who-has-overstayed-in-nz-for-16-years-granted-residence-due-to-family-ties</v>
      </c>
      <c r="S26" s="81" t="s">
        <v>264</v>
      </c>
      <c r="T26" s="86" t="s">
        <v>582</v>
      </c>
      <c r="U26" s="81"/>
      <c r="V26" s="84" t="str">
        <f>HYPERLINK("https://pbs.twimg.com/profile_images/1521083114046758913/ia08w9bB_normal.jpg")</f>
        <v>https://pbs.twimg.com/profile_images/1521083114046758913/ia08w9bB_normal.jpg</v>
      </c>
      <c r="W26" s="83">
        <v>44691.13585648148</v>
      </c>
      <c r="X26" s="88">
        <v>44691</v>
      </c>
      <c r="Y26" s="86" t="s">
        <v>653</v>
      </c>
      <c r="Z26" s="84" t="str">
        <f>HYPERLINK("https://twitter.com/ariannagail1/status/1523864310879223809")</f>
        <v>https://twitter.com/ariannagail1/status/1523864310879223809</v>
      </c>
      <c r="AA26" s="81"/>
      <c r="AB26" s="81"/>
      <c r="AC26" s="86" t="s">
        <v>682</v>
      </c>
      <c r="AD26" s="81"/>
      <c r="AE26" s="81" t="b">
        <v>0</v>
      </c>
      <c r="AF26" s="81">
        <v>0</v>
      </c>
      <c r="AG26" s="86" t="s">
        <v>266</v>
      </c>
      <c r="AH26" s="81" t="b">
        <v>0</v>
      </c>
      <c r="AI26" s="81" t="s">
        <v>268</v>
      </c>
      <c r="AJ26" s="81"/>
      <c r="AK26" s="86" t="s">
        <v>266</v>
      </c>
      <c r="AL26" s="81" t="b">
        <v>0</v>
      </c>
      <c r="AM26" s="81">
        <v>1</v>
      </c>
      <c r="AN26" s="86" t="s">
        <v>683</v>
      </c>
      <c r="AO26" s="86" t="s">
        <v>270</v>
      </c>
      <c r="AP26" s="81" t="b">
        <v>0</v>
      </c>
      <c r="AQ26" s="86" t="s">
        <v>683</v>
      </c>
      <c r="AR26" s="81" t="s">
        <v>218</v>
      </c>
      <c r="AS26" s="81">
        <v>0</v>
      </c>
      <c r="AT26" s="81">
        <v>0</v>
      </c>
      <c r="AU26" s="81"/>
      <c r="AV26" s="81"/>
      <c r="AW26" s="81"/>
      <c r="AX26" s="81"/>
      <c r="AY26" s="81"/>
      <c r="AZ26" s="81"/>
      <c r="BA26" s="81"/>
      <c r="BB26" s="81"/>
      <c r="BC26" s="78">
        <v>2</v>
      </c>
      <c r="BD26" s="80" t="str">
        <f>REPLACE(INDEX(GroupVertices[Group],MATCH(Edges[[#This Row],[Vertex 1]],GroupVertices[Vertex],0)),1,1,"")</f>
        <v>2</v>
      </c>
      <c r="BE26" s="80" t="str">
        <f>REPLACE(INDEX(GroupVertices[Group],MATCH(Edges[[#This Row],[Vertex 2]],GroupVertices[Vertex],0)),1,1,"")</f>
        <v>1</v>
      </c>
      <c r="BF26" s="49"/>
      <c r="BG26" s="50"/>
      <c r="BH26" s="49"/>
      <c r="BI26" s="50"/>
      <c r="BJ26" s="49"/>
      <c r="BK26" s="50"/>
      <c r="BL26" s="49"/>
      <c r="BM26" s="50"/>
      <c r="BN26" s="49"/>
    </row>
    <row r="27" spans="1:66" ht="15">
      <c r="A27" s="65" t="s">
        <v>580</v>
      </c>
      <c r="B27" s="65" t="s">
        <v>595</v>
      </c>
      <c r="C27" s="66" t="s">
        <v>570</v>
      </c>
      <c r="D27" s="67">
        <v>7.5</v>
      </c>
      <c r="E27" s="66"/>
      <c r="F27" s="69">
        <v>32.5</v>
      </c>
      <c r="G27" s="66"/>
      <c r="H27" s="70"/>
      <c r="I27" s="71"/>
      <c r="J27" s="71"/>
      <c r="K27" s="35" t="s">
        <v>65</v>
      </c>
      <c r="L27" s="72">
        <v>27</v>
      </c>
      <c r="M27" s="72"/>
      <c r="N27" s="73"/>
      <c r="O27" s="81" t="s">
        <v>262</v>
      </c>
      <c r="P27" s="83">
        <v>44691.13585648148</v>
      </c>
      <c r="Q27" s="81" t="s">
        <v>609</v>
      </c>
      <c r="R27" s="84" t="str">
        <f>HYPERLINK("https://www.stuff.co.nz/national/immigration/300580917/woman-who-has-overstayed-in-nz-for-16-years-granted-residence-due-to-family-ties")</f>
        <v>https://www.stuff.co.nz/national/immigration/300580917/woman-who-has-overstayed-in-nz-for-16-years-granted-residence-due-to-family-ties</v>
      </c>
      <c r="S27" s="81" t="s">
        <v>264</v>
      </c>
      <c r="T27" s="86" t="s">
        <v>582</v>
      </c>
      <c r="U27" s="81"/>
      <c r="V27" s="84" t="str">
        <f>HYPERLINK("https://pbs.twimg.com/profile_images/1521083114046758913/ia08w9bB_normal.jpg")</f>
        <v>https://pbs.twimg.com/profile_images/1521083114046758913/ia08w9bB_normal.jpg</v>
      </c>
      <c r="W27" s="83">
        <v>44691.13585648148</v>
      </c>
      <c r="X27" s="88">
        <v>44691</v>
      </c>
      <c r="Y27" s="86" t="s">
        <v>653</v>
      </c>
      <c r="Z27" s="84" t="str">
        <f>HYPERLINK("https://twitter.com/ariannagail1/status/1523864310879223809")</f>
        <v>https://twitter.com/ariannagail1/status/1523864310879223809</v>
      </c>
      <c r="AA27" s="81"/>
      <c r="AB27" s="81"/>
      <c r="AC27" s="86" t="s">
        <v>682</v>
      </c>
      <c r="AD27" s="81"/>
      <c r="AE27" s="81" t="b">
        <v>0</v>
      </c>
      <c r="AF27" s="81">
        <v>0</v>
      </c>
      <c r="AG27" s="86" t="s">
        <v>266</v>
      </c>
      <c r="AH27" s="81" t="b">
        <v>0</v>
      </c>
      <c r="AI27" s="81" t="s">
        <v>268</v>
      </c>
      <c r="AJ27" s="81"/>
      <c r="AK27" s="86" t="s">
        <v>266</v>
      </c>
      <c r="AL27" s="81" t="b">
        <v>0</v>
      </c>
      <c r="AM27" s="81">
        <v>1</v>
      </c>
      <c r="AN27" s="86" t="s">
        <v>683</v>
      </c>
      <c r="AO27" s="86" t="s">
        <v>270</v>
      </c>
      <c r="AP27" s="81" t="b">
        <v>0</v>
      </c>
      <c r="AQ27" s="86" t="s">
        <v>683</v>
      </c>
      <c r="AR27" s="81" t="s">
        <v>218</v>
      </c>
      <c r="AS27" s="81">
        <v>0</v>
      </c>
      <c r="AT27" s="81">
        <v>0</v>
      </c>
      <c r="AU27" s="81"/>
      <c r="AV27" s="81"/>
      <c r="AW27" s="81"/>
      <c r="AX27" s="81"/>
      <c r="AY27" s="81"/>
      <c r="AZ27" s="81"/>
      <c r="BA27" s="81"/>
      <c r="BB27" s="81"/>
      <c r="BC27" s="78">
        <v>2</v>
      </c>
      <c r="BD27" s="80" t="str">
        <f>REPLACE(INDEX(GroupVertices[Group],MATCH(Edges[[#This Row],[Vertex 1]],GroupVertices[Vertex],0)),1,1,"")</f>
        <v>2</v>
      </c>
      <c r="BE27" s="80" t="str">
        <f>REPLACE(INDEX(GroupVertices[Group],MATCH(Edges[[#This Row],[Vertex 2]],GroupVertices[Vertex],0)),1,1,"")</f>
        <v>2</v>
      </c>
      <c r="BF27" s="49">
        <v>1</v>
      </c>
      <c r="BG27" s="50">
        <v>3.5714285714285716</v>
      </c>
      <c r="BH27" s="49">
        <v>0</v>
      </c>
      <c r="BI27" s="50">
        <v>0</v>
      </c>
      <c r="BJ27" s="49">
        <v>0</v>
      </c>
      <c r="BK27" s="50">
        <v>0</v>
      </c>
      <c r="BL27" s="49">
        <v>27</v>
      </c>
      <c r="BM27" s="50">
        <v>96.42857142857143</v>
      </c>
      <c r="BN27" s="49">
        <v>28</v>
      </c>
    </row>
    <row r="28" spans="1:66" ht="15">
      <c r="A28" s="65" t="s">
        <v>580</v>
      </c>
      <c r="B28" s="65" t="s">
        <v>587</v>
      </c>
      <c r="C28" s="66" t="s">
        <v>570</v>
      </c>
      <c r="D28" s="67">
        <v>7.5</v>
      </c>
      <c r="E28" s="66"/>
      <c r="F28" s="69">
        <v>32.5</v>
      </c>
      <c r="G28" s="66"/>
      <c r="H28" s="70"/>
      <c r="I28" s="71"/>
      <c r="J28" s="71"/>
      <c r="K28" s="35" t="s">
        <v>65</v>
      </c>
      <c r="L28" s="72">
        <v>28</v>
      </c>
      <c r="M28" s="72"/>
      <c r="N28" s="73"/>
      <c r="O28" s="81" t="s">
        <v>262</v>
      </c>
      <c r="P28" s="83">
        <v>44691.13585648148</v>
      </c>
      <c r="Q28" s="81" t="s">
        <v>609</v>
      </c>
      <c r="R28" s="84" t="str">
        <f>HYPERLINK("https://www.stuff.co.nz/national/immigration/300580917/woman-who-has-overstayed-in-nz-for-16-years-granted-residence-due-to-family-ties")</f>
        <v>https://www.stuff.co.nz/national/immigration/300580917/woman-who-has-overstayed-in-nz-for-16-years-granted-residence-due-to-family-ties</v>
      </c>
      <c r="S28" s="81" t="s">
        <v>264</v>
      </c>
      <c r="T28" s="86" t="s">
        <v>582</v>
      </c>
      <c r="U28" s="81"/>
      <c r="V28" s="84" t="str">
        <f>HYPERLINK("https://pbs.twimg.com/profile_images/1521083114046758913/ia08w9bB_normal.jpg")</f>
        <v>https://pbs.twimg.com/profile_images/1521083114046758913/ia08w9bB_normal.jpg</v>
      </c>
      <c r="W28" s="83">
        <v>44691.13585648148</v>
      </c>
      <c r="X28" s="88">
        <v>44691</v>
      </c>
      <c r="Y28" s="86" t="s">
        <v>653</v>
      </c>
      <c r="Z28" s="84" t="str">
        <f>HYPERLINK("https://twitter.com/ariannagail1/status/1523864310879223809")</f>
        <v>https://twitter.com/ariannagail1/status/1523864310879223809</v>
      </c>
      <c r="AA28" s="81"/>
      <c r="AB28" s="81"/>
      <c r="AC28" s="86" t="s">
        <v>682</v>
      </c>
      <c r="AD28" s="81"/>
      <c r="AE28" s="81" t="b">
        <v>0</v>
      </c>
      <c r="AF28" s="81">
        <v>0</v>
      </c>
      <c r="AG28" s="86" t="s">
        <v>266</v>
      </c>
      <c r="AH28" s="81" t="b">
        <v>0</v>
      </c>
      <c r="AI28" s="81" t="s">
        <v>268</v>
      </c>
      <c r="AJ28" s="81"/>
      <c r="AK28" s="86" t="s">
        <v>266</v>
      </c>
      <c r="AL28" s="81" t="b">
        <v>0</v>
      </c>
      <c r="AM28" s="81">
        <v>1</v>
      </c>
      <c r="AN28" s="86" t="s">
        <v>683</v>
      </c>
      <c r="AO28" s="86" t="s">
        <v>270</v>
      </c>
      <c r="AP28" s="81" t="b">
        <v>0</v>
      </c>
      <c r="AQ28" s="86" t="s">
        <v>683</v>
      </c>
      <c r="AR28" s="81" t="s">
        <v>218</v>
      </c>
      <c r="AS28" s="81">
        <v>0</v>
      </c>
      <c r="AT28" s="81">
        <v>0</v>
      </c>
      <c r="AU28" s="81"/>
      <c r="AV28" s="81"/>
      <c r="AW28" s="81"/>
      <c r="AX28" s="81"/>
      <c r="AY28" s="81"/>
      <c r="AZ28" s="81"/>
      <c r="BA28" s="81"/>
      <c r="BB28" s="81"/>
      <c r="BC28" s="78">
        <v>2</v>
      </c>
      <c r="BD28" s="80" t="str">
        <f>REPLACE(INDEX(GroupVertices[Group],MATCH(Edges[[#This Row],[Vertex 1]],GroupVertices[Vertex],0)),1,1,"")</f>
        <v>2</v>
      </c>
      <c r="BE28" s="80" t="str">
        <f>REPLACE(INDEX(GroupVertices[Group],MATCH(Edges[[#This Row],[Vertex 2]],GroupVertices[Vertex],0)),1,1,"")</f>
        <v>4</v>
      </c>
      <c r="BF28" s="49"/>
      <c r="BG28" s="50"/>
      <c r="BH28" s="49"/>
      <c r="BI28" s="50"/>
      <c r="BJ28" s="49"/>
      <c r="BK28" s="50"/>
      <c r="BL28" s="49"/>
      <c r="BM28" s="50"/>
      <c r="BN28" s="49"/>
    </row>
    <row r="29" spans="1:66" ht="15">
      <c r="A29" s="65" t="s">
        <v>580</v>
      </c>
      <c r="B29" s="65" t="s">
        <v>581</v>
      </c>
      <c r="C29" s="66" t="s">
        <v>569</v>
      </c>
      <c r="D29" s="67">
        <v>10</v>
      </c>
      <c r="E29" s="66"/>
      <c r="F29" s="69">
        <v>15</v>
      </c>
      <c r="G29" s="66"/>
      <c r="H29" s="70"/>
      <c r="I29" s="71"/>
      <c r="J29" s="71"/>
      <c r="K29" s="35" t="s">
        <v>66</v>
      </c>
      <c r="L29" s="72">
        <v>29</v>
      </c>
      <c r="M29" s="72"/>
      <c r="N29" s="73"/>
      <c r="O29" s="81" t="s">
        <v>261</v>
      </c>
      <c r="P29" s="83">
        <v>44691.13585648148</v>
      </c>
      <c r="Q29" s="81" t="s">
        <v>609</v>
      </c>
      <c r="R29" s="84" t="str">
        <f>HYPERLINK("https://www.stuff.co.nz/national/immigration/300580917/woman-who-has-overstayed-in-nz-for-16-years-granted-residence-due-to-family-ties")</f>
        <v>https://www.stuff.co.nz/national/immigration/300580917/woman-who-has-overstayed-in-nz-for-16-years-granted-residence-due-to-family-ties</v>
      </c>
      <c r="S29" s="81" t="s">
        <v>264</v>
      </c>
      <c r="T29" s="86" t="s">
        <v>582</v>
      </c>
      <c r="U29" s="81"/>
      <c r="V29" s="84" t="str">
        <f>HYPERLINK("https://pbs.twimg.com/profile_images/1521083114046758913/ia08w9bB_normal.jpg")</f>
        <v>https://pbs.twimg.com/profile_images/1521083114046758913/ia08w9bB_normal.jpg</v>
      </c>
      <c r="W29" s="83">
        <v>44691.13585648148</v>
      </c>
      <c r="X29" s="88">
        <v>44691</v>
      </c>
      <c r="Y29" s="86" t="s">
        <v>653</v>
      </c>
      <c r="Z29" s="84" t="str">
        <f>HYPERLINK("https://twitter.com/ariannagail1/status/1523864310879223809")</f>
        <v>https://twitter.com/ariannagail1/status/1523864310879223809</v>
      </c>
      <c r="AA29" s="81"/>
      <c r="AB29" s="81"/>
      <c r="AC29" s="86" t="s">
        <v>682</v>
      </c>
      <c r="AD29" s="81"/>
      <c r="AE29" s="81" t="b">
        <v>0</v>
      </c>
      <c r="AF29" s="81">
        <v>0</v>
      </c>
      <c r="AG29" s="86" t="s">
        <v>266</v>
      </c>
      <c r="AH29" s="81" t="b">
        <v>0</v>
      </c>
      <c r="AI29" s="81" t="s">
        <v>268</v>
      </c>
      <c r="AJ29" s="81"/>
      <c r="AK29" s="86" t="s">
        <v>266</v>
      </c>
      <c r="AL29" s="81" t="b">
        <v>0</v>
      </c>
      <c r="AM29" s="81">
        <v>1</v>
      </c>
      <c r="AN29" s="86" t="s">
        <v>683</v>
      </c>
      <c r="AO29" s="86" t="s">
        <v>270</v>
      </c>
      <c r="AP29" s="81" t="b">
        <v>0</v>
      </c>
      <c r="AQ29" s="86" t="s">
        <v>683</v>
      </c>
      <c r="AR29" s="81" t="s">
        <v>218</v>
      </c>
      <c r="AS29" s="81">
        <v>0</v>
      </c>
      <c r="AT29" s="81">
        <v>0</v>
      </c>
      <c r="AU29" s="81"/>
      <c r="AV29" s="81"/>
      <c r="AW29" s="81"/>
      <c r="AX29" s="81"/>
      <c r="AY29" s="81"/>
      <c r="AZ29" s="81"/>
      <c r="BA29" s="81"/>
      <c r="BB29" s="81"/>
      <c r="BC29" s="78">
        <v>3</v>
      </c>
      <c r="BD29" s="80" t="str">
        <f>REPLACE(INDEX(GroupVertices[Group],MATCH(Edges[[#This Row],[Vertex 1]],GroupVertices[Vertex],0)),1,1,"")</f>
        <v>2</v>
      </c>
      <c r="BE29" s="80" t="str">
        <f>REPLACE(INDEX(GroupVertices[Group],MATCH(Edges[[#This Row],[Vertex 2]],GroupVertices[Vertex],0)),1,1,"")</f>
        <v>1</v>
      </c>
      <c r="BF29" s="49"/>
      <c r="BG29" s="50"/>
      <c r="BH29" s="49"/>
      <c r="BI29" s="50"/>
      <c r="BJ29" s="49"/>
      <c r="BK29" s="50"/>
      <c r="BL29" s="49"/>
      <c r="BM29" s="50"/>
      <c r="BN29" s="49"/>
    </row>
    <row r="30" spans="1:66" ht="15">
      <c r="A30" s="65" t="s">
        <v>580</v>
      </c>
      <c r="B30" s="65" t="s">
        <v>581</v>
      </c>
      <c r="C30" s="66" t="s">
        <v>569</v>
      </c>
      <c r="D30" s="67">
        <v>10</v>
      </c>
      <c r="E30" s="66"/>
      <c r="F30" s="69">
        <v>15</v>
      </c>
      <c r="G30" s="66"/>
      <c r="H30" s="70"/>
      <c r="I30" s="71"/>
      <c r="J30" s="71"/>
      <c r="K30" s="35" t="s">
        <v>66</v>
      </c>
      <c r="L30" s="72">
        <v>30</v>
      </c>
      <c r="M30" s="72"/>
      <c r="N30" s="73"/>
      <c r="O30" s="81" t="s">
        <v>261</v>
      </c>
      <c r="P30" s="83">
        <v>44692.27914351852</v>
      </c>
      <c r="Q30" s="81" t="s">
        <v>611</v>
      </c>
      <c r="R30" s="81" t="s">
        <v>620</v>
      </c>
      <c r="S30" s="81" t="s">
        <v>483</v>
      </c>
      <c r="T30" s="86" t="s">
        <v>633</v>
      </c>
      <c r="U30" s="81"/>
      <c r="V30" s="84" t="str">
        <f>HYPERLINK("https://pbs.twimg.com/profile_images/1521083114046758913/ia08w9bB_normal.jpg")</f>
        <v>https://pbs.twimg.com/profile_images/1521083114046758913/ia08w9bB_normal.jpg</v>
      </c>
      <c r="W30" s="83">
        <v>44692.27914351852</v>
      </c>
      <c r="X30" s="88">
        <v>44692</v>
      </c>
      <c r="Y30" s="86" t="s">
        <v>656</v>
      </c>
      <c r="Z30" s="84" t="str">
        <f>HYPERLINK("https://twitter.com/ariannagail1/status/1524278622798102529")</f>
        <v>https://twitter.com/ariannagail1/status/1524278622798102529</v>
      </c>
      <c r="AA30" s="81"/>
      <c r="AB30" s="81"/>
      <c r="AC30" s="86" t="s">
        <v>685</v>
      </c>
      <c r="AD30" s="81"/>
      <c r="AE30" s="81" t="b">
        <v>0</v>
      </c>
      <c r="AF30" s="81">
        <v>0</v>
      </c>
      <c r="AG30" s="86" t="s">
        <v>266</v>
      </c>
      <c r="AH30" s="81" t="b">
        <v>1</v>
      </c>
      <c r="AI30" s="81" t="s">
        <v>268</v>
      </c>
      <c r="AJ30" s="81"/>
      <c r="AK30" s="86" t="s">
        <v>689</v>
      </c>
      <c r="AL30" s="81" t="b">
        <v>0</v>
      </c>
      <c r="AM30" s="81">
        <v>1</v>
      </c>
      <c r="AN30" s="86" t="s">
        <v>686</v>
      </c>
      <c r="AO30" s="86" t="s">
        <v>270</v>
      </c>
      <c r="AP30" s="81" t="b">
        <v>0</v>
      </c>
      <c r="AQ30" s="86" t="s">
        <v>686</v>
      </c>
      <c r="AR30" s="81" t="s">
        <v>218</v>
      </c>
      <c r="AS30" s="81">
        <v>0</v>
      </c>
      <c r="AT30" s="81">
        <v>0</v>
      </c>
      <c r="AU30" s="81"/>
      <c r="AV30" s="81"/>
      <c r="AW30" s="81"/>
      <c r="AX30" s="81"/>
      <c r="AY30" s="81"/>
      <c r="AZ30" s="81"/>
      <c r="BA30" s="81"/>
      <c r="BB30" s="81"/>
      <c r="BC30" s="78">
        <v>3</v>
      </c>
      <c r="BD30" s="80" t="str">
        <f>REPLACE(INDEX(GroupVertices[Group],MATCH(Edges[[#This Row],[Vertex 1]],GroupVertices[Vertex],0)),1,1,"")</f>
        <v>2</v>
      </c>
      <c r="BE30" s="80" t="str">
        <f>REPLACE(INDEX(GroupVertices[Group],MATCH(Edges[[#This Row],[Vertex 2]],GroupVertices[Vertex],0)),1,1,"")</f>
        <v>1</v>
      </c>
      <c r="BF30" s="49"/>
      <c r="BG30" s="50"/>
      <c r="BH30" s="49"/>
      <c r="BI30" s="50"/>
      <c r="BJ30" s="49"/>
      <c r="BK30" s="50"/>
      <c r="BL30" s="49"/>
      <c r="BM30" s="50"/>
      <c r="BN30" s="49"/>
    </row>
    <row r="31" spans="1:66" ht="15">
      <c r="A31" s="65" t="s">
        <v>580</v>
      </c>
      <c r="B31" s="65" t="s">
        <v>582</v>
      </c>
      <c r="C31" s="66" t="s">
        <v>570</v>
      </c>
      <c r="D31" s="67">
        <v>7.5</v>
      </c>
      <c r="E31" s="66"/>
      <c r="F31" s="69">
        <v>32.5</v>
      </c>
      <c r="G31" s="66"/>
      <c r="H31" s="70"/>
      <c r="I31" s="71"/>
      <c r="J31" s="71"/>
      <c r="K31" s="35" t="s">
        <v>66</v>
      </c>
      <c r="L31" s="72">
        <v>31</v>
      </c>
      <c r="M31" s="72"/>
      <c r="N31" s="73"/>
      <c r="O31" s="81" t="s">
        <v>262</v>
      </c>
      <c r="P31" s="83">
        <v>44692.287673611114</v>
      </c>
      <c r="Q31" s="81" t="s">
        <v>613</v>
      </c>
      <c r="R31"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1" s="81" t="s">
        <v>264</v>
      </c>
      <c r="T31" s="86" t="s">
        <v>634</v>
      </c>
      <c r="U31" s="81"/>
      <c r="V31" s="84" t="str">
        <f>HYPERLINK("https://pbs.twimg.com/profile_images/1521083114046758913/ia08w9bB_normal.jpg")</f>
        <v>https://pbs.twimg.com/profile_images/1521083114046758913/ia08w9bB_normal.jpg</v>
      </c>
      <c r="W31" s="83">
        <v>44692.287673611114</v>
      </c>
      <c r="X31" s="88">
        <v>44692</v>
      </c>
      <c r="Y31" s="86" t="s">
        <v>659</v>
      </c>
      <c r="Z31" s="84" t="str">
        <f>HYPERLINK("https://twitter.com/ariannagail1/status/1524281715971457024")</f>
        <v>https://twitter.com/ariannagail1/status/1524281715971457024</v>
      </c>
      <c r="AA31" s="81"/>
      <c r="AB31" s="81"/>
      <c r="AC31" s="86" t="s">
        <v>688</v>
      </c>
      <c r="AD31" s="81"/>
      <c r="AE31" s="81" t="b">
        <v>0</v>
      </c>
      <c r="AF31" s="81">
        <v>0</v>
      </c>
      <c r="AG31" s="86" t="s">
        <v>266</v>
      </c>
      <c r="AH31" s="81" t="b">
        <v>0</v>
      </c>
      <c r="AI31" s="81" t="s">
        <v>268</v>
      </c>
      <c r="AJ31" s="81"/>
      <c r="AK31" s="86" t="s">
        <v>266</v>
      </c>
      <c r="AL31" s="81" t="b">
        <v>0</v>
      </c>
      <c r="AM31" s="81">
        <v>2</v>
      </c>
      <c r="AN31" s="86" t="s">
        <v>689</v>
      </c>
      <c r="AO31" s="86" t="s">
        <v>270</v>
      </c>
      <c r="AP31" s="81" t="b">
        <v>0</v>
      </c>
      <c r="AQ31" s="86" t="s">
        <v>689</v>
      </c>
      <c r="AR31" s="81" t="s">
        <v>218</v>
      </c>
      <c r="AS31" s="81">
        <v>0</v>
      </c>
      <c r="AT31" s="81">
        <v>0</v>
      </c>
      <c r="AU31" s="81"/>
      <c r="AV31" s="81"/>
      <c r="AW31" s="81"/>
      <c r="AX31" s="81"/>
      <c r="AY31" s="81"/>
      <c r="AZ31" s="81"/>
      <c r="BA31" s="81"/>
      <c r="BB31" s="81"/>
      <c r="BC31" s="78">
        <v>2</v>
      </c>
      <c r="BD31" s="80" t="str">
        <f>REPLACE(INDEX(GroupVertices[Group],MATCH(Edges[[#This Row],[Vertex 1]],GroupVertices[Vertex],0)),1,1,"")</f>
        <v>2</v>
      </c>
      <c r="BE31" s="80" t="str">
        <f>REPLACE(INDEX(GroupVertices[Group],MATCH(Edges[[#This Row],[Vertex 2]],GroupVertices[Vertex],0)),1,1,"")</f>
        <v>1</v>
      </c>
      <c r="BF31" s="49"/>
      <c r="BG31" s="50"/>
      <c r="BH31" s="49"/>
      <c r="BI31" s="50"/>
      <c r="BJ31" s="49"/>
      <c r="BK31" s="50"/>
      <c r="BL31" s="49"/>
      <c r="BM31" s="50"/>
      <c r="BN31" s="49"/>
    </row>
    <row r="32" spans="1:66" ht="15">
      <c r="A32" s="65" t="s">
        <v>580</v>
      </c>
      <c r="B32" s="65" t="s">
        <v>595</v>
      </c>
      <c r="C32" s="66" t="s">
        <v>570</v>
      </c>
      <c r="D32" s="67">
        <v>7.5</v>
      </c>
      <c r="E32" s="66"/>
      <c r="F32" s="69">
        <v>32.5</v>
      </c>
      <c r="G32" s="66"/>
      <c r="H32" s="70"/>
      <c r="I32" s="71"/>
      <c r="J32" s="71"/>
      <c r="K32" s="35" t="s">
        <v>65</v>
      </c>
      <c r="L32" s="72">
        <v>32</v>
      </c>
      <c r="M32" s="72"/>
      <c r="N32" s="73"/>
      <c r="O32" s="81" t="s">
        <v>262</v>
      </c>
      <c r="P32" s="83">
        <v>44692.287673611114</v>
      </c>
      <c r="Q32" s="81" t="s">
        <v>613</v>
      </c>
      <c r="R32"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2" s="81" t="s">
        <v>264</v>
      </c>
      <c r="T32" s="86" t="s">
        <v>634</v>
      </c>
      <c r="U32" s="81"/>
      <c r="V32" s="84" t="str">
        <f>HYPERLINK("https://pbs.twimg.com/profile_images/1521083114046758913/ia08w9bB_normal.jpg")</f>
        <v>https://pbs.twimg.com/profile_images/1521083114046758913/ia08w9bB_normal.jpg</v>
      </c>
      <c r="W32" s="83">
        <v>44692.287673611114</v>
      </c>
      <c r="X32" s="88">
        <v>44692</v>
      </c>
      <c r="Y32" s="86" t="s">
        <v>659</v>
      </c>
      <c r="Z32" s="84" t="str">
        <f>HYPERLINK("https://twitter.com/ariannagail1/status/1524281715971457024")</f>
        <v>https://twitter.com/ariannagail1/status/1524281715971457024</v>
      </c>
      <c r="AA32" s="81"/>
      <c r="AB32" s="81"/>
      <c r="AC32" s="86" t="s">
        <v>688</v>
      </c>
      <c r="AD32" s="81"/>
      <c r="AE32" s="81" t="b">
        <v>0</v>
      </c>
      <c r="AF32" s="81">
        <v>0</v>
      </c>
      <c r="AG32" s="86" t="s">
        <v>266</v>
      </c>
      <c r="AH32" s="81" t="b">
        <v>0</v>
      </c>
      <c r="AI32" s="81" t="s">
        <v>268</v>
      </c>
      <c r="AJ32" s="81"/>
      <c r="AK32" s="86" t="s">
        <v>266</v>
      </c>
      <c r="AL32" s="81" t="b">
        <v>0</v>
      </c>
      <c r="AM32" s="81">
        <v>2</v>
      </c>
      <c r="AN32" s="86" t="s">
        <v>689</v>
      </c>
      <c r="AO32" s="86" t="s">
        <v>270</v>
      </c>
      <c r="AP32" s="81" t="b">
        <v>0</v>
      </c>
      <c r="AQ32" s="86" t="s">
        <v>689</v>
      </c>
      <c r="AR32" s="81" t="s">
        <v>218</v>
      </c>
      <c r="AS32" s="81">
        <v>0</v>
      </c>
      <c r="AT32" s="81">
        <v>0</v>
      </c>
      <c r="AU32" s="81"/>
      <c r="AV32" s="81"/>
      <c r="AW32" s="81"/>
      <c r="AX32" s="81"/>
      <c r="AY32" s="81"/>
      <c r="AZ32" s="81"/>
      <c r="BA32" s="81"/>
      <c r="BB32" s="81"/>
      <c r="BC32" s="78">
        <v>2</v>
      </c>
      <c r="BD32" s="80" t="str">
        <f>REPLACE(INDEX(GroupVertices[Group],MATCH(Edges[[#This Row],[Vertex 1]],GroupVertices[Vertex],0)),1,1,"")</f>
        <v>2</v>
      </c>
      <c r="BE32" s="80" t="str">
        <f>REPLACE(INDEX(GroupVertices[Group],MATCH(Edges[[#This Row],[Vertex 2]],GroupVertices[Vertex],0)),1,1,"")</f>
        <v>2</v>
      </c>
      <c r="BF32" s="49"/>
      <c r="BG32" s="50"/>
      <c r="BH32" s="49"/>
      <c r="BI32" s="50"/>
      <c r="BJ32" s="49"/>
      <c r="BK32" s="50"/>
      <c r="BL32" s="49"/>
      <c r="BM32" s="50"/>
      <c r="BN32" s="49"/>
    </row>
    <row r="33" spans="1:66" ht="15">
      <c r="A33" s="65" t="s">
        <v>580</v>
      </c>
      <c r="B33" s="65" t="s">
        <v>587</v>
      </c>
      <c r="C33" s="66" t="s">
        <v>570</v>
      </c>
      <c r="D33" s="67">
        <v>7.5</v>
      </c>
      <c r="E33" s="66"/>
      <c r="F33" s="69">
        <v>32.5</v>
      </c>
      <c r="G33" s="66"/>
      <c r="H33" s="70"/>
      <c r="I33" s="71"/>
      <c r="J33" s="71"/>
      <c r="K33" s="35" t="s">
        <v>65</v>
      </c>
      <c r="L33" s="72">
        <v>33</v>
      </c>
      <c r="M33" s="72"/>
      <c r="N33" s="73"/>
      <c r="O33" s="81" t="s">
        <v>262</v>
      </c>
      <c r="P33" s="83">
        <v>44692.287673611114</v>
      </c>
      <c r="Q33" s="81" t="s">
        <v>613</v>
      </c>
      <c r="R33"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3" s="81" t="s">
        <v>264</v>
      </c>
      <c r="T33" s="86" t="s">
        <v>634</v>
      </c>
      <c r="U33" s="81"/>
      <c r="V33" s="84" t="str">
        <f>HYPERLINK("https://pbs.twimg.com/profile_images/1521083114046758913/ia08w9bB_normal.jpg")</f>
        <v>https://pbs.twimg.com/profile_images/1521083114046758913/ia08w9bB_normal.jpg</v>
      </c>
      <c r="W33" s="83">
        <v>44692.287673611114</v>
      </c>
      <c r="X33" s="88">
        <v>44692</v>
      </c>
      <c r="Y33" s="86" t="s">
        <v>659</v>
      </c>
      <c r="Z33" s="84" t="str">
        <f>HYPERLINK("https://twitter.com/ariannagail1/status/1524281715971457024")</f>
        <v>https://twitter.com/ariannagail1/status/1524281715971457024</v>
      </c>
      <c r="AA33" s="81"/>
      <c r="AB33" s="81"/>
      <c r="AC33" s="86" t="s">
        <v>688</v>
      </c>
      <c r="AD33" s="81"/>
      <c r="AE33" s="81" t="b">
        <v>0</v>
      </c>
      <c r="AF33" s="81">
        <v>0</v>
      </c>
      <c r="AG33" s="86" t="s">
        <v>266</v>
      </c>
      <c r="AH33" s="81" t="b">
        <v>0</v>
      </c>
      <c r="AI33" s="81" t="s">
        <v>268</v>
      </c>
      <c r="AJ33" s="81"/>
      <c r="AK33" s="86" t="s">
        <v>266</v>
      </c>
      <c r="AL33" s="81" t="b">
        <v>0</v>
      </c>
      <c r="AM33" s="81">
        <v>2</v>
      </c>
      <c r="AN33" s="86" t="s">
        <v>689</v>
      </c>
      <c r="AO33" s="86" t="s">
        <v>270</v>
      </c>
      <c r="AP33" s="81" t="b">
        <v>0</v>
      </c>
      <c r="AQ33" s="86" t="s">
        <v>689</v>
      </c>
      <c r="AR33" s="81" t="s">
        <v>218</v>
      </c>
      <c r="AS33" s="81">
        <v>0</v>
      </c>
      <c r="AT33" s="81">
        <v>0</v>
      </c>
      <c r="AU33" s="81"/>
      <c r="AV33" s="81"/>
      <c r="AW33" s="81"/>
      <c r="AX33" s="81"/>
      <c r="AY33" s="81"/>
      <c r="AZ33" s="81"/>
      <c r="BA33" s="81"/>
      <c r="BB33" s="81"/>
      <c r="BC33" s="78">
        <v>2</v>
      </c>
      <c r="BD33" s="80" t="str">
        <f>REPLACE(INDEX(GroupVertices[Group],MATCH(Edges[[#This Row],[Vertex 1]],GroupVertices[Vertex],0)),1,1,"")</f>
        <v>2</v>
      </c>
      <c r="BE33" s="80" t="str">
        <f>REPLACE(INDEX(GroupVertices[Group],MATCH(Edges[[#This Row],[Vertex 2]],GroupVertices[Vertex],0)),1,1,"")</f>
        <v>4</v>
      </c>
      <c r="BF33" s="49"/>
      <c r="BG33" s="50"/>
      <c r="BH33" s="49"/>
      <c r="BI33" s="50"/>
      <c r="BJ33" s="49"/>
      <c r="BK33" s="50"/>
      <c r="BL33" s="49"/>
      <c r="BM33" s="50"/>
      <c r="BN33" s="49"/>
    </row>
    <row r="34" spans="1:66" ht="15">
      <c r="A34" s="65" t="s">
        <v>580</v>
      </c>
      <c r="B34" s="65" t="s">
        <v>257</v>
      </c>
      <c r="C34" s="66" t="s">
        <v>568</v>
      </c>
      <c r="D34" s="67">
        <v>5</v>
      </c>
      <c r="E34" s="66"/>
      <c r="F34" s="69">
        <v>50</v>
      </c>
      <c r="G34" s="66"/>
      <c r="H34" s="70"/>
      <c r="I34" s="71"/>
      <c r="J34" s="71"/>
      <c r="K34" s="35" t="s">
        <v>65</v>
      </c>
      <c r="L34" s="72">
        <v>34</v>
      </c>
      <c r="M34" s="72"/>
      <c r="N34" s="73"/>
      <c r="O34" s="81" t="s">
        <v>262</v>
      </c>
      <c r="P34" s="83">
        <v>44692.287673611114</v>
      </c>
      <c r="Q34" s="81" t="s">
        <v>613</v>
      </c>
      <c r="R34"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4" s="81" t="s">
        <v>264</v>
      </c>
      <c r="T34" s="86" t="s">
        <v>634</v>
      </c>
      <c r="U34" s="81"/>
      <c r="V34" s="84" t="str">
        <f>HYPERLINK("https://pbs.twimg.com/profile_images/1521083114046758913/ia08w9bB_normal.jpg")</f>
        <v>https://pbs.twimg.com/profile_images/1521083114046758913/ia08w9bB_normal.jpg</v>
      </c>
      <c r="W34" s="83">
        <v>44692.287673611114</v>
      </c>
      <c r="X34" s="88">
        <v>44692</v>
      </c>
      <c r="Y34" s="86" t="s">
        <v>659</v>
      </c>
      <c r="Z34" s="84" t="str">
        <f>HYPERLINK("https://twitter.com/ariannagail1/status/1524281715971457024")</f>
        <v>https://twitter.com/ariannagail1/status/1524281715971457024</v>
      </c>
      <c r="AA34" s="81"/>
      <c r="AB34" s="81"/>
      <c r="AC34" s="86" t="s">
        <v>688</v>
      </c>
      <c r="AD34" s="81"/>
      <c r="AE34" s="81" t="b">
        <v>0</v>
      </c>
      <c r="AF34" s="81">
        <v>0</v>
      </c>
      <c r="AG34" s="86" t="s">
        <v>266</v>
      </c>
      <c r="AH34" s="81" t="b">
        <v>0</v>
      </c>
      <c r="AI34" s="81" t="s">
        <v>268</v>
      </c>
      <c r="AJ34" s="81"/>
      <c r="AK34" s="86" t="s">
        <v>266</v>
      </c>
      <c r="AL34" s="81" t="b">
        <v>0</v>
      </c>
      <c r="AM34" s="81">
        <v>2</v>
      </c>
      <c r="AN34" s="86" t="s">
        <v>689</v>
      </c>
      <c r="AO34" s="86" t="s">
        <v>270</v>
      </c>
      <c r="AP34" s="81" t="b">
        <v>0</v>
      </c>
      <c r="AQ34" s="86" t="s">
        <v>689</v>
      </c>
      <c r="AR34" s="81" t="s">
        <v>218</v>
      </c>
      <c r="AS34" s="81">
        <v>0</v>
      </c>
      <c r="AT34" s="81">
        <v>0</v>
      </c>
      <c r="AU34" s="81"/>
      <c r="AV34" s="81"/>
      <c r="AW34" s="81"/>
      <c r="AX34" s="81"/>
      <c r="AY34" s="81"/>
      <c r="AZ34" s="81"/>
      <c r="BA34" s="81"/>
      <c r="BB34" s="81"/>
      <c r="BC34" s="78">
        <v>1</v>
      </c>
      <c r="BD34" s="80" t="str">
        <f>REPLACE(INDEX(GroupVertices[Group],MATCH(Edges[[#This Row],[Vertex 1]],GroupVertices[Vertex],0)),1,1,"")</f>
        <v>2</v>
      </c>
      <c r="BE34" s="80" t="str">
        <f>REPLACE(INDEX(GroupVertices[Group],MATCH(Edges[[#This Row],[Vertex 2]],GroupVertices[Vertex],0)),1,1,"")</f>
        <v>1</v>
      </c>
      <c r="BF34" s="49">
        <v>2</v>
      </c>
      <c r="BG34" s="50">
        <v>5.555555555555555</v>
      </c>
      <c r="BH34" s="49">
        <v>1</v>
      </c>
      <c r="BI34" s="50">
        <v>2.7777777777777777</v>
      </c>
      <c r="BJ34" s="49">
        <v>0</v>
      </c>
      <c r="BK34" s="50">
        <v>0</v>
      </c>
      <c r="BL34" s="49">
        <v>33</v>
      </c>
      <c r="BM34" s="50">
        <v>91.66666666666667</v>
      </c>
      <c r="BN34" s="49">
        <v>36</v>
      </c>
    </row>
    <row r="35" spans="1:66" ht="15">
      <c r="A35" s="65" t="s">
        <v>580</v>
      </c>
      <c r="B35" s="65" t="s">
        <v>581</v>
      </c>
      <c r="C35" s="66" t="s">
        <v>569</v>
      </c>
      <c r="D35" s="67">
        <v>10</v>
      </c>
      <c r="E35" s="66"/>
      <c r="F35" s="69">
        <v>15</v>
      </c>
      <c r="G35" s="66"/>
      <c r="H35" s="70"/>
      <c r="I35" s="71"/>
      <c r="J35" s="71"/>
      <c r="K35" s="35" t="s">
        <v>66</v>
      </c>
      <c r="L35" s="72">
        <v>35</v>
      </c>
      <c r="M35" s="72"/>
      <c r="N35" s="73"/>
      <c r="O35" s="81" t="s">
        <v>261</v>
      </c>
      <c r="P35" s="83">
        <v>44692.287673611114</v>
      </c>
      <c r="Q35" s="81" t="s">
        <v>613</v>
      </c>
      <c r="R35"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5" s="81" t="s">
        <v>264</v>
      </c>
      <c r="T35" s="86" t="s">
        <v>634</v>
      </c>
      <c r="U35" s="81"/>
      <c r="V35" s="84" t="str">
        <f>HYPERLINK("https://pbs.twimg.com/profile_images/1521083114046758913/ia08w9bB_normal.jpg")</f>
        <v>https://pbs.twimg.com/profile_images/1521083114046758913/ia08w9bB_normal.jpg</v>
      </c>
      <c r="W35" s="83">
        <v>44692.287673611114</v>
      </c>
      <c r="X35" s="88">
        <v>44692</v>
      </c>
      <c r="Y35" s="86" t="s">
        <v>659</v>
      </c>
      <c r="Z35" s="84" t="str">
        <f>HYPERLINK("https://twitter.com/ariannagail1/status/1524281715971457024")</f>
        <v>https://twitter.com/ariannagail1/status/1524281715971457024</v>
      </c>
      <c r="AA35" s="81"/>
      <c r="AB35" s="81"/>
      <c r="AC35" s="86" t="s">
        <v>688</v>
      </c>
      <c r="AD35" s="81"/>
      <c r="AE35" s="81" t="b">
        <v>0</v>
      </c>
      <c r="AF35" s="81">
        <v>0</v>
      </c>
      <c r="AG35" s="86" t="s">
        <v>266</v>
      </c>
      <c r="AH35" s="81" t="b">
        <v>0</v>
      </c>
      <c r="AI35" s="81" t="s">
        <v>268</v>
      </c>
      <c r="AJ35" s="81"/>
      <c r="AK35" s="86" t="s">
        <v>266</v>
      </c>
      <c r="AL35" s="81" t="b">
        <v>0</v>
      </c>
      <c r="AM35" s="81">
        <v>2</v>
      </c>
      <c r="AN35" s="86" t="s">
        <v>689</v>
      </c>
      <c r="AO35" s="86" t="s">
        <v>270</v>
      </c>
      <c r="AP35" s="81" t="b">
        <v>0</v>
      </c>
      <c r="AQ35" s="86" t="s">
        <v>689</v>
      </c>
      <c r="AR35" s="81" t="s">
        <v>218</v>
      </c>
      <c r="AS35" s="81">
        <v>0</v>
      </c>
      <c r="AT35" s="81">
        <v>0</v>
      </c>
      <c r="AU35" s="81"/>
      <c r="AV35" s="81"/>
      <c r="AW35" s="81"/>
      <c r="AX35" s="81"/>
      <c r="AY35" s="81"/>
      <c r="AZ35" s="81"/>
      <c r="BA35" s="81"/>
      <c r="BB35" s="81"/>
      <c r="BC35" s="78">
        <v>3</v>
      </c>
      <c r="BD35" s="80" t="str">
        <f>REPLACE(INDEX(GroupVertices[Group],MATCH(Edges[[#This Row],[Vertex 1]],GroupVertices[Vertex],0)),1,1,"")</f>
        <v>2</v>
      </c>
      <c r="BE35" s="80" t="str">
        <f>REPLACE(INDEX(GroupVertices[Group],MATCH(Edges[[#This Row],[Vertex 2]],GroupVertices[Vertex],0)),1,1,"")</f>
        <v>1</v>
      </c>
      <c r="BF35" s="49"/>
      <c r="BG35" s="50"/>
      <c r="BH35" s="49"/>
      <c r="BI35" s="50"/>
      <c r="BJ35" s="49"/>
      <c r="BK35" s="50"/>
      <c r="BL35" s="49"/>
      <c r="BM35" s="50"/>
      <c r="BN35" s="49"/>
    </row>
    <row r="36" spans="1:66" ht="15">
      <c r="A36" s="65" t="s">
        <v>581</v>
      </c>
      <c r="B36" s="65" t="s">
        <v>580</v>
      </c>
      <c r="C36" s="66" t="s">
        <v>568</v>
      </c>
      <c r="D36" s="67">
        <v>5</v>
      </c>
      <c r="E36" s="66"/>
      <c r="F36" s="69">
        <v>50</v>
      </c>
      <c r="G36" s="66"/>
      <c r="H36" s="70"/>
      <c r="I36" s="71"/>
      <c r="J36" s="71"/>
      <c r="K36" s="35" t="s">
        <v>66</v>
      </c>
      <c r="L36" s="72">
        <v>36</v>
      </c>
      <c r="M36" s="72"/>
      <c r="N36" s="73"/>
      <c r="O36" s="81" t="s">
        <v>259</v>
      </c>
      <c r="P36" s="83">
        <v>44692.19975694444</v>
      </c>
      <c r="Q36" s="81" t="s">
        <v>613</v>
      </c>
      <c r="R36"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6" s="81" t="s">
        <v>264</v>
      </c>
      <c r="T36" s="86" t="s">
        <v>634</v>
      </c>
      <c r="U36" s="81"/>
      <c r="V36" s="84" t="str">
        <f>HYPERLINK("https://pbs.twimg.com/profile_images/1509686418662068230/6_KXm14m_normal.jpg")</f>
        <v>https://pbs.twimg.com/profile_images/1509686418662068230/6_KXm14m_normal.jpg</v>
      </c>
      <c r="W36" s="83">
        <v>44692.19975694444</v>
      </c>
      <c r="X36" s="88">
        <v>44692</v>
      </c>
      <c r="Y36" s="86" t="s">
        <v>660</v>
      </c>
      <c r="Z36" s="84" t="str">
        <f>HYPERLINK("https://twitter.com/jennykaynz/status/1524249856658747392")</f>
        <v>https://twitter.com/jennykaynz/status/1524249856658747392</v>
      </c>
      <c r="AA36" s="81"/>
      <c r="AB36" s="81"/>
      <c r="AC36" s="86" t="s">
        <v>689</v>
      </c>
      <c r="AD36" s="81"/>
      <c r="AE36" s="81" t="b">
        <v>0</v>
      </c>
      <c r="AF36" s="81">
        <v>3</v>
      </c>
      <c r="AG36" s="86" t="s">
        <v>266</v>
      </c>
      <c r="AH36" s="81" t="b">
        <v>0</v>
      </c>
      <c r="AI36" s="81" t="s">
        <v>268</v>
      </c>
      <c r="AJ36" s="81"/>
      <c r="AK36" s="86" t="s">
        <v>266</v>
      </c>
      <c r="AL36" s="81" t="b">
        <v>0</v>
      </c>
      <c r="AM36" s="81">
        <v>2</v>
      </c>
      <c r="AN36" s="86" t="s">
        <v>266</v>
      </c>
      <c r="AO36" s="86" t="s">
        <v>269</v>
      </c>
      <c r="AP36" s="81" t="b">
        <v>0</v>
      </c>
      <c r="AQ36" s="86" t="s">
        <v>689</v>
      </c>
      <c r="AR36" s="81" t="s">
        <v>218</v>
      </c>
      <c r="AS36" s="81">
        <v>0</v>
      </c>
      <c r="AT36" s="81">
        <v>0</v>
      </c>
      <c r="AU36" s="81"/>
      <c r="AV36" s="81"/>
      <c r="AW36" s="81"/>
      <c r="AX36" s="81"/>
      <c r="AY36" s="81"/>
      <c r="AZ36" s="81"/>
      <c r="BA36" s="81"/>
      <c r="BB36" s="81"/>
      <c r="BC36" s="78">
        <v>1</v>
      </c>
      <c r="BD36" s="80" t="str">
        <f>REPLACE(INDEX(GroupVertices[Group],MATCH(Edges[[#This Row],[Vertex 1]],GroupVertices[Vertex],0)),1,1,"")</f>
        <v>1</v>
      </c>
      <c r="BE36" s="80" t="str">
        <f>REPLACE(INDEX(GroupVertices[Group],MATCH(Edges[[#This Row],[Vertex 2]],GroupVertices[Vertex],0)),1,1,"")</f>
        <v>2</v>
      </c>
      <c r="BF36" s="49"/>
      <c r="BG36" s="50"/>
      <c r="BH36" s="49"/>
      <c r="BI36" s="50"/>
      <c r="BJ36" s="49"/>
      <c r="BK36" s="50"/>
      <c r="BL36" s="49"/>
      <c r="BM36" s="50"/>
      <c r="BN36" s="49"/>
    </row>
    <row r="37" spans="1:66" ht="15">
      <c r="A37" s="65" t="s">
        <v>582</v>
      </c>
      <c r="B37" s="65" t="s">
        <v>580</v>
      </c>
      <c r="C37" s="66" t="s">
        <v>568</v>
      </c>
      <c r="D37" s="67">
        <v>5</v>
      </c>
      <c r="E37" s="66"/>
      <c r="F37" s="69">
        <v>50</v>
      </c>
      <c r="G37" s="66"/>
      <c r="H37" s="70"/>
      <c r="I37" s="71"/>
      <c r="J37" s="71"/>
      <c r="K37" s="35" t="s">
        <v>66</v>
      </c>
      <c r="L37" s="72">
        <v>37</v>
      </c>
      <c r="M37" s="72"/>
      <c r="N37" s="73"/>
      <c r="O37" s="81" t="s">
        <v>262</v>
      </c>
      <c r="P37" s="83">
        <v>44692.302569444444</v>
      </c>
      <c r="Q37" s="81" t="s">
        <v>613</v>
      </c>
      <c r="R37"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7" s="81" t="s">
        <v>264</v>
      </c>
      <c r="T37" s="86" t="s">
        <v>634</v>
      </c>
      <c r="U37" s="81"/>
      <c r="V37" s="84" t="str">
        <f>HYPERLINK("https://pbs.twimg.com/profile_images/1505255366879293442/znVK6sDd_normal.jpg")</f>
        <v>https://pbs.twimg.com/profile_images/1505255366879293442/znVK6sDd_normal.jpg</v>
      </c>
      <c r="W37" s="83">
        <v>44692.302569444444</v>
      </c>
      <c r="X37" s="88">
        <v>44692</v>
      </c>
      <c r="Y37" s="86" t="s">
        <v>661</v>
      </c>
      <c r="Z37" s="84" t="str">
        <f>HYPERLINK("https://twitter.com/endashnow/status/1524287114099179521")</f>
        <v>https://twitter.com/endashnow/status/1524287114099179521</v>
      </c>
      <c r="AA37" s="81"/>
      <c r="AB37" s="81"/>
      <c r="AC37" s="86" t="s">
        <v>690</v>
      </c>
      <c r="AD37" s="81"/>
      <c r="AE37" s="81" t="b">
        <v>0</v>
      </c>
      <c r="AF37" s="81">
        <v>0</v>
      </c>
      <c r="AG37" s="86" t="s">
        <v>266</v>
      </c>
      <c r="AH37" s="81" t="b">
        <v>0</v>
      </c>
      <c r="AI37" s="81" t="s">
        <v>268</v>
      </c>
      <c r="AJ37" s="81"/>
      <c r="AK37" s="86" t="s">
        <v>266</v>
      </c>
      <c r="AL37" s="81" t="b">
        <v>0</v>
      </c>
      <c r="AM37" s="81">
        <v>2</v>
      </c>
      <c r="AN37" s="86" t="s">
        <v>689</v>
      </c>
      <c r="AO37" s="86" t="s">
        <v>270</v>
      </c>
      <c r="AP37" s="81" t="b">
        <v>0</v>
      </c>
      <c r="AQ37" s="86" t="s">
        <v>689</v>
      </c>
      <c r="AR37" s="81" t="s">
        <v>218</v>
      </c>
      <c r="AS37" s="81">
        <v>0</v>
      </c>
      <c r="AT37" s="81">
        <v>0</v>
      </c>
      <c r="AU37" s="81"/>
      <c r="AV37" s="81"/>
      <c r="AW37" s="81"/>
      <c r="AX37" s="81"/>
      <c r="AY37" s="81"/>
      <c r="AZ37" s="81"/>
      <c r="BA37" s="81"/>
      <c r="BB37" s="81"/>
      <c r="BC37" s="78">
        <v>1</v>
      </c>
      <c r="BD37" s="80" t="str">
        <f>REPLACE(INDEX(GroupVertices[Group],MATCH(Edges[[#This Row],[Vertex 1]],GroupVertices[Vertex],0)),1,1,"")</f>
        <v>1</v>
      </c>
      <c r="BE37" s="80" t="str">
        <f>REPLACE(INDEX(GroupVertices[Group],MATCH(Edges[[#This Row],[Vertex 2]],GroupVertices[Vertex],0)),1,1,"")</f>
        <v>2</v>
      </c>
      <c r="BF37" s="49"/>
      <c r="BG37" s="50"/>
      <c r="BH37" s="49"/>
      <c r="BI37" s="50"/>
      <c r="BJ37" s="49"/>
      <c r="BK37" s="50"/>
      <c r="BL37" s="49"/>
      <c r="BM37" s="50"/>
      <c r="BN37" s="49"/>
    </row>
    <row r="38" spans="1:66" ht="15">
      <c r="A38" s="65" t="s">
        <v>581</v>
      </c>
      <c r="B38" s="65" t="s">
        <v>595</v>
      </c>
      <c r="C38" s="66" t="s">
        <v>570</v>
      </c>
      <c r="D38" s="67">
        <v>7.5</v>
      </c>
      <c r="E38" s="66"/>
      <c r="F38" s="69">
        <v>32.5</v>
      </c>
      <c r="G38" s="66"/>
      <c r="H38" s="70"/>
      <c r="I38" s="71"/>
      <c r="J38" s="71"/>
      <c r="K38" s="35" t="s">
        <v>65</v>
      </c>
      <c r="L38" s="72">
        <v>38</v>
      </c>
      <c r="M38" s="72"/>
      <c r="N38" s="73"/>
      <c r="O38" s="81" t="s">
        <v>259</v>
      </c>
      <c r="P38" s="83">
        <v>44690.05778935185</v>
      </c>
      <c r="Q38" s="81" t="s">
        <v>609</v>
      </c>
      <c r="R38" s="84" t="str">
        <f>HYPERLINK("https://www.stuff.co.nz/national/immigration/300580917/woman-who-has-overstayed-in-nz-for-16-years-granted-residence-due-to-family-ties")</f>
        <v>https://www.stuff.co.nz/national/immigration/300580917/woman-who-has-overstayed-in-nz-for-16-years-granted-residence-due-to-family-ties</v>
      </c>
      <c r="S38" s="81" t="s">
        <v>264</v>
      </c>
      <c r="T38" s="86" t="s">
        <v>582</v>
      </c>
      <c r="U38" s="81"/>
      <c r="V38" s="84" t="str">
        <f>HYPERLINK("https://pbs.twimg.com/profile_images/1509686418662068230/6_KXm14m_normal.jpg")</f>
        <v>https://pbs.twimg.com/profile_images/1509686418662068230/6_KXm14m_normal.jpg</v>
      </c>
      <c r="W38" s="83">
        <v>44690.05778935185</v>
      </c>
      <c r="X38" s="88">
        <v>44690</v>
      </c>
      <c r="Y38" s="86" t="s">
        <v>654</v>
      </c>
      <c r="Z38" s="84" t="str">
        <f>HYPERLINK("https://twitter.com/jennykaynz/status/1523473630767706112")</f>
        <v>https://twitter.com/jennykaynz/status/1523473630767706112</v>
      </c>
      <c r="AA38" s="81"/>
      <c r="AB38" s="81"/>
      <c r="AC38" s="86" t="s">
        <v>683</v>
      </c>
      <c r="AD38" s="81"/>
      <c r="AE38" s="81" t="b">
        <v>0</v>
      </c>
      <c r="AF38" s="81">
        <v>3</v>
      </c>
      <c r="AG38" s="86" t="s">
        <v>266</v>
      </c>
      <c r="AH38" s="81" t="b">
        <v>0</v>
      </c>
      <c r="AI38" s="81" t="s">
        <v>268</v>
      </c>
      <c r="AJ38" s="81"/>
      <c r="AK38" s="86" t="s">
        <v>266</v>
      </c>
      <c r="AL38" s="81" t="b">
        <v>0</v>
      </c>
      <c r="AM38" s="81">
        <v>1</v>
      </c>
      <c r="AN38" s="86" t="s">
        <v>266</v>
      </c>
      <c r="AO38" s="86" t="s">
        <v>269</v>
      </c>
      <c r="AP38" s="81" t="b">
        <v>0</v>
      </c>
      <c r="AQ38" s="86" t="s">
        <v>683</v>
      </c>
      <c r="AR38" s="81" t="s">
        <v>218</v>
      </c>
      <c r="AS38" s="81">
        <v>0</v>
      </c>
      <c r="AT38" s="81">
        <v>0</v>
      </c>
      <c r="AU38" s="81"/>
      <c r="AV38" s="81"/>
      <c r="AW38" s="81"/>
      <c r="AX38" s="81"/>
      <c r="AY38" s="81"/>
      <c r="AZ38" s="81"/>
      <c r="BA38" s="81"/>
      <c r="BB38" s="81"/>
      <c r="BC38" s="78">
        <v>2</v>
      </c>
      <c r="BD38" s="80" t="str">
        <f>REPLACE(INDEX(GroupVertices[Group],MATCH(Edges[[#This Row],[Vertex 1]],GroupVertices[Vertex],0)),1,1,"")</f>
        <v>1</v>
      </c>
      <c r="BE38" s="80" t="str">
        <f>REPLACE(INDEX(GroupVertices[Group],MATCH(Edges[[#This Row],[Vertex 2]],GroupVertices[Vertex],0)),1,1,"")</f>
        <v>2</v>
      </c>
      <c r="BF38" s="49">
        <v>1</v>
      </c>
      <c r="BG38" s="50">
        <v>3.5714285714285716</v>
      </c>
      <c r="BH38" s="49">
        <v>0</v>
      </c>
      <c r="BI38" s="50">
        <v>0</v>
      </c>
      <c r="BJ38" s="49">
        <v>0</v>
      </c>
      <c r="BK38" s="50">
        <v>0</v>
      </c>
      <c r="BL38" s="49">
        <v>27</v>
      </c>
      <c r="BM38" s="50">
        <v>96.42857142857143</v>
      </c>
      <c r="BN38" s="49">
        <v>28</v>
      </c>
    </row>
    <row r="39" spans="1:66" ht="15">
      <c r="A39" s="65" t="s">
        <v>581</v>
      </c>
      <c r="B39" s="65" t="s">
        <v>595</v>
      </c>
      <c r="C39" s="66" t="s">
        <v>570</v>
      </c>
      <c r="D39" s="67">
        <v>7.5</v>
      </c>
      <c r="E39" s="66"/>
      <c r="F39" s="69">
        <v>32.5</v>
      </c>
      <c r="G39" s="66"/>
      <c r="H39" s="70"/>
      <c r="I39" s="71"/>
      <c r="J39" s="71"/>
      <c r="K39" s="35" t="s">
        <v>65</v>
      </c>
      <c r="L39" s="72">
        <v>39</v>
      </c>
      <c r="M39" s="72"/>
      <c r="N39" s="73"/>
      <c r="O39" s="81" t="s">
        <v>259</v>
      </c>
      <c r="P39" s="83">
        <v>44692.19975694444</v>
      </c>
      <c r="Q39" s="81" t="s">
        <v>613</v>
      </c>
      <c r="R39"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9" s="81" t="s">
        <v>264</v>
      </c>
      <c r="T39" s="86" t="s">
        <v>634</v>
      </c>
      <c r="U39" s="81"/>
      <c r="V39" s="84" t="str">
        <f>HYPERLINK("https://pbs.twimg.com/profile_images/1509686418662068230/6_KXm14m_normal.jpg")</f>
        <v>https://pbs.twimg.com/profile_images/1509686418662068230/6_KXm14m_normal.jpg</v>
      </c>
      <c r="W39" s="83">
        <v>44692.19975694444</v>
      </c>
      <c r="X39" s="88">
        <v>44692</v>
      </c>
      <c r="Y39" s="86" t="s">
        <v>660</v>
      </c>
      <c r="Z39" s="84" t="str">
        <f>HYPERLINK("https://twitter.com/jennykaynz/status/1524249856658747392")</f>
        <v>https://twitter.com/jennykaynz/status/1524249856658747392</v>
      </c>
      <c r="AA39" s="81"/>
      <c r="AB39" s="81"/>
      <c r="AC39" s="86" t="s">
        <v>689</v>
      </c>
      <c r="AD39" s="81"/>
      <c r="AE39" s="81" t="b">
        <v>0</v>
      </c>
      <c r="AF39" s="81">
        <v>3</v>
      </c>
      <c r="AG39" s="86" t="s">
        <v>266</v>
      </c>
      <c r="AH39" s="81" t="b">
        <v>0</v>
      </c>
      <c r="AI39" s="81" t="s">
        <v>268</v>
      </c>
      <c r="AJ39" s="81"/>
      <c r="AK39" s="86" t="s">
        <v>266</v>
      </c>
      <c r="AL39" s="81" t="b">
        <v>0</v>
      </c>
      <c r="AM39" s="81">
        <v>2</v>
      </c>
      <c r="AN39" s="86" t="s">
        <v>266</v>
      </c>
      <c r="AO39" s="86" t="s">
        <v>269</v>
      </c>
      <c r="AP39" s="81" t="b">
        <v>0</v>
      </c>
      <c r="AQ39" s="86" t="s">
        <v>689</v>
      </c>
      <c r="AR39" s="81" t="s">
        <v>218</v>
      </c>
      <c r="AS39" s="81">
        <v>0</v>
      </c>
      <c r="AT39" s="81">
        <v>0</v>
      </c>
      <c r="AU39" s="81"/>
      <c r="AV39" s="81"/>
      <c r="AW39" s="81"/>
      <c r="AX39" s="81"/>
      <c r="AY39" s="81"/>
      <c r="AZ39" s="81"/>
      <c r="BA39" s="81"/>
      <c r="BB39" s="81"/>
      <c r="BC39" s="78">
        <v>2</v>
      </c>
      <c r="BD39" s="80" t="str">
        <f>REPLACE(INDEX(GroupVertices[Group],MATCH(Edges[[#This Row],[Vertex 1]],GroupVertices[Vertex],0)),1,1,"")</f>
        <v>1</v>
      </c>
      <c r="BE39" s="80" t="str">
        <f>REPLACE(INDEX(GroupVertices[Group],MATCH(Edges[[#This Row],[Vertex 2]],GroupVertices[Vertex],0)),1,1,"")</f>
        <v>2</v>
      </c>
      <c r="BF39" s="49"/>
      <c r="BG39" s="50"/>
      <c r="BH39" s="49"/>
      <c r="BI39" s="50"/>
      <c r="BJ39" s="49"/>
      <c r="BK39" s="50"/>
      <c r="BL39" s="49"/>
      <c r="BM39" s="50"/>
      <c r="BN39" s="49"/>
    </row>
    <row r="40" spans="1:66" ht="15">
      <c r="A40" s="65" t="s">
        <v>582</v>
      </c>
      <c r="B40" s="65" t="s">
        <v>595</v>
      </c>
      <c r="C40" s="66" t="s">
        <v>568</v>
      </c>
      <c r="D40" s="67">
        <v>5</v>
      </c>
      <c r="E40" s="66"/>
      <c r="F40" s="69">
        <v>50</v>
      </c>
      <c r="G40" s="66"/>
      <c r="H40" s="70"/>
      <c r="I40" s="71"/>
      <c r="J40" s="71"/>
      <c r="K40" s="35" t="s">
        <v>65</v>
      </c>
      <c r="L40" s="72">
        <v>40</v>
      </c>
      <c r="M40" s="72"/>
      <c r="N40" s="73"/>
      <c r="O40" s="81" t="s">
        <v>262</v>
      </c>
      <c r="P40" s="83">
        <v>44692.302569444444</v>
      </c>
      <c r="Q40" s="81" t="s">
        <v>613</v>
      </c>
      <c r="R40"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40" s="81" t="s">
        <v>264</v>
      </c>
      <c r="T40" s="86" t="s">
        <v>634</v>
      </c>
      <c r="U40" s="81"/>
      <c r="V40" s="84" t="str">
        <f>HYPERLINK("https://pbs.twimg.com/profile_images/1505255366879293442/znVK6sDd_normal.jpg")</f>
        <v>https://pbs.twimg.com/profile_images/1505255366879293442/znVK6sDd_normal.jpg</v>
      </c>
      <c r="W40" s="83">
        <v>44692.302569444444</v>
      </c>
      <c r="X40" s="88">
        <v>44692</v>
      </c>
      <c r="Y40" s="86" t="s">
        <v>661</v>
      </c>
      <c r="Z40" s="84" t="str">
        <f>HYPERLINK("https://twitter.com/endashnow/status/1524287114099179521")</f>
        <v>https://twitter.com/endashnow/status/1524287114099179521</v>
      </c>
      <c r="AA40" s="81"/>
      <c r="AB40" s="81"/>
      <c r="AC40" s="86" t="s">
        <v>690</v>
      </c>
      <c r="AD40" s="81"/>
      <c r="AE40" s="81" t="b">
        <v>0</v>
      </c>
      <c r="AF40" s="81">
        <v>0</v>
      </c>
      <c r="AG40" s="86" t="s">
        <v>266</v>
      </c>
      <c r="AH40" s="81" t="b">
        <v>0</v>
      </c>
      <c r="AI40" s="81" t="s">
        <v>268</v>
      </c>
      <c r="AJ40" s="81"/>
      <c r="AK40" s="86" t="s">
        <v>266</v>
      </c>
      <c r="AL40" s="81" t="b">
        <v>0</v>
      </c>
      <c r="AM40" s="81">
        <v>2</v>
      </c>
      <c r="AN40" s="86" t="s">
        <v>689</v>
      </c>
      <c r="AO40" s="86" t="s">
        <v>270</v>
      </c>
      <c r="AP40" s="81" t="b">
        <v>0</v>
      </c>
      <c r="AQ40" s="86" t="s">
        <v>689</v>
      </c>
      <c r="AR40" s="81" t="s">
        <v>218</v>
      </c>
      <c r="AS40" s="81">
        <v>0</v>
      </c>
      <c r="AT40" s="81">
        <v>0</v>
      </c>
      <c r="AU40" s="81"/>
      <c r="AV40" s="81"/>
      <c r="AW40" s="81"/>
      <c r="AX40" s="81"/>
      <c r="AY40" s="81"/>
      <c r="AZ40" s="81"/>
      <c r="BA40" s="81"/>
      <c r="BB40" s="81"/>
      <c r="BC40" s="78">
        <v>1</v>
      </c>
      <c r="BD40" s="80" t="str">
        <f>REPLACE(INDEX(GroupVertices[Group],MATCH(Edges[[#This Row],[Vertex 1]],GroupVertices[Vertex],0)),1,1,"")</f>
        <v>1</v>
      </c>
      <c r="BE40" s="80" t="str">
        <f>REPLACE(INDEX(GroupVertices[Group],MATCH(Edges[[#This Row],[Vertex 2]],GroupVertices[Vertex],0)),1,1,"")</f>
        <v>2</v>
      </c>
      <c r="BF40" s="49"/>
      <c r="BG40" s="50"/>
      <c r="BH40" s="49"/>
      <c r="BI40" s="50"/>
      <c r="BJ40" s="49"/>
      <c r="BK40" s="50"/>
      <c r="BL40" s="49"/>
      <c r="BM40" s="50"/>
      <c r="BN40" s="49"/>
    </row>
    <row r="41" spans="1:66" ht="15">
      <c r="A41" s="65" t="s">
        <v>581</v>
      </c>
      <c r="B41" s="65" t="s">
        <v>257</v>
      </c>
      <c r="C41" s="66" t="s">
        <v>568</v>
      </c>
      <c r="D41" s="67">
        <v>5</v>
      </c>
      <c r="E41" s="66"/>
      <c r="F41" s="69">
        <v>50</v>
      </c>
      <c r="G41" s="66"/>
      <c r="H41" s="70"/>
      <c r="I41" s="71"/>
      <c r="J41" s="71"/>
      <c r="K41" s="35" t="s">
        <v>65</v>
      </c>
      <c r="L41" s="72">
        <v>41</v>
      </c>
      <c r="M41" s="72"/>
      <c r="N41" s="73"/>
      <c r="O41" s="81" t="s">
        <v>259</v>
      </c>
      <c r="P41" s="83">
        <v>44692.19975694444</v>
      </c>
      <c r="Q41" s="81" t="s">
        <v>613</v>
      </c>
      <c r="R41"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41" s="81" t="s">
        <v>264</v>
      </c>
      <c r="T41" s="86" t="s">
        <v>634</v>
      </c>
      <c r="U41" s="81"/>
      <c r="V41" s="84" t="str">
        <f>HYPERLINK("https://pbs.twimg.com/profile_images/1509686418662068230/6_KXm14m_normal.jpg")</f>
        <v>https://pbs.twimg.com/profile_images/1509686418662068230/6_KXm14m_normal.jpg</v>
      </c>
      <c r="W41" s="83">
        <v>44692.19975694444</v>
      </c>
      <c r="X41" s="88">
        <v>44692</v>
      </c>
      <c r="Y41" s="86" t="s">
        <v>660</v>
      </c>
      <c r="Z41" s="84" t="str">
        <f>HYPERLINK("https://twitter.com/jennykaynz/status/1524249856658747392")</f>
        <v>https://twitter.com/jennykaynz/status/1524249856658747392</v>
      </c>
      <c r="AA41" s="81"/>
      <c r="AB41" s="81"/>
      <c r="AC41" s="86" t="s">
        <v>689</v>
      </c>
      <c r="AD41" s="81"/>
      <c r="AE41" s="81" t="b">
        <v>0</v>
      </c>
      <c r="AF41" s="81">
        <v>3</v>
      </c>
      <c r="AG41" s="86" t="s">
        <v>266</v>
      </c>
      <c r="AH41" s="81" t="b">
        <v>0</v>
      </c>
      <c r="AI41" s="81" t="s">
        <v>268</v>
      </c>
      <c r="AJ41" s="81"/>
      <c r="AK41" s="86" t="s">
        <v>266</v>
      </c>
      <c r="AL41" s="81" t="b">
        <v>0</v>
      </c>
      <c r="AM41" s="81">
        <v>2</v>
      </c>
      <c r="AN41" s="86" t="s">
        <v>266</v>
      </c>
      <c r="AO41" s="86" t="s">
        <v>269</v>
      </c>
      <c r="AP41" s="81" t="b">
        <v>0</v>
      </c>
      <c r="AQ41" s="86" t="s">
        <v>689</v>
      </c>
      <c r="AR41" s="81" t="s">
        <v>218</v>
      </c>
      <c r="AS41" s="81">
        <v>0</v>
      </c>
      <c r="AT41" s="81">
        <v>0</v>
      </c>
      <c r="AU41" s="81"/>
      <c r="AV41" s="81"/>
      <c r="AW41" s="81"/>
      <c r="AX41" s="81"/>
      <c r="AY41" s="81"/>
      <c r="AZ41" s="81"/>
      <c r="BA41" s="81"/>
      <c r="BB41" s="81"/>
      <c r="BC41" s="78">
        <v>1</v>
      </c>
      <c r="BD41" s="80" t="str">
        <f>REPLACE(INDEX(GroupVertices[Group],MATCH(Edges[[#This Row],[Vertex 1]],GroupVertices[Vertex],0)),1,1,"")</f>
        <v>1</v>
      </c>
      <c r="BE41" s="80" t="str">
        <f>REPLACE(INDEX(GroupVertices[Group],MATCH(Edges[[#This Row],[Vertex 2]],GroupVertices[Vertex],0)),1,1,"")</f>
        <v>1</v>
      </c>
      <c r="BF41" s="49">
        <v>2</v>
      </c>
      <c r="BG41" s="50">
        <v>5.555555555555555</v>
      </c>
      <c r="BH41" s="49">
        <v>1</v>
      </c>
      <c r="BI41" s="50">
        <v>2.7777777777777777</v>
      </c>
      <c r="BJ41" s="49">
        <v>0</v>
      </c>
      <c r="BK41" s="50">
        <v>0</v>
      </c>
      <c r="BL41" s="49">
        <v>33</v>
      </c>
      <c r="BM41" s="50">
        <v>91.66666666666667</v>
      </c>
      <c r="BN41" s="49">
        <v>36</v>
      </c>
    </row>
    <row r="42" spans="1:66" ht="15">
      <c r="A42" s="65" t="s">
        <v>582</v>
      </c>
      <c r="B42" s="65" t="s">
        <v>257</v>
      </c>
      <c r="C42" s="66" t="s">
        <v>568</v>
      </c>
      <c r="D42" s="67">
        <v>5</v>
      </c>
      <c r="E42" s="66"/>
      <c r="F42" s="69">
        <v>50</v>
      </c>
      <c r="G42" s="66"/>
      <c r="H42" s="70"/>
      <c r="I42" s="71"/>
      <c r="J42" s="71"/>
      <c r="K42" s="35" t="s">
        <v>65</v>
      </c>
      <c r="L42" s="72">
        <v>42</v>
      </c>
      <c r="M42" s="72"/>
      <c r="N42" s="73"/>
      <c r="O42" s="81" t="s">
        <v>262</v>
      </c>
      <c r="P42" s="83">
        <v>44692.302569444444</v>
      </c>
      <c r="Q42" s="81" t="s">
        <v>613</v>
      </c>
      <c r="R42"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42" s="81" t="s">
        <v>264</v>
      </c>
      <c r="T42" s="86" t="s">
        <v>634</v>
      </c>
      <c r="U42" s="81"/>
      <c r="V42" s="84" t="str">
        <f>HYPERLINK("https://pbs.twimg.com/profile_images/1505255366879293442/znVK6sDd_normal.jpg")</f>
        <v>https://pbs.twimg.com/profile_images/1505255366879293442/znVK6sDd_normal.jpg</v>
      </c>
      <c r="W42" s="83">
        <v>44692.302569444444</v>
      </c>
      <c r="X42" s="88">
        <v>44692</v>
      </c>
      <c r="Y42" s="86" t="s">
        <v>661</v>
      </c>
      <c r="Z42" s="84" t="str">
        <f>HYPERLINK("https://twitter.com/endashnow/status/1524287114099179521")</f>
        <v>https://twitter.com/endashnow/status/1524287114099179521</v>
      </c>
      <c r="AA42" s="81"/>
      <c r="AB42" s="81"/>
      <c r="AC42" s="86" t="s">
        <v>690</v>
      </c>
      <c r="AD42" s="81"/>
      <c r="AE42" s="81" t="b">
        <v>0</v>
      </c>
      <c r="AF42" s="81">
        <v>0</v>
      </c>
      <c r="AG42" s="86" t="s">
        <v>266</v>
      </c>
      <c r="AH42" s="81" t="b">
        <v>0</v>
      </c>
      <c r="AI42" s="81" t="s">
        <v>268</v>
      </c>
      <c r="AJ42" s="81"/>
      <c r="AK42" s="86" t="s">
        <v>266</v>
      </c>
      <c r="AL42" s="81" t="b">
        <v>0</v>
      </c>
      <c r="AM42" s="81">
        <v>2</v>
      </c>
      <c r="AN42" s="86" t="s">
        <v>689</v>
      </c>
      <c r="AO42" s="86" t="s">
        <v>270</v>
      </c>
      <c r="AP42" s="81" t="b">
        <v>0</v>
      </c>
      <c r="AQ42" s="86" t="s">
        <v>689</v>
      </c>
      <c r="AR42" s="81" t="s">
        <v>218</v>
      </c>
      <c r="AS42" s="81">
        <v>0</v>
      </c>
      <c r="AT42" s="81">
        <v>0</v>
      </c>
      <c r="AU42" s="81"/>
      <c r="AV42" s="81"/>
      <c r="AW42" s="81"/>
      <c r="AX42" s="81"/>
      <c r="AY42" s="81"/>
      <c r="AZ42" s="81"/>
      <c r="BA42" s="81"/>
      <c r="BB42" s="81"/>
      <c r="BC42" s="78">
        <v>1</v>
      </c>
      <c r="BD42" s="80" t="str">
        <f>REPLACE(INDEX(GroupVertices[Group],MATCH(Edges[[#This Row],[Vertex 1]],GroupVertices[Vertex],0)),1,1,"")</f>
        <v>1</v>
      </c>
      <c r="BE42" s="80" t="str">
        <f>REPLACE(INDEX(GroupVertices[Group],MATCH(Edges[[#This Row],[Vertex 2]],GroupVertices[Vertex],0)),1,1,"")</f>
        <v>1</v>
      </c>
      <c r="BF42" s="49">
        <v>2</v>
      </c>
      <c r="BG42" s="50">
        <v>5.555555555555555</v>
      </c>
      <c r="BH42" s="49">
        <v>1</v>
      </c>
      <c r="BI42" s="50">
        <v>2.7777777777777777</v>
      </c>
      <c r="BJ42" s="49">
        <v>0</v>
      </c>
      <c r="BK42" s="50">
        <v>0</v>
      </c>
      <c r="BL42" s="49">
        <v>33</v>
      </c>
      <c r="BM42" s="50">
        <v>91.66666666666667</v>
      </c>
      <c r="BN42" s="49">
        <v>36</v>
      </c>
    </row>
    <row r="43" spans="1:66" ht="15">
      <c r="A43" s="65" t="s">
        <v>581</v>
      </c>
      <c r="B43" s="65" t="s">
        <v>596</v>
      </c>
      <c r="C43" s="66" t="s">
        <v>568</v>
      </c>
      <c r="D43" s="67">
        <v>5</v>
      </c>
      <c r="E43" s="66"/>
      <c r="F43" s="69">
        <v>50</v>
      </c>
      <c r="G43" s="66"/>
      <c r="H43" s="70"/>
      <c r="I43" s="71"/>
      <c r="J43" s="71"/>
      <c r="K43" s="35" t="s">
        <v>65</v>
      </c>
      <c r="L43" s="72">
        <v>43</v>
      </c>
      <c r="M43" s="72"/>
      <c r="N43" s="73"/>
      <c r="O43" s="81" t="s">
        <v>259</v>
      </c>
      <c r="P43" s="83">
        <v>44695.98631944445</v>
      </c>
      <c r="Q43" s="81" t="s">
        <v>614</v>
      </c>
      <c r="R43" s="81"/>
      <c r="S43" s="81"/>
      <c r="T43" s="86" t="s">
        <v>635</v>
      </c>
      <c r="U43" s="81"/>
      <c r="V43" s="84" t="str">
        <f>HYPERLINK("https://pbs.twimg.com/profile_images/1509686418662068230/6_KXm14m_normal.jpg")</f>
        <v>https://pbs.twimg.com/profile_images/1509686418662068230/6_KXm14m_normal.jpg</v>
      </c>
      <c r="W43" s="83">
        <v>44695.98631944445</v>
      </c>
      <c r="X43" s="88">
        <v>44695</v>
      </c>
      <c r="Y43" s="86" t="s">
        <v>662</v>
      </c>
      <c r="Z43" s="84" t="str">
        <f>HYPERLINK("https://twitter.com/jennykaynz/status/1525622058943582208")</f>
        <v>https://twitter.com/jennykaynz/status/1525622058943582208</v>
      </c>
      <c r="AA43" s="81"/>
      <c r="AB43" s="81"/>
      <c r="AC43" s="86" t="s">
        <v>691</v>
      </c>
      <c r="AD43" s="81"/>
      <c r="AE43" s="81" t="b">
        <v>0</v>
      </c>
      <c r="AF43" s="81">
        <v>6</v>
      </c>
      <c r="AG43" s="86" t="s">
        <v>266</v>
      </c>
      <c r="AH43" s="81" t="b">
        <v>0</v>
      </c>
      <c r="AI43" s="81" t="s">
        <v>268</v>
      </c>
      <c r="AJ43" s="81"/>
      <c r="AK43" s="86" t="s">
        <v>266</v>
      </c>
      <c r="AL43" s="81" t="b">
        <v>0</v>
      </c>
      <c r="AM43" s="81">
        <v>1</v>
      </c>
      <c r="AN43" s="86" t="s">
        <v>266</v>
      </c>
      <c r="AO43" s="86" t="s">
        <v>269</v>
      </c>
      <c r="AP43" s="81" t="b">
        <v>0</v>
      </c>
      <c r="AQ43" s="86" t="s">
        <v>691</v>
      </c>
      <c r="AR43" s="81" t="s">
        <v>218</v>
      </c>
      <c r="AS43" s="81">
        <v>0</v>
      </c>
      <c r="AT43" s="81">
        <v>0</v>
      </c>
      <c r="AU43" s="81"/>
      <c r="AV43" s="81"/>
      <c r="AW43" s="81"/>
      <c r="AX43" s="81"/>
      <c r="AY43" s="81"/>
      <c r="AZ43" s="81"/>
      <c r="BA43" s="81"/>
      <c r="BB43" s="81"/>
      <c r="BC43" s="78">
        <v>1</v>
      </c>
      <c r="BD43" s="80" t="str">
        <f>REPLACE(INDEX(GroupVertices[Group],MATCH(Edges[[#This Row],[Vertex 1]],GroupVertices[Vertex],0)),1,1,"")</f>
        <v>1</v>
      </c>
      <c r="BE43" s="80" t="str">
        <f>REPLACE(INDEX(GroupVertices[Group],MATCH(Edges[[#This Row],[Vertex 2]],GroupVertices[Vertex],0)),1,1,"")</f>
        <v>1</v>
      </c>
      <c r="BF43" s="49"/>
      <c r="BG43" s="50"/>
      <c r="BH43" s="49"/>
      <c r="BI43" s="50"/>
      <c r="BJ43" s="49"/>
      <c r="BK43" s="50"/>
      <c r="BL43" s="49"/>
      <c r="BM43" s="50"/>
      <c r="BN43" s="49"/>
    </row>
    <row r="44" spans="1:66" ht="15">
      <c r="A44" s="65" t="s">
        <v>582</v>
      </c>
      <c r="B44" s="65" t="s">
        <v>596</v>
      </c>
      <c r="C44" s="66" t="s">
        <v>568</v>
      </c>
      <c r="D44" s="67">
        <v>5</v>
      </c>
      <c r="E44" s="66"/>
      <c r="F44" s="69">
        <v>50</v>
      </c>
      <c r="G44" s="66"/>
      <c r="H44" s="70"/>
      <c r="I44" s="71"/>
      <c r="J44" s="71"/>
      <c r="K44" s="35" t="s">
        <v>65</v>
      </c>
      <c r="L44" s="72">
        <v>44</v>
      </c>
      <c r="M44" s="72"/>
      <c r="N44" s="73"/>
      <c r="O44" s="81" t="s">
        <v>262</v>
      </c>
      <c r="P44" s="83">
        <v>44696.12002314815</v>
      </c>
      <c r="Q44" s="81" t="s">
        <v>614</v>
      </c>
      <c r="R44" s="81"/>
      <c r="S44" s="81"/>
      <c r="T44" s="86" t="s">
        <v>635</v>
      </c>
      <c r="U44" s="81"/>
      <c r="V44" s="84" t="str">
        <f>HYPERLINK("https://pbs.twimg.com/profile_images/1505255366879293442/znVK6sDd_normal.jpg")</f>
        <v>https://pbs.twimg.com/profile_images/1505255366879293442/znVK6sDd_normal.jpg</v>
      </c>
      <c r="W44" s="83">
        <v>44696.12002314815</v>
      </c>
      <c r="X44" s="88">
        <v>44696</v>
      </c>
      <c r="Y44" s="86" t="s">
        <v>663</v>
      </c>
      <c r="Z44" s="84" t="str">
        <f>HYPERLINK("https://twitter.com/endashnow/status/1525670511443083264")</f>
        <v>https://twitter.com/endashnow/status/1525670511443083264</v>
      </c>
      <c r="AA44" s="81"/>
      <c r="AB44" s="81"/>
      <c r="AC44" s="86" t="s">
        <v>692</v>
      </c>
      <c r="AD44" s="81"/>
      <c r="AE44" s="81" t="b">
        <v>0</v>
      </c>
      <c r="AF44" s="81">
        <v>0</v>
      </c>
      <c r="AG44" s="86" t="s">
        <v>266</v>
      </c>
      <c r="AH44" s="81" t="b">
        <v>0</v>
      </c>
      <c r="AI44" s="81" t="s">
        <v>268</v>
      </c>
      <c r="AJ44" s="81"/>
      <c r="AK44" s="86" t="s">
        <v>266</v>
      </c>
      <c r="AL44" s="81" t="b">
        <v>0</v>
      </c>
      <c r="AM44" s="81">
        <v>1</v>
      </c>
      <c r="AN44" s="86" t="s">
        <v>691</v>
      </c>
      <c r="AO44" s="86" t="s">
        <v>272</v>
      </c>
      <c r="AP44" s="81" t="b">
        <v>0</v>
      </c>
      <c r="AQ44" s="86" t="s">
        <v>691</v>
      </c>
      <c r="AR44" s="81" t="s">
        <v>218</v>
      </c>
      <c r="AS44" s="81">
        <v>0</v>
      </c>
      <c r="AT44" s="81">
        <v>0</v>
      </c>
      <c r="AU44" s="81"/>
      <c r="AV44" s="81"/>
      <c r="AW44" s="81"/>
      <c r="AX44" s="81"/>
      <c r="AY44" s="81"/>
      <c r="AZ44" s="81"/>
      <c r="BA44" s="81"/>
      <c r="BB44" s="81"/>
      <c r="BC44" s="78">
        <v>1</v>
      </c>
      <c r="BD44" s="80" t="str">
        <f>REPLACE(INDEX(GroupVertices[Group],MATCH(Edges[[#This Row],[Vertex 1]],GroupVertices[Vertex],0)),1,1,"")</f>
        <v>1</v>
      </c>
      <c r="BE44" s="80" t="str">
        <f>REPLACE(INDEX(GroupVertices[Group],MATCH(Edges[[#This Row],[Vertex 2]],GroupVertices[Vertex],0)),1,1,"")</f>
        <v>1</v>
      </c>
      <c r="BF44" s="49"/>
      <c r="BG44" s="50"/>
      <c r="BH44" s="49"/>
      <c r="BI44" s="50"/>
      <c r="BJ44" s="49"/>
      <c r="BK44" s="50"/>
      <c r="BL44" s="49"/>
      <c r="BM44" s="50"/>
      <c r="BN44" s="49"/>
    </row>
    <row r="45" spans="1:66" ht="15">
      <c r="A45" s="65" t="s">
        <v>581</v>
      </c>
      <c r="B45" s="65" t="s">
        <v>597</v>
      </c>
      <c r="C45" s="66" t="s">
        <v>568</v>
      </c>
      <c r="D45" s="67">
        <v>5</v>
      </c>
      <c r="E45" s="66"/>
      <c r="F45" s="69">
        <v>50</v>
      </c>
      <c r="G45" s="66"/>
      <c r="H45" s="70"/>
      <c r="I45" s="71"/>
      <c r="J45" s="71"/>
      <c r="K45" s="35" t="s">
        <v>65</v>
      </c>
      <c r="L45" s="72">
        <v>45</v>
      </c>
      <c r="M45" s="72"/>
      <c r="N45" s="73"/>
      <c r="O45" s="81" t="s">
        <v>259</v>
      </c>
      <c r="P45" s="83">
        <v>44695.98631944445</v>
      </c>
      <c r="Q45" s="81" t="s">
        <v>614</v>
      </c>
      <c r="R45" s="81"/>
      <c r="S45" s="81"/>
      <c r="T45" s="86" t="s">
        <v>635</v>
      </c>
      <c r="U45" s="81"/>
      <c r="V45" s="84" t="str">
        <f>HYPERLINK("https://pbs.twimg.com/profile_images/1509686418662068230/6_KXm14m_normal.jpg")</f>
        <v>https://pbs.twimg.com/profile_images/1509686418662068230/6_KXm14m_normal.jpg</v>
      </c>
      <c r="W45" s="83">
        <v>44695.98631944445</v>
      </c>
      <c r="X45" s="88">
        <v>44695</v>
      </c>
      <c r="Y45" s="86" t="s">
        <v>662</v>
      </c>
      <c r="Z45" s="84" t="str">
        <f>HYPERLINK("https://twitter.com/jennykaynz/status/1525622058943582208")</f>
        <v>https://twitter.com/jennykaynz/status/1525622058943582208</v>
      </c>
      <c r="AA45" s="81"/>
      <c r="AB45" s="81"/>
      <c r="AC45" s="86" t="s">
        <v>691</v>
      </c>
      <c r="AD45" s="81"/>
      <c r="AE45" s="81" t="b">
        <v>0</v>
      </c>
      <c r="AF45" s="81">
        <v>6</v>
      </c>
      <c r="AG45" s="86" t="s">
        <v>266</v>
      </c>
      <c r="AH45" s="81" t="b">
        <v>0</v>
      </c>
      <c r="AI45" s="81" t="s">
        <v>268</v>
      </c>
      <c r="AJ45" s="81"/>
      <c r="AK45" s="86" t="s">
        <v>266</v>
      </c>
      <c r="AL45" s="81" t="b">
        <v>0</v>
      </c>
      <c r="AM45" s="81">
        <v>1</v>
      </c>
      <c r="AN45" s="86" t="s">
        <v>266</v>
      </c>
      <c r="AO45" s="86" t="s">
        <v>269</v>
      </c>
      <c r="AP45" s="81" t="b">
        <v>0</v>
      </c>
      <c r="AQ45" s="86" t="s">
        <v>691</v>
      </c>
      <c r="AR45" s="81" t="s">
        <v>218</v>
      </c>
      <c r="AS45" s="81">
        <v>0</v>
      </c>
      <c r="AT45" s="81">
        <v>0</v>
      </c>
      <c r="AU45" s="81"/>
      <c r="AV45" s="81"/>
      <c r="AW45" s="81"/>
      <c r="AX45" s="81"/>
      <c r="AY45" s="81"/>
      <c r="AZ45" s="81"/>
      <c r="BA45" s="81"/>
      <c r="BB45" s="81"/>
      <c r="BC45" s="78">
        <v>1</v>
      </c>
      <c r="BD45" s="80" t="str">
        <f>REPLACE(INDEX(GroupVertices[Group],MATCH(Edges[[#This Row],[Vertex 1]],GroupVertices[Vertex],0)),1,1,"")</f>
        <v>1</v>
      </c>
      <c r="BE45" s="80" t="str">
        <f>REPLACE(INDEX(GroupVertices[Group],MATCH(Edges[[#This Row],[Vertex 2]],GroupVertices[Vertex],0)),1,1,"")</f>
        <v>1</v>
      </c>
      <c r="BF45" s="49">
        <v>0</v>
      </c>
      <c r="BG45" s="50">
        <v>0</v>
      </c>
      <c r="BH45" s="49">
        <v>2</v>
      </c>
      <c r="BI45" s="50">
        <v>4.761904761904762</v>
      </c>
      <c r="BJ45" s="49">
        <v>0</v>
      </c>
      <c r="BK45" s="50">
        <v>0</v>
      </c>
      <c r="BL45" s="49">
        <v>40</v>
      </c>
      <c r="BM45" s="50">
        <v>95.23809523809524</v>
      </c>
      <c r="BN45" s="49">
        <v>42</v>
      </c>
    </row>
    <row r="46" spans="1:66" ht="15">
      <c r="A46" s="65" t="s">
        <v>582</v>
      </c>
      <c r="B46" s="65" t="s">
        <v>597</v>
      </c>
      <c r="C46" s="66" t="s">
        <v>568</v>
      </c>
      <c r="D46" s="67">
        <v>5</v>
      </c>
      <c r="E46" s="66"/>
      <c r="F46" s="69">
        <v>50</v>
      </c>
      <c r="G46" s="66"/>
      <c r="H46" s="70"/>
      <c r="I46" s="71"/>
      <c r="J46" s="71"/>
      <c r="K46" s="35" t="s">
        <v>65</v>
      </c>
      <c r="L46" s="72">
        <v>46</v>
      </c>
      <c r="M46" s="72"/>
      <c r="N46" s="73"/>
      <c r="O46" s="81" t="s">
        <v>262</v>
      </c>
      <c r="P46" s="83">
        <v>44696.12002314815</v>
      </c>
      <c r="Q46" s="81" t="s">
        <v>614</v>
      </c>
      <c r="R46" s="81"/>
      <c r="S46" s="81"/>
      <c r="T46" s="86" t="s">
        <v>635</v>
      </c>
      <c r="U46" s="81"/>
      <c r="V46" s="84" t="str">
        <f>HYPERLINK("https://pbs.twimg.com/profile_images/1505255366879293442/znVK6sDd_normal.jpg")</f>
        <v>https://pbs.twimg.com/profile_images/1505255366879293442/znVK6sDd_normal.jpg</v>
      </c>
      <c r="W46" s="83">
        <v>44696.12002314815</v>
      </c>
      <c r="X46" s="88">
        <v>44696</v>
      </c>
      <c r="Y46" s="86" t="s">
        <v>663</v>
      </c>
      <c r="Z46" s="84" t="str">
        <f>HYPERLINK("https://twitter.com/endashnow/status/1525670511443083264")</f>
        <v>https://twitter.com/endashnow/status/1525670511443083264</v>
      </c>
      <c r="AA46" s="81"/>
      <c r="AB46" s="81"/>
      <c r="AC46" s="86" t="s">
        <v>692</v>
      </c>
      <c r="AD46" s="81"/>
      <c r="AE46" s="81" t="b">
        <v>0</v>
      </c>
      <c r="AF46" s="81">
        <v>0</v>
      </c>
      <c r="AG46" s="86" t="s">
        <v>266</v>
      </c>
      <c r="AH46" s="81" t="b">
        <v>0</v>
      </c>
      <c r="AI46" s="81" t="s">
        <v>268</v>
      </c>
      <c r="AJ46" s="81"/>
      <c r="AK46" s="86" t="s">
        <v>266</v>
      </c>
      <c r="AL46" s="81" t="b">
        <v>0</v>
      </c>
      <c r="AM46" s="81">
        <v>1</v>
      </c>
      <c r="AN46" s="86" t="s">
        <v>691</v>
      </c>
      <c r="AO46" s="86" t="s">
        <v>272</v>
      </c>
      <c r="AP46" s="81" t="b">
        <v>0</v>
      </c>
      <c r="AQ46" s="86" t="s">
        <v>691</v>
      </c>
      <c r="AR46" s="81" t="s">
        <v>218</v>
      </c>
      <c r="AS46" s="81">
        <v>0</v>
      </c>
      <c r="AT46" s="81">
        <v>0</v>
      </c>
      <c r="AU46" s="81"/>
      <c r="AV46" s="81"/>
      <c r="AW46" s="81"/>
      <c r="AX46" s="81"/>
      <c r="AY46" s="81"/>
      <c r="AZ46" s="81"/>
      <c r="BA46" s="81"/>
      <c r="BB46" s="81"/>
      <c r="BC46" s="78">
        <v>1</v>
      </c>
      <c r="BD46" s="80" t="str">
        <f>REPLACE(INDEX(GroupVertices[Group],MATCH(Edges[[#This Row],[Vertex 1]],GroupVertices[Vertex],0)),1,1,"")</f>
        <v>1</v>
      </c>
      <c r="BE46" s="80" t="str">
        <f>REPLACE(INDEX(GroupVertices[Group],MATCH(Edges[[#This Row],[Vertex 2]],GroupVertices[Vertex],0)),1,1,"")</f>
        <v>1</v>
      </c>
      <c r="BF46" s="49">
        <v>0</v>
      </c>
      <c r="BG46" s="50">
        <v>0</v>
      </c>
      <c r="BH46" s="49">
        <v>2</v>
      </c>
      <c r="BI46" s="50">
        <v>4.761904761904762</v>
      </c>
      <c r="BJ46" s="49">
        <v>0</v>
      </c>
      <c r="BK46" s="50">
        <v>0</v>
      </c>
      <c r="BL46" s="49">
        <v>40</v>
      </c>
      <c r="BM46" s="50">
        <v>95.23809523809524</v>
      </c>
      <c r="BN46" s="49">
        <v>42</v>
      </c>
    </row>
    <row r="47" spans="1:66" ht="15">
      <c r="A47" s="65" t="s">
        <v>581</v>
      </c>
      <c r="B47" s="65" t="s">
        <v>587</v>
      </c>
      <c r="C47" s="66" t="s">
        <v>569</v>
      </c>
      <c r="D47" s="67">
        <v>10</v>
      </c>
      <c r="E47" s="66"/>
      <c r="F47" s="69">
        <v>15</v>
      </c>
      <c r="G47" s="66"/>
      <c r="H47" s="70"/>
      <c r="I47" s="71"/>
      <c r="J47" s="71"/>
      <c r="K47" s="35" t="s">
        <v>65</v>
      </c>
      <c r="L47" s="72">
        <v>47</v>
      </c>
      <c r="M47" s="72"/>
      <c r="N47" s="73"/>
      <c r="O47" s="81" t="s">
        <v>259</v>
      </c>
      <c r="P47" s="83">
        <v>44690.05778935185</v>
      </c>
      <c r="Q47" s="81" t="s">
        <v>609</v>
      </c>
      <c r="R47" s="84" t="str">
        <f>HYPERLINK("https://www.stuff.co.nz/national/immigration/300580917/woman-who-has-overstayed-in-nz-for-16-years-granted-residence-due-to-family-ties")</f>
        <v>https://www.stuff.co.nz/national/immigration/300580917/woman-who-has-overstayed-in-nz-for-16-years-granted-residence-due-to-family-ties</v>
      </c>
      <c r="S47" s="81" t="s">
        <v>264</v>
      </c>
      <c r="T47" s="86" t="s">
        <v>582</v>
      </c>
      <c r="U47" s="81"/>
      <c r="V47" s="84" t="str">
        <f>HYPERLINK("https://pbs.twimg.com/profile_images/1509686418662068230/6_KXm14m_normal.jpg")</f>
        <v>https://pbs.twimg.com/profile_images/1509686418662068230/6_KXm14m_normal.jpg</v>
      </c>
      <c r="W47" s="83">
        <v>44690.05778935185</v>
      </c>
      <c r="X47" s="88">
        <v>44690</v>
      </c>
      <c r="Y47" s="86" t="s">
        <v>654</v>
      </c>
      <c r="Z47" s="84" t="str">
        <f>HYPERLINK("https://twitter.com/jennykaynz/status/1523473630767706112")</f>
        <v>https://twitter.com/jennykaynz/status/1523473630767706112</v>
      </c>
      <c r="AA47" s="81"/>
      <c r="AB47" s="81"/>
      <c r="AC47" s="86" t="s">
        <v>683</v>
      </c>
      <c r="AD47" s="81"/>
      <c r="AE47" s="81" t="b">
        <v>0</v>
      </c>
      <c r="AF47" s="81">
        <v>3</v>
      </c>
      <c r="AG47" s="86" t="s">
        <v>266</v>
      </c>
      <c r="AH47" s="81" t="b">
        <v>0</v>
      </c>
      <c r="AI47" s="81" t="s">
        <v>268</v>
      </c>
      <c r="AJ47" s="81"/>
      <c r="AK47" s="86" t="s">
        <v>266</v>
      </c>
      <c r="AL47" s="81" t="b">
        <v>0</v>
      </c>
      <c r="AM47" s="81">
        <v>1</v>
      </c>
      <c r="AN47" s="86" t="s">
        <v>266</v>
      </c>
      <c r="AO47" s="86" t="s">
        <v>269</v>
      </c>
      <c r="AP47" s="81" t="b">
        <v>0</v>
      </c>
      <c r="AQ47" s="86" t="s">
        <v>683</v>
      </c>
      <c r="AR47" s="81" t="s">
        <v>218</v>
      </c>
      <c r="AS47" s="81">
        <v>0</v>
      </c>
      <c r="AT47" s="81">
        <v>0</v>
      </c>
      <c r="AU47" s="81"/>
      <c r="AV47" s="81"/>
      <c r="AW47" s="81"/>
      <c r="AX47" s="81"/>
      <c r="AY47" s="81"/>
      <c r="AZ47" s="81"/>
      <c r="BA47" s="81"/>
      <c r="BB47" s="81"/>
      <c r="BC47" s="78">
        <v>3</v>
      </c>
      <c r="BD47" s="80" t="str">
        <f>REPLACE(INDEX(GroupVertices[Group],MATCH(Edges[[#This Row],[Vertex 1]],GroupVertices[Vertex],0)),1,1,"")</f>
        <v>1</v>
      </c>
      <c r="BE47" s="80" t="str">
        <f>REPLACE(INDEX(GroupVertices[Group],MATCH(Edges[[#This Row],[Vertex 2]],GroupVertices[Vertex],0)),1,1,"")</f>
        <v>4</v>
      </c>
      <c r="BF47" s="49"/>
      <c r="BG47" s="50"/>
      <c r="BH47" s="49"/>
      <c r="BI47" s="50"/>
      <c r="BJ47" s="49"/>
      <c r="BK47" s="50"/>
      <c r="BL47" s="49"/>
      <c r="BM47" s="50"/>
      <c r="BN47" s="49"/>
    </row>
    <row r="48" spans="1:66" ht="15">
      <c r="A48" s="65" t="s">
        <v>581</v>
      </c>
      <c r="B48" s="65" t="s">
        <v>587</v>
      </c>
      <c r="C48" s="66" t="s">
        <v>569</v>
      </c>
      <c r="D48" s="67">
        <v>10</v>
      </c>
      <c r="E48" s="66"/>
      <c r="F48" s="69">
        <v>15</v>
      </c>
      <c r="G48" s="66"/>
      <c r="H48" s="70"/>
      <c r="I48" s="71"/>
      <c r="J48" s="71"/>
      <c r="K48" s="35" t="s">
        <v>65</v>
      </c>
      <c r="L48" s="72">
        <v>48</v>
      </c>
      <c r="M48" s="72"/>
      <c r="N48" s="73"/>
      <c r="O48" s="81" t="s">
        <v>259</v>
      </c>
      <c r="P48" s="83">
        <v>44692.19975694444</v>
      </c>
      <c r="Q48" s="81" t="s">
        <v>613</v>
      </c>
      <c r="R48"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48" s="81" t="s">
        <v>264</v>
      </c>
      <c r="T48" s="86" t="s">
        <v>634</v>
      </c>
      <c r="U48" s="81"/>
      <c r="V48" s="84" t="str">
        <f>HYPERLINK("https://pbs.twimg.com/profile_images/1509686418662068230/6_KXm14m_normal.jpg")</f>
        <v>https://pbs.twimg.com/profile_images/1509686418662068230/6_KXm14m_normal.jpg</v>
      </c>
      <c r="W48" s="83">
        <v>44692.19975694444</v>
      </c>
      <c r="X48" s="88">
        <v>44692</v>
      </c>
      <c r="Y48" s="86" t="s">
        <v>660</v>
      </c>
      <c r="Z48" s="84" t="str">
        <f>HYPERLINK("https://twitter.com/jennykaynz/status/1524249856658747392")</f>
        <v>https://twitter.com/jennykaynz/status/1524249856658747392</v>
      </c>
      <c r="AA48" s="81"/>
      <c r="AB48" s="81"/>
      <c r="AC48" s="86" t="s">
        <v>689</v>
      </c>
      <c r="AD48" s="81"/>
      <c r="AE48" s="81" t="b">
        <v>0</v>
      </c>
      <c r="AF48" s="81">
        <v>3</v>
      </c>
      <c r="AG48" s="86" t="s">
        <v>266</v>
      </c>
      <c r="AH48" s="81" t="b">
        <v>0</v>
      </c>
      <c r="AI48" s="81" t="s">
        <v>268</v>
      </c>
      <c r="AJ48" s="81"/>
      <c r="AK48" s="86" t="s">
        <v>266</v>
      </c>
      <c r="AL48" s="81" t="b">
        <v>0</v>
      </c>
      <c r="AM48" s="81">
        <v>2</v>
      </c>
      <c r="AN48" s="86" t="s">
        <v>266</v>
      </c>
      <c r="AO48" s="86" t="s">
        <v>269</v>
      </c>
      <c r="AP48" s="81" t="b">
        <v>0</v>
      </c>
      <c r="AQ48" s="86" t="s">
        <v>689</v>
      </c>
      <c r="AR48" s="81" t="s">
        <v>218</v>
      </c>
      <c r="AS48" s="81">
        <v>0</v>
      </c>
      <c r="AT48" s="81">
        <v>0</v>
      </c>
      <c r="AU48" s="81"/>
      <c r="AV48" s="81"/>
      <c r="AW48" s="81"/>
      <c r="AX48" s="81"/>
      <c r="AY48" s="81"/>
      <c r="AZ48" s="81"/>
      <c r="BA48" s="81"/>
      <c r="BB48" s="81"/>
      <c r="BC48" s="78">
        <v>3</v>
      </c>
      <c r="BD48" s="80" t="str">
        <f>REPLACE(INDEX(GroupVertices[Group],MATCH(Edges[[#This Row],[Vertex 1]],GroupVertices[Vertex],0)),1,1,"")</f>
        <v>1</v>
      </c>
      <c r="BE48" s="80" t="str">
        <f>REPLACE(INDEX(GroupVertices[Group],MATCH(Edges[[#This Row],[Vertex 2]],GroupVertices[Vertex],0)),1,1,"")</f>
        <v>4</v>
      </c>
      <c r="BF48" s="49"/>
      <c r="BG48" s="50"/>
      <c r="BH48" s="49"/>
      <c r="BI48" s="50"/>
      <c r="BJ48" s="49"/>
      <c r="BK48" s="50"/>
      <c r="BL48" s="49"/>
      <c r="BM48" s="50"/>
      <c r="BN48" s="49"/>
    </row>
    <row r="49" spans="1:66" ht="15">
      <c r="A49" s="65" t="s">
        <v>581</v>
      </c>
      <c r="B49" s="65" t="s">
        <v>587</v>
      </c>
      <c r="C49" s="66" t="s">
        <v>569</v>
      </c>
      <c r="D49" s="67">
        <v>10</v>
      </c>
      <c r="E49" s="66"/>
      <c r="F49" s="69">
        <v>15</v>
      </c>
      <c r="G49" s="66"/>
      <c r="H49" s="70"/>
      <c r="I49" s="71"/>
      <c r="J49" s="71"/>
      <c r="K49" s="35" t="s">
        <v>65</v>
      </c>
      <c r="L49" s="72">
        <v>49</v>
      </c>
      <c r="M49" s="72"/>
      <c r="N49" s="73"/>
      <c r="O49" s="81" t="s">
        <v>259</v>
      </c>
      <c r="P49" s="83">
        <v>44695.98631944445</v>
      </c>
      <c r="Q49" s="81" t="s">
        <v>614</v>
      </c>
      <c r="R49" s="81"/>
      <c r="S49" s="81"/>
      <c r="T49" s="86" t="s">
        <v>635</v>
      </c>
      <c r="U49" s="81"/>
      <c r="V49" s="84" t="str">
        <f>HYPERLINK("https://pbs.twimg.com/profile_images/1509686418662068230/6_KXm14m_normal.jpg")</f>
        <v>https://pbs.twimg.com/profile_images/1509686418662068230/6_KXm14m_normal.jpg</v>
      </c>
      <c r="W49" s="83">
        <v>44695.98631944445</v>
      </c>
      <c r="X49" s="88">
        <v>44695</v>
      </c>
      <c r="Y49" s="86" t="s">
        <v>662</v>
      </c>
      <c r="Z49" s="84" t="str">
        <f>HYPERLINK("https://twitter.com/jennykaynz/status/1525622058943582208")</f>
        <v>https://twitter.com/jennykaynz/status/1525622058943582208</v>
      </c>
      <c r="AA49" s="81"/>
      <c r="AB49" s="81"/>
      <c r="AC49" s="86" t="s">
        <v>691</v>
      </c>
      <c r="AD49" s="81"/>
      <c r="AE49" s="81" t="b">
        <v>0</v>
      </c>
      <c r="AF49" s="81">
        <v>6</v>
      </c>
      <c r="AG49" s="86" t="s">
        <v>266</v>
      </c>
      <c r="AH49" s="81" t="b">
        <v>0</v>
      </c>
      <c r="AI49" s="81" t="s">
        <v>268</v>
      </c>
      <c r="AJ49" s="81"/>
      <c r="AK49" s="86" t="s">
        <v>266</v>
      </c>
      <c r="AL49" s="81" t="b">
        <v>0</v>
      </c>
      <c r="AM49" s="81">
        <v>1</v>
      </c>
      <c r="AN49" s="86" t="s">
        <v>266</v>
      </c>
      <c r="AO49" s="86" t="s">
        <v>269</v>
      </c>
      <c r="AP49" s="81" t="b">
        <v>0</v>
      </c>
      <c r="AQ49" s="86" t="s">
        <v>691</v>
      </c>
      <c r="AR49" s="81" t="s">
        <v>218</v>
      </c>
      <c r="AS49" s="81">
        <v>0</v>
      </c>
      <c r="AT49" s="81">
        <v>0</v>
      </c>
      <c r="AU49" s="81"/>
      <c r="AV49" s="81"/>
      <c r="AW49" s="81"/>
      <c r="AX49" s="81"/>
      <c r="AY49" s="81"/>
      <c r="AZ49" s="81"/>
      <c r="BA49" s="81"/>
      <c r="BB49" s="81"/>
      <c r="BC49" s="78">
        <v>3</v>
      </c>
      <c r="BD49" s="80" t="str">
        <f>REPLACE(INDEX(GroupVertices[Group],MATCH(Edges[[#This Row],[Vertex 1]],GroupVertices[Vertex],0)),1,1,"")</f>
        <v>1</v>
      </c>
      <c r="BE49" s="80" t="str">
        <f>REPLACE(INDEX(GroupVertices[Group],MATCH(Edges[[#This Row],[Vertex 2]],GroupVertices[Vertex],0)),1,1,"")</f>
        <v>4</v>
      </c>
      <c r="BF49" s="49"/>
      <c r="BG49" s="50"/>
      <c r="BH49" s="49"/>
      <c r="BI49" s="50"/>
      <c r="BJ49" s="49"/>
      <c r="BK49" s="50"/>
      <c r="BL49" s="49"/>
      <c r="BM49" s="50"/>
      <c r="BN49" s="49"/>
    </row>
    <row r="50" spans="1:66" ht="15">
      <c r="A50" s="65" t="s">
        <v>582</v>
      </c>
      <c r="B50" s="65" t="s">
        <v>587</v>
      </c>
      <c r="C50" s="66" t="s">
        <v>570</v>
      </c>
      <c r="D50" s="67">
        <v>7.5</v>
      </c>
      <c r="E50" s="66"/>
      <c r="F50" s="69">
        <v>32.5</v>
      </c>
      <c r="G50" s="66"/>
      <c r="H50" s="70"/>
      <c r="I50" s="71"/>
      <c r="J50" s="71"/>
      <c r="K50" s="35" t="s">
        <v>65</v>
      </c>
      <c r="L50" s="72">
        <v>50</v>
      </c>
      <c r="M50" s="72"/>
      <c r="N50" s="73"/>
      <c r="O50" s="81" t="s">
        <v>262</v>
      </c>
      <c r="P50" s="83">
        <v>44692.302569444444</v>
      </c>
      <c r="Q50" s="81" t="s">
        <v>613</v>
      </c>
      <c r="R50"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50" s="81" t="s">
        <v>264</v>
      </c>
      <c r="T50" s="86" t="s">
        <v>634</v>
      </c>
      <c r="U50" s="81"/>
      <c r="V50" s="84" t="str">
        <f>HYPERLINK("https://pbs.twimg.com/profile_images/1505255366879293442/znVK6sDd_normal.jpg")</f>
        <v>https://pbs.twimg.com/profile_images/1505255366879293442/znVK6sDd_normal.jpg</v>
      </c>
      <c r="W50" s="83">
        <v>44692.302569444444</v>
      </c>
      <c r="X50" s="88">
        <v>44692</v>
      </c>
      <c r="Y50" s="86" t="s">
        <v>661</v>
      </c>
      <c r="Z50" s="84" t="str">
        <f>HYPERLINK("https://twitter.com/endashnow/status/1524287114099179521")</f>
        <v>https://twitter.com/endashnow/status/1524287114099179521</v>
      </c>
      <c r="AA50" s="81"/>
      <c r="AB50" s="81"/>
      <c r="AC50" s="86" t="s">
        <v>690</v>
      </c>
      <c r="AD50" s="81"/>
      <c r="AE50" s="81" t="b">
        <v>0</v>
      </c>
      <c r="AF50" s="81">
        <v>0</v>
      </c>
      <c r="AG50" s="86" t="s">
        <v>266</v>
      </c>
      <c r="AH50" s="81" t="b">
        <v>0</v>
      </c>
      <c r="AI50" s="81" t="s">
        <v>268</v>
      </c>
      <c r="AJ50" s="81"/>
      <c r="AK50" s="86" t="s">
        <v>266</v>
      </c>
      <c r="AL50" s="81" t="b">
        <v>0</v>
      </c>
      <c r="AM50" s="81">
        <v>2</v>
      </c>
      <c r="AN50" s="86" t="s">
        <v>689</v>
      </c>
      <c r="AO50" s="86" t="s">
        <v>270</v>
      </c>
      <c r="AP50" s="81" t="b">
        <v>0</v>
      </c>
      <c r="AQ50" s="86" t="s">
        <v>689</v>
      </c>
      <c r="AR50" s="81" t="s">
        <v>218</v>
      </c>
      <c r="AS50" s="81">
        <v>0</v>
      </c>
      <c r="AT50" s="81">
        <v>0</v>
      </c>
      <c r="AU50" s="81"/>
      <c r="AV50" s="81"/>
      <c r="AW50" s="81"/>
      <c r="AX50" s="81"/>
      <c r="AY50" s="81"/>
      <c r="AZ50" s="81"/>
      <c r="BA50" s="81"/>
      <c r="BB50" s="81"/>
      <c r="BC50" s="78">
        <v>2</v>
      </c>
      <c r="BD50" s="80" t="str">
        <f>REPLACE(INDEX(GroupVertices[Group],MATCH(Edges[[#This Row],[Vertex 1]],GroupVertices[Vertex],0)),1,1,"")</f>
        <v>1</v>
      </c>
      <c r="BE50" s="80" t="str">
        <f>REPLACE(INDEX(GroupVertices[Group],MATCH(Edges[[#This Row],[Vertex 2]],GroupVertices[Vertex],0)),1,1,"")</f>
        <v>4</v>
      </c>
      <c r="BF50" s="49"/>
      <c r="BG50" s="50"/>
      <c r="BH50" s="49"/>
      <c r="BI50" s="50"/>
      <c r="BJ50" s="49"/>
      <c r="BK50" s="50"/>
      <c r="BL50" s="49"/>
      <c r="BM50" s="50"/>
      <c r="BN50" s="49"/>
    </row>
    <row r="51" spans="1:66" ht="15">
      <c r="A51" s="65" t="s">
        <v>582</v>
      </c>
      <c r="B51" s="65" t="s">
        <v>587</v>
      </c>
      <c r="C51" s="66" t="s">
        <v>570</v>
      </c>
      <c r="D51" s="67">
        <v>7.5</v>
      </c>
      <c r="E51" s="66"/>
      <c r="F51" s="69">
        <v>32.5</v>
      </c>
      <c r="G51" s="66"/>
      <c r="H51" s="70"/>
      <c r="I51" s="71"/>
      <c r="J51" s="71"/>
      <c r="K51" s="35" t="s">
        <v>65</v>
      </c>
      <c r="L51" s="72">
        <v>51</v>
      </c>
      <c r="M51" s="72"/>
      <c r="N51" s="73"/>
      <c r="O51" s="81" t="s">
        <v>262</v>
      </c>
      <c r="P51" s="83">
        <v>44696.12002314815</v>
      </c>
      <c r="Q51" s="81" t="s">
        <v>614</v>
      </c>
      <c r="R51" s="81"/>
      <c r="S51" s="81"/>
      <c r="T51" s="86" t="s">
        <v>635</v>
      </c>
      <c r="U51" s="81"/>
      <c r="V51" s="84" t="str">
        <f>HYPERLINK("https://pbs.twimg.com/profile_images/1505255366879293442/znVK6sDd_normal.jpg")</f>
        <v>https://pbs.twimg.com/profile_images/1505255366879293442/znVK6sDd_normal.jpg</v>
      </c>
      <c r="W51" s="83">
        <v>44696.12002314815</v>
      </c>
      <c r="X51" s="88">
        <v>44696</v>
      </c>
      <c r="Y51" s="86" t="s">
        <v>663</v>
      </c>
      <c r="Z51" s="84" t="str">
        <f>HYPERLINK("https://twitter.com/endashnow/status/1525670511443083264")</f>
        <v>https://twitter.com/endashnow/status/1525670511443083264</v>
      </c>
      <c r="AA51" s="81"/>
      <c r="AB51" s="81"/>
      <c r="AC51" s="86" t="s">
        <v>692</v>
      </c>
      <c r="AD51" s="81"/>
      <c r="AE51" s="81" t="b">
        <v>0</v>
      </c>
      <c r="AF51" s="81">
        <v>0</v>
      </c>
      <c r="AG51" s="86" t="s">
        <v>266</v>
      </c>
      <c r="AH51" s="81" t="b">
        <v>0</v>
      </c>
      <c r="AI51" s="81" t="s">
        <v>268</v>
      </c>
      <c r="AJ51" s="81"/>
      <c r="AK51" s="86" t="s">
        <v>266</v>
      </c>
      <c r="AL51" s="81" t="b">
        <v>0</v>
      </c>
      <c r="AM51" s="81">
        <v>1</v>
      </c>
      <c r="AN51" s="86" t="s">
        <v>691</v>
      </c>
      <c r="AO51" s="86" t="s">
        <v>272</v>
      </c>
      <c r="AP51" s="81" t="b">
        <v>0</v>
      </c>
      <c r="AQ51" s="86" t="s">
        <v>691</v>
      </c>
      <c r="AR51" s="81" t="s">
        <v>218</v>
      </c>
      <c r="AS51" s="81">
        <v>0</v>
      </c>
      <c r="AT51" s="81">
        <v>0</v>
      </c>
      <c r="AU51" s="81"/>
      <c r="AV51" s="81"/>
      <c r="AW51" s="81"/>
      <c r="AX51" s="81"/>
      <c r="AY51" s="81"/>
      <c r="AZ51" s="81"/>
      <c r="BA51" s="81"/>
      <c r="BB51" s="81"/>
      <c r="BC51" s="78">
        <v>2</v>
      </c>
      <c r="BD51" s="80" t="str">
        <f>REPLACE(INDEX(GroupVertices[Group],MATCH(Edges[[#This Row],[Vertex 1]],GroupVertices[Vertex],0)),1,1,"")</f>
        <v>1</v>
      </c>
      <c r="BE51" s="80" t="str">
        <f>REPLACE(INDEX(GroupVertices[Group],MATCH(Edges[[#This Row],[Vertex 2]],GroupVertices[Vertex],0)),1,1,"")</f>
        <v>4</v>
      </c>
      <c r="BF51" s="49"/>
      <c r="BG51" s="50"/>
      <c r="BH51" s="49"/>
      <c r="BI51" s="50"/>
      <c r="BJ51" s="49"/>
      <c r="BK51" s="50"/>
      <c r="BL51" s="49"/>
      <c r="BM51" s="50"/>
      <c r="BN51" s="49"/>
    </row>
    <row r="52" spans="1:66" ht="15">
      <c r="A52" s="65" t="s">
        <v>581</v>
      </c>
      <c r="B52" s="65" t="s">
        <v>582</v>
      </c>
      <c r="C52" s="66" t="s">
        <v>570</v>
      </c>
      <c r="D52" s="67">
        <v>7.5</v>
      </c>
      <c r="E52" s="66"/>
      <c r="F52" s="69">
        <v>32.5</v>
      </c>
      <c r="G52" s="66"/>
      <c r="H52" s="70"/>
      <c r="I52" s="71"/>
      <c r="J52" s="71"/>
      <c r="K52" s="35" t="s">
        <v>66</v>
      </c>
      <c r="L52" s="72">
        <v>52</v>
      </c>
      <c r="M52" s="72"/>
      <c r="N52" s="73"/>
      <c r="O52" s="81" t="s">
        <v>259</v>
      </c>
      <c r="P52" s="83">
        <v>44690.05778935185</v>
      </c>
      <c r="Q52" s="81" t="s">
        <v>609</v>
      </c>
      <c r="R52" s="84" t="str">
        <f>HYPERLINK("https://www.stuff.co.nz/national/immigration/300580917/woman-who-has-overstayed-in-nz-for-16-years-granted-residence-due-to-family-ties")</f>
        <v>https://www.stuff.co.nz/national/immigration/300580917/woman-who-has-overstayed-in-nz-for-16-years-granted-residence-due-to-family-ties</v>
      </c>
      <c r="S52" s="81" t="s">
        <v>264</v>
      </c>
      <c r="T52" s="86" t="s">
        <v>582</v>
      </c>
      <c r="U52" s="81"/>
      <c r="V52" s="84" t="str">
        <f>HYPERLINK("https://pbs.twimg.com/profile_images/1509686418662068230/6_KXm14m_normal.jpg")</f>
        <v>https://pbs.twimg.com/profile_images/1509686418662068230/6_KXm14m_normal.jpg</v>
      </c>
      <c r="W52" s="83">
        <v>44690.05778935185</v>
      </c>
      <c r="X52" s="88">
        <v>44690</v>
      </c>
      <c r="Y52" s="86" t="s">
        <v>654</v>
      </c>
      <c r="Z52" s="84" t="str">
        <f>HYPERLINK("https://twitter.com/jennykaynz/status/1523473630767706112")</f>
        <v>https://twitter.com/jennykaynz/status/1523473630767706112</v>
      </c>
      <c r="AA52" s="81"/>
      <c r="AB52" s="81"/>
      <c r="AC52" s="86" t="s">
        <v>683</v>
      </c>
      <c r="AD52" s="81"/>
      <c r="AE52" s="81" t="b">
        <v>0</v>
      </c>
      <c r="AF52" s="81">
        <v>3</v>
      </c>
      <c r="AG52" s="86" t="s">
        <v>266</v>
      </c>
      <c r="AH52" s="81" t="b">
        <v>0</v>
      </c>
      <c r="AI52" s="81" t="s">
        <v>268</v>
      </c>
      <c r="AJ52" s="81"/>
      <c r="AK52" s="86" t="s">
        <v>266</v>
      </c>
      <c r="AL52" s="81" t="b">
        <v>0</v>
      </c>
      <c r="AM52" s="81">
        <v>1</v>
      </c>
      <c r="AN52" s="86" t="s">
        <v>266</v>
      </c>
      <c r="AO52" s="86" t="s">
        <v>269</v>
      </c>
      <c r="AP52" s="81" t="b">
        <v>0</v>
      </c>
      <c r="AQ52" s="86" t="s">
        <v>683</v>
      </c>
      <c r="AR52" s="81" t="s">
        <v>218</v>
      </c>
      <c r="AS52" s="81">
        <v>0</v>
      </c>
      <c r="AT52" s="81">
        <v>0</v>
      </c>
      <c r="AU52" s="81"/>
      <c r="AV52" s="81"/>
      <c r="AW52" s="81"/>
      <c r="AX52" s="81"/>
      <c r="AY52" s="81"/>
      <c r="AZ52" s="81"/>
      <c r="BA52" s="81"/>
      <c r="BB52" s="81"/>
      <c r="BC52" s="78">
        <v>2</v>
      </c>
      <c r="BD52" s="80" t="str">
        <f>REPLACE(INDEX(GroupVertices[Group],MATCH(Edges[[#This Row],[Vertex 1]],GroupVertices[Vertex],0)),1,1,"")</f>
        <v>1</v>
      </c>
      <c r="BE52" s="80" t="str">
        <f>REPLACE(INDEX(GroupVertices[Group],MATCH(Edges[[#This Row],[Vertex 2]],GroupVertices[Vertex],0)),1,1,"")</f>
        <v>1</v>
      </c>
      <c r="BF52" s="49"/>
      <c r="BG52" s="50"/>
      <c r="BH52" s="49"/>
      <c r="BI52" s="50"/>
      <c r="BJ52" s="49"/>
      <c r="BK52" s="50"/>
      <c r="BL52" s="49"/>
      <c r="BM52" s="50"/>
      <c r="BN52" s="49"/>
    </row>
    <row r="53" spans="1:66" ht="15">
      <c r="A53" s="65" t="s">
        <v>581</v>
      </c>
      <c r="B53" s="65" t="s">
        <v>582</v>
      </c>
      <c r="C53" s="66" t="s">
        <v>570</v>
      </c>
      <c r="D53" s="67">
        <v>7.5</v>
      </c>
      <c r="E53" s="66"/>
      <c r="F53" s="69">
        <v>32.5</v>
      </c>
      <c r="G53" s="66"/>
      <c r="H53" s="70"/>
      <c r="I53" s="71"/>
      <c r="J53" s="71"/>
      <c r="K53" s="35" t="s">
        <v>66</v>
      </c>
      <c r="L53" s="72">
        <v>53</v>
      </c>
      <c r="M53" s="72"/>
      <c r="N53" s="73"/>
      <c r="O53" s="81" t="s">
        <v>259</v>
      </c>
      <c r="P53" s="83">
        <v>44692.19975694444</v>
      </c>
      <c r="Q53" s="81" t="s">
        <v>613</v>
      </c>
      <c r="R53"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53" s="81" t="s">
        <v>264</v>
      </c>
      <c r="T53" s="86" t="s">
        <v>634</v>
      </c>
      <c r="U53" s="81"/>
      <c r="V53" s="84" t="str">
        <f>HYPERLINK("https://pbs.twimg.com/profile_images/1509686418662068230/6_KXm14m_normal.jpg")</f>
        <v>https://pbs.twimg.com/profile_images/1509686418662068230/6_KXm14m_normal.jpg</v>
      </c>
      <c r="W53" s="83">
        <v>44692.19975694444</v>
      </c>
      <c r="X53" s="88">
        <v>44692</v>
      </c>
      <c r="Y53" s="86" t="s">
        <v>660</v>
      </c>
      <c r="Z53" s="84" t="str">
        <f>HYPERLINK("https://twitter.com/jennykaynz/status/1524249856658747392")</f>
        <v>https://twitter.com/jennykaynz/status/1524249856658747392</v>
      </c>
      <c r="AA53" s="81"/>
      <c r="AB53" s="81"/>
      <c r="AC53" s="86" t="s">
        <v>689</v>
      </c>
      <c r="AD53" s="81"/>
      <c r="AE53" s="81" t="b">
        <v>0</v>
      </c>
      <c r="AF53" s="81">
        <v>3</v>
      </c>
      <c r="AG53" s="86" t="s">
        <v>266</v>
      </c>
      <c r="AH53" s="81" t="b">
        <v>0</v>
      </c>
      <c r="AI53" s="81" t="s">
        <v>268</v>
      </c>
      <c r="AJ53" s="81"/>
      <c r="AK53" s="86" t="s">
        <v>266</v>
      </c>
      <c r="AL53" s="81" t="b">
        <v>0</v>
      </c>
      <c r="AM53" s="81">
        <v>2</v>
      </c>
      <c r="AN53" s="86" t="s">
        <v>266</v>
      </c>
      <c r="AO53" s="86" t="s">
        <v>269</v>
      </c>
      <c r="AP53" s="81" t="b">
        <v>0</v>
      </c>
      <c r="AQ53" s="86" t="s">
        <v>689</v>
      </c>
      <c r="AR53" s="81" t="s">
        <v>218</v>
      </c>
      <c r="AS53" s="81">
        <v>0</v>
      </c>
      <c r="AT53" s="81">
        <v>0</v>
      </c>
      <c r="AU53" s="81"/>
      <c r="AV53" s="81"/>
      <c r="AW53" s="81"/>
      <c r="AX53" s="81"/>
      <c r="AY53" s="81"/>
      <c r="AZ53" s="81"/>
      <c r="BA53" s="81"/>
      <c r="BB53" s="81"/>
      <c r="BC53" s="78">
        <v>2</v>
      </c>
      <c r="BD53" s="80" t="str">
        <f>REPLACE(INDEX(GroupVertices[Group],MATCH(Edges[[#This Row],[Vertex 1]],GroupVertices[Vertex],0)),1,1,"")</f>
        <v>1</v>
      </c>
      <c r="BE53" s="80" t="str">
        <f>REPLACE(INDEX(GroupVertices[Group],MATCH(Edges[[#This Row],[Vertex 2]],GroupVertices[Vertex],0)),1,1,"")</f>
        <v>1</v>
      </c>
      <c r="BF53" s="49"/>
      <c r="BG53" s="50"/>
      <c r="BH53" s="49"/>
      <c r="BI53" s="50"/>
      <c r="BJ53" s="49"/>
      <c r="BK53" s="50"/>
      <c r="BL53" s="49"/>
      <c r="BM53" s="50"/>
      <c r="BN53" s="49"/>
    </row>
    <row r="54" spans="1:66" ht="15">
      <c r="A54" s="65" t="s">
        <v>582</v>
      </c>
      <c r="B54" s="65" t="s">
        <v>581</v>
      </c>
      <c r="C54" s="66" t="s">
        <v>570</v>
      </c>
      <c r="D54" s="67">
        <v>7.5</v>
      </c>
      <c r="E54" s="66"/>
      <c r="F54" s="69">
        <v>32.5</v>
      </c>
      <c r="G54" s="66"/>
      <c r="H54" s="70"/>
      <c r="I54" s="71"/>
      <c r="J54" s="71"/>
      <c r="K54" s="35" t="s">
        <v>66</v>
      </c>
      <c r="L54" s="72">
        <v>54</v>
      </c>
      <c r="M54" s="72"/>
      <c r="N54" s="73"/>
      <c r="O54" s="81" t="s">
        <v>261</v>
      </c>
      <c r="P54" s="83">
        <v>44692.302569444444</v>
      </c>
      <c r="Q54" s="81" t="s">
        <v>613</v>
      </c>
      <c r="R54"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54" s="81" t="s">
        <v>264</v>
      </c>
      <c r="T54" s="86" t="s">
        <v>634</v>
      </c>
      <c r="U54" s="81"/>
      <c r="V54" s="84" t="str">
        <f>HYPERLINK("https://pbs.twimg.com/profile_images/1505255366879293442/znVK6sDd_normal.jpg")</f>
        <v>https://pbs.twimg.com/profile_images/1505255366879293442/znVK6sDd_normal.jpg</v>
      </c>
      <c r="W54" s="83">
        <v>44692.302569444444</v>
      </c>
      <c r="X54" s="88">
        <v>44692</v>
      </c>
      <c r="Y54" s="86" t="s">
        <v>661</v>
      </c>
      <c r="Z54" s="84" t="str">
        <f>HYPERLINK("https://twitter.com/endashnow/status/1524287114099179521")</f>
        <v>https://twitter.com/endashnow/status/1524287114099179521</v>
      </c>
      <c r="AA54" s="81"/>
      <c r="AB54" s="81"/>
      <c r="AC54" s="86" t="s">
        <v>690</v>
      </c>
      <c r="AD54" s="81"/>
      <c r="AE54" s="81" t="b">
        <v>0</v>
      </c>
      <c r="AF54" s="81">
        <v>0</v>
      </c>
      <c r="AG54" s="86" t="s">
        <v>266</v>
      </c>
      <c r="AH54" s="81" t="b">
        <v>0</v>
      </c>
      <c r="AI54" s="81" t="s">
        <v>268</v>
      </c>
      <c r="AJ54" s="81"/>
      <c r="AK54" s="86" t="s">
        <v>266</v>
      </c>
      <c r="AL54" s="81" t="b">
        <v>0</v>
      </c>
      <c r="AM54" s="81">
        <v>2</v>
      </c>
      <c r="AN54" s="86" t="s">
        <v>689</v>
      </c>
      <c r="AO54" s="86" t="s">
        <v>270</v>
      </c>
      <c r="AP54" s="81" t="b">
        <v>0</v>
      </c>
      <c r="AQ54" s="86" t="s">
        <v>689</v>
      </c>
      <c r="AR54" s="81" t="s">
        <v>218</v>
      </c>
      <c r="AS54" s="81">
        <v>0</v>
      </c>
      <c r="AT54" s="81">
        <v>0</v>
      </c>
      <c r="AU54" s="81"/>
      <c r="AV54" s="81"/>
      <c r="AW54" s="81"/>
      <c r="AX54" s="81"/>
      <c r="AY54" s="81"/>
      <c r="AZ54" s="81"/>
      <c r="BA54" s="81"/>
      <c r="BB54" s="81"/>
      <c r="BC54" s="78">
        <v>2</v>
      </c>
      <c r="BD54" s="80" t="str">
        <f>REPLACE(INDEX(GroupVertices[Group],MATCH(Edges[[#This Row],[Vertex 1]],GroupVertices[Vertex],0)),1,1,"")</f>
        <v>1</v>
      </c>
      <c r="BE54" s="80" t="str">
        <f>REPLACE(INDEX(GroupVertices[Group],MATCH(Edges[[#This Row],[Vertex 2]],GroupVertices[Vertex],0)),1,1,"")</f>
        <v>1</v>
      </c>
      <c r="BF54" s="49"/>
      <c r="BG54" s="50"/>
      <c r="BH54" s="49"/>
      <c r="BI54" s="50"/>
      <c r="BJ54" s="49"/>
      <c r="BK54" s="50"/>
      <c r="BL54" s="49"/>
      <c r="BM54" s="50"/>
      <c r="BN54" s="49"/>
    </row>
    <row r="55" spans="1:66" ht="15">
      <c r="A55" s="65" t="s">
        <v>582</v>
      </c>
      <c r="B55" s="65" t="s">
        <v>581</v>
      </c>
      <c r="C55" s="66" t="s">
        <v>570</v>
      </c>
      <c r="D55" s="67">
        <v>7.5</v>
      </c>
      <c r="E55" s="66"/>
      <c r="F55" s="69">
        <v>32.5</v>
      </c>
      <c r="G55" s="66"/>
      <c r="H55" s="70"/>
      <c r="I55" s="71"/>
      <c r="J55" s="71"/>
      <c r="K55" s="35" t="s">
        <v>66</v>
      </c>
      <c r="L55" s="72">
        <v>55</v>
      </c>
      <c r="M55" s="72"/>
      <c r="N55" s="73"/>
      <c r="O55" s="81" t="s">
        <v>261</v>
      </c>
      <c r="P55" s="83">
        <v>44696.12002314815</v>
      </c>
      <c r="Q55" s="81" t="s">
        <v>614</v>
      </c>
      <c r="R55" s="81"/>
      <c r="S55" s="81"/>
      <c r="T55" s="86" t="s">
        <v>635</v>
      </c>
      <c r="U55" s="81"/>
      <c r="V55" s="84" t="str">
        <f>HYPERLINK("https://pbs.twimg.com/profile_images/1505255366879293442/znVK6sDd_normal.jpg")</f>
        <v>https://pbs.twimg.com/profile_images/1505255366879293442/znVK6sDd_normal.jpg</v>
      </c>
      <c r="W55" s="83">
        <v>44696.12002314815</v>
      </c>
      <c r="X55" s="88">
        <v>44696</v>
      </c>
      <c r="Y55" s="86" t="s">
        <v>663</v>
      </c>
      <c r="Z55" s="84" t="str">
        <f>HYPERLINK("https://twitter.com/endashnow/status/1525670511443083264")</f>
        <v>https://twitter.com/endashnow/status/1525670511443083264</v>
      </c>
      <c r="AA55" s="81"/>
      <c r="AB55" s="81"/>
      <c r="AC55" s="86" t="s">
        <v>692</v>
      </c>
      <c r="AD55" s="81"/>
      <c r="AE55" s="81" t="b">
        <v>0</v>
      </c>
      <c r="AF55" s="81">
        <v>0</v>
      </c>
      <c r="AG55" s="86" t="s">
        <v>266</v>
      </c>
      <c r="AH55" s="81" t="b">
        <v>0</v>
      </c>
      <c r="AI55" s="81" t="s">
        <v>268</v>
      </c>
      <c r="AJ55" s="81"/>
      <c r="AK55" s="86" t="s">
        <v>266</v>
      </c>
      <c r="AL55" s="81" t="b">
        <v>0</v>
      </c>
      <c r="AM55" s="81">
        <v>1</v>
      </c>
      <c r="AN55" s="86" t="s">
        <v>691</v>
      </c>
      <c r="AO55" s="86" t="s">
        <v>272</v>
      </c>
      <c r="AP55" s="81" t="b">
        <v>0</v>
      </c>
      <c r="AQ55" s="86" t="s">
        <v>691</v>
      </c>
      <c r="AR55" s="81" t="s">
        <v>218</v>
      </c>
      <c r="AS55" s="81">
        <v>0</v>
      </c>
      <c r="AT55" s="81">
        <v>0</v>
      </c>
      <c r="AU55" s="81"/>
      <c r="AV55" s="81"/>
      <c r="AW55" s="81"/>
      <c r="AX55" s="81"/>
      <c r="AY55" s="81"/>
      <c r="AZ55" s="81"/>
      <c r="BA55" s="81"/>
      <c r="BB55" s="81"/>
      <c r="BC55" s="78">
        <v>2</v>
      </c>
      <c r="BD55" s="80" t="str">
        <f>REPLACE(INDEX(GroupVertices[Group],MATCH(Edges[[#This Row],[Vertex 1]],GroupVertices[Vertex],0)),1,1,"")</f>
        <v>1</v>
      </c>
      <c r="BE55" s="80" t="str">
        <f>REPLACE(INDEX(GroupVertices[Group],MATCH(Edges[[#This Row],[Vertex 2]],GroupVertices[Vertex],0)),1,1,"")</f>
        <v>1</v>
      </c>
      <c r="BF55" s="49"/>
      <c r="BG55" s="50"/>
      <c r="BH55" s="49"/>
      <c r="BI55" s="50"/>
      <c r="BJ55" s="49"/>
      <c r="BK55" s="50"/>
      <c r="BL55" s="49"/>
      <c r="BM55" s="50"/>
      <c r="BN55" s="49"/>
    </row>
    <row r="56" spans="1:66" ht="15">
      <c r="A56" s="65" t="s">
        <v>583</v>
      </c>
      <c r="B56" s="65" t="s">
        <v>583</v>
      </c>
      <c r="C56" s="66" t="s">
        <v>570</v>
      </c>
      <c r="D56" s="67">
        <v>7.5</v>
      </c>
      <c r="E56" s="66"/>
      <c r="F56" s="69">
        <v>32.5</v>
      </c>
      <c r="G56" s="66"/>
      <c r="H56" s="70"/>
      <c r="I56" s="71"/>
      <c r="J56" s="71"/>
      <c r="K56" s="35" t="s">
        <v>65</v>
      </c>
      <c r="L56" s="72">
        <v>56</v>
      </c>
      <c r="M56" s="72"/>
      <c r="N56" s="73"/>
      <c r="O56" s="81" t="s">
        <v>218</v>
      </c>
      <c r="P56" s="83">
        <v>44693.23936342593</v>
      </c>
      <c r="Q56" s="81" t="s">
        <v>615</v>
      </c>
      <c r="R56" s="84" t="str">
        <f>HYPERLINK("https://nzimmigration.info/")</f>
        <v>https://nzimmigration.info/</v>
      </c>
      <c r="S56" s="81" t="s">
        <v>622</v>
      </c>
      <c r="T56" s="86" t="s">
        <v>636</v>
      </c>
      <c r="U56" s="84" t="str">
        <f>HYPERLINK("https://pbs.twimg.com/media/FSiPNTKaUAA70vY.png")</f>
        <v>https://pbs.twimg.com/media/FSiPNTKaUAA70vY.png</v>
      </c>
      <c r="V56" s="84" t="str">
        <f>HYPERLINK("https://pbs.twimg.com/media/FSiPNTKaUAA70vY.png")</f>
        <v>https://pbs.twimg.com/media/FSiPNTKaUAA70vY.png</v>
      </c>
      <c r="W56" s="83">
        <v>44693.23936342593</v>
      </c>
      <c r="X56" s="88">
        <v>44693</v>
      </c>
      <c r="Y56" s="86" t="s">
        <v>664</v>
      </c>
      <c r="Z56" s="84" t="str">
        <f>HYPERLINK("https://twitter.com/jackfra34133784/status/1524626596770226176")</f>
        <v>https://twitter.com/jackfra34133784/status/1524626596770226176</v>
      </c>
      <c r="AA56" s="81"/>
      <c r="AB56" s="81"/>
      <c r="AC56" s="86" t="s">
        <v>693</v>
      </c>
      <c r="AD56" s="81"/>
      <c r="AE56" s="81" t="b">
        <v>0</v>
      </c>
      <c r="AF56" s="81">
        <v>0</v>
      </c>
      <c r="AG56" s="86" t="s">
        <v>266</v>
      </c>
      <c r="AH56" s="81" t="b">
        <v>0</v>
      </c>
      <c r="AI56" s="81" t="s">
        <v>268</v>
      </c>
      <c r="AJ56" s="81"/>
      <c r="AK56" s="86" t="s">
        <v>266</v>
      </c>
      <c r="AL56" s="81" t="b">
        <v>0</v>
      </c>
      <c r="AM56" s="81">
        <v>0</v>
      </c>
      <c r="AN56" s="86" t="s">
        <v>266</v>
      </c>
      <c r="AO56" s="86" t="s">
        <v>269</v>
      </c>
      <c r="AP56" s="81" t="b">
        <v>0</v>
      </c>
      <c r="AQ56" s="86" t="s">
        <v>693</v>
      </c>
      <c r="AR56" s="81" t="s">
        <v>218</v>
      </c>
      <c r="AS56" s="81">
        <v>0</v>
      </c>
      <c r="AT56" s="81">
        <v>0</v>
      </c>
      <c r="AU56" s="81"/>
      <c r="AV56" s="81"/>
      <c r="AW56" s="81"/>
      <c r="AX56" s="81"/>
      <c r="AY56" s="81"/>
      <c r="AZ56" s="81"/>
      <c r="BA56" s="81"/>
      <c r="BB56" s="81"/>
      <c r="BC56" s="78">
        <v>2</v>
      </c>
      <c r="BD56" s="80" t="str">
        <f>REPLACE(INDEX(GroupVertices[Group],MATCH(Edges[[#This Row],[Vertex 1]],GroupVertices[Vertex],0)),1,1,"")</f>
        <v>8</v>
      </c>
      <c r="BE56" s="80" t="str">
        <f>REPLACE(INDEX(GroupVertices[Group],MATCH(Edges[[#This Row],[Vertex 2]],GroupVertices[Vertex],0)),1,1,"")</f>
        <v>8</v>
      </c>
      <c r="BF56" s="49">
        <v>1</v>
      </c>
      <c r="BG56" s="50">
        <v>2.9411764705882355</v>
      </c>
      <c r="BH56" s="49">
        <v>0</v>
      </c>
      <c r="BI56" s="50">
        <v>0</v>
      </c>
      <c r="BJ56" s="49">
        <v>0</v>
      </c>
      <c r="BK56" s="50">
        <v>0</v>
      </c>
      <c r="BL56" s="49">
        <v>33</v>
      </c>
      <c r="BM56" s="50">
        <v>97.05882352941177</v>
      </c>
      <c r="BN56" s="49">
        <v>34</v>
      </c>
    </row>
    <row r="57" spans="1:66" ht="15">
      <c r="A57" s="65" t="s">
        <v>583</v>
      </c>
      <c r="B57" s="65" t="s">
        <v>583</v>
      </c>
      <c r="C57" s="66" t="s">
        <v>570</v>
      </c>
      <c r="D57" s="67">
        <v>7.5</v>
      </c>
      <c r="E57" s="66"/>
      <c r="F57" s="69">
        <v>32.5</v>
      </c>
      <c r="G57" s="66"/>
      <c r="H57" s="70"/>
      <c r="I57" s="71"/>
      <c r="J57" s="71"/>
      <c r="K57" s="35" t="s">
        <v>65</v>
      </c>
      <c r="L57" s="72">
        <v>57</v>
      </c>
      <c r="M57" s="72"/>
      <c r="N57" s="73"/>
      <c r="O57" s="81" t="s">
        <v>218</v>
      </c>
      <c r="P57" s="83">
        <v>44697.24696759259</v>
      </c>
      <c r="Q57" s="81" t="s">
        <v>616</v>
      </c>
      <c r="R57" s="84" t="str">
        <f>HYPERLINK("https://nzimmigration.info/")</f>
        <v>https://nzimmigration.info/</v>
      </c>
      <c r="S57" s="81" t="s">
        <v>622</v>
      </c>
      <c r="T57" s="86" t="s">
        <v>636</v>
      </c>
      <c r="U57" s="84" t="str">
        <f>HYPERLINK("https://pbs.twimg.com/media/FS23OTmacAAlqE6.png")</f>
        <v>https://pbs.twimg.com/media/FS23OTmacAAlqE6.png</v>
      </c>
      <c r="V57" s="84" t="str">
        <f>HYPERLINK("https://pbs.twimg.com/media/FS23OTmacAAlqE6.png")</f>
        <v>https://pbs.twimg.com/media/FS23OTmacAAlqE6.png</v>
      </c>
      <c r="W57" s="83">
        <v>44697.24696759259</v>
      </c>
      <c r="X57" s="88">
        <v>44697</v>
      </c>
      <c r="Y57" s="86" t="s">
        <v>665</v>
      </c>
      <c r="Z57" s="84" t="str">
        <f>HYPERLINK("https://twitter.com/jackfra34133784/status/1526078903378661376")</f>
        <v>https://twitter.com/jackfra34133784/status/1526078903378661376</v>
      </c>
      <c r="AA57" s="81"/>
      <c r="AB57" s="81"/>
      <c r="AC57" s="86" t="s">
        <v>694</v>
      </c>
      <c r="AD57" s="81"/>
      <c r="AE57" s="81" t="b">
        <v>0</v>
      </c>
      <c r="AF57" s="81">
        <v>0</v>
      </c>
      <c r="AG57" s="86" t="s">
        <v>266</v>
      </c>
      <c r="AH57" s="81" t="b">
        <v>0</v>
      </c>
      <c r="AI57" s="81" t="s">
        <v>268</v>
      </c>
      <c r="AJ57" s="81"/>
      <c r="AK57" s="86" t="s">
        <v>266</v>
      </c>
      <c r="AL57" s="81" t="b">
        <v>0</v>
      </c>
      <c r="AM57" s="81">
        <v>0</v>
      </c>
      <c r="AN57" s="86" t="s">
        <v>266</v>
      </c>
      <c r="AO57" s="86" t="s">
        <v>269</v>
      </c>
      <c r="AP57" s="81" t="b">
        <v>0</v>
      </c>
      <c r="AQ57" s="86" t="s">
        <v>694</v>
      </c>
      <c r="AR57" s="81" t="s">
        <v>218</v>
      </c>
      <c r="AS57" s="81">
        <v>0</v>
      </c>
      <c r="AT57" s="81">
        <v>0</v>
      </c>
      <c r="AU57" s="81"/>
      <c r="AV57" s="81"/>
      <c r="AW57" s="81"/>
      <c r="AX57" s="81"/>
      <c r="AY57" s="81"/>
      <c r="AZ57" s="81"/>
      <c r="BA57" s="81"/>
      <c r="BB57" s="81"/>
      <c r="BC57" s="78">
        <v>2</v>
      </c>
      <c r="BD57" s="80" t="str">
        <f>REPLACE(INDEX(GroupVertices[Group],MATCH(Edges[[#This Row],[Vertex 1]],GroupVertices[Vertex],0)),1,1,"")</f>
        <v>8</v>
      </c>
      <c r="BE57" s="80" t="str">
        <f>REPLACE(INDEX(GroupVertices[Group],MATCH(Edges[[#This Row],[Vertex 2]],GroupVertices[Vertex],0)),1,1,"")</f>
        <v>8</v>
      </c>
      <c r="BF57" s="49">
        <v>1</v>
      </c>
      <c r="BG57" s="50">
        <v>2.9411764705882355</v>
      </c>
      <c r="BH57" s="49">
        <v>0</v>
      </c>
      <c r="BI57" s="50">
        <v>0</v>
      </c>
      <c r="BJ57" s="49">
        <v>0</v>
      </c>
      <c r="BK57" s="50">
        <v>0</v>
      </c>
      <c r="BL57" s="49">
        <v>33</v>
      </c>
      <c r="BM57" s="50">
        <v>97.05882352941177</v>
      </c>
      <c r="BN57" s="49">
        <v>34</v>
      </c>
    </row>
    <row r="58" spans="1:66" ht="15">
      <c r="A58" s="65" t="s">
        <v>584</v>
      </c>
      <c r="B58" s="65" t="s">
        <v>584</v>
      </c>
      <c r="C58" s="66" t="s">
        <v>570</v>
      </c>
      <c r="D58" s="67">
        <v>7.5</v>
      </c>
      <c r="E58" s="66"/>
      <c r="F58" s="69">
        <v>32.5</v>
      </c>
      <c r="G58" s="66"/>
      <c r="H58" s="70"/>
      <c r="I58" s="71"/>
      <c r="J58" s="71"/>
      <c r="K58" s="35" t="s">
        <v>65</v>
      </c>
      <c r="L58" s="72">
        <v>58</v>
      </c>
      <c r="M58" s="72"/>
      <c r="N58" s="73"/>
      <c r="O58" s="81" t="s">
        <v>218</v>
      </c>
      <c r="P58" s="83">
        <v>44687.87509259259</v>
      </c>
      <c r="Q58" s="81" t="s">
        <v>617</v>
      </c>
      <c r="R58" s="84" t="str">
        <f>HYPERLINK("https://nzimmigration.info/visa-query-form/?utm_source=Social+Media&amp;utm_medium=FB&amp;utm_campaign=Branding+SJ+7+May+2022")</f>
        <v>https://nzimmigration.info/visa-query-form/?utm_source=Social+Media&amp;utm_medium=FB&amp;utm_campaign=Branding+SJ+7+May+2022</v>
      </c>
      <c r="S58" s="81" t="s">
        <v>622</v>
      </c>
      <c r="T58" s="86" t="s">
        <v>637</v>
      </c>
      <c r="U58" s="84" t="str">
        <f>HYPERLINK("https://pbs.twimg.com/media/FSGnzTyXwAIV4vx.jpg")</f>
        <v>https://pbs.twimg.com/media/FSGnzTyXwAIV4vx.jpg</v>
      </c>
      <c r="V58" s="84" t="str">
        <f>HYPERLINK("https://pbs.twimg.com/media/FSGnzTyXwAIV4vx.jpg")</f>
        <v>https://pbs.twimg.com/media/FSGnzTyXwAIV4vx.jpg</v>
      </c>
      <c r="W58" s="83">
        <v>44687.87509259259</v>
      </c>
      <c r="X58" s="88">
        <v>44687</v>
      </c>
      <c r="Y58" s="86" t="s">
        <v>666</v>
      </c>
      <c r="Z58" s="84" t="str">
        <f>HYPERLINK("https://twitter.com/nz_visa_adviser/status/1522682651693535233")</f>
        <v>https://twitter.com/nz_visa_adviser/status/1522682651693535233</v>
      </c>
      <c r="AA58" s="81"/>
      <c r="AB58" s="81"/>
      <c r="AC58" s="86" t="s">
        <v>695</v>
      </c>
      <c r="AD58" s="81"/>
      <c r="AE58" s="81" t="b">
        <v>0</v>
      </c>
      <c r="AF58" s="81">
        <v>1</v>
      </c>
      <c r="AG58" s="86" t="s">
        <v>266</v>
      </c>
      <c r="AH58" s="81" t="b">
        <v>0</v>
      </c>
      <c r="AI58" s="81" t="s">
        <v>268</v>
      </c>
      <c r="AJ58" s="81"/>
      <c r="AK58" s="86" t="s">
        <v>266</v>
      </c>
      <c r="AL58" s="81" t="b">
        <v>0</v>
      </c>
      <c r="AM58" s="81">
        <v>1</v>
      </c>
      <c r="AN58" s="86" t="s">
        <v>266</v>
      </c>
      <c r="AO58" s="86" t="s">
        <v>708</v>
      </c>
      <c r="AP58" s="81" t="b">
        <v>0</v>
      </c>
      <c r="AQ58" s="86" t="s">
        <v>695</v>
      </c>
      <c r="AR58" s="81" t="s">
        <v>261</v>
      </c>
      <c r="AS58" s="81">
        <v>0</v>
      </c>
      <c r="AT58" s="81">
        <v>0</v>
      </c>
      <c r="AU58" s="81"/>
      <c r="AV58" s="81"/>
      <c r="AW58" s="81"/>
      <c r="AX58" s="81"/>
      <c r="AY58" s="81"/>
      <c r="AZ58" s="81"/>
      <c r="BA58" s="81"/>
      <c r="BB58" s="81"/>
      <c r="BC58" s="78">
        <v>2</v>
      </c>
      <c r="BD58" s="80" t="str">
        <f>REPLACE(INDEX(GroupVertices[Group],MATCH(Edges[[#This Row],[Vertex 1]],GroupVertices[Vertex],0)),1,1,"")</f>
        <v>3</v>
      </c>
      <c r="BE58" s="80" t="str">
        <f>REPLACE(INDEX(GroupVertices[Group],MATCH(Edges[[#This Row],[Vertex 2]],GroupVertices[Vertex],0)),1,1,"")</f>
        <v>3</v>
      </c>
      <c r="BF58" s="49">
        <v>0</v>
      </c>
      <c r="BG58" s="50">
        <v>0</v>
      </c>
      <c r="BH58" s="49">
        <v>0</v>
      </c>
      <c r="BI58" s="50">
        <v>0</v>
      </c>
      <c r="BJ58" s="49">
        <v>0</v>
      </c>
      <c r="BK58" s="50">
        <v>0</v>
      </c>
      <c r="BL58" s="49">
        <v>21</v>
      </c>
      <c r="BM58" s="50">
        <v>100</v>
      </c>
      <c r="BN58" s="49">
        <v>21</v>
      </c>
    </row>
    <row r="59" spans="1:66" ht="15">
      <c r="A59" s="65" t="s">
        <v>584</v>
      </c>
      <c r="B59" s="65" t="s">
        <v>584</v>
      </c>
      <c r="C59" s="66" t="s">
        <v>570</v>
      </c>
      <c r="D59" s="67">
        <v>7.5</v>
      </c>
      <c r="E59" s="66"/>
      <c r="F59" s="69">
        <v>32.5</v>
      </c>
      <c r="G59" s="66"/>
      <c r="H59" s="70"/>
      <c r="I59" s="71"/>
      <c r="J59" s="71"/>
      <c r="K59" s="35" t="s">
        <v>65</v>
      </c>
      <c r="L59" s="72">
        <v>59</v>
      </c>
      <c r="M59" s="72"/>
      <c r="N59" s="73"/>
      <c r="O59" s="81" t="s">
        <v>218</v>
      </c>
      <c r="P59" s="83">
        <v>44690.8753125</v>
      </c>
      <c r="Q59" s="81" t="s">
        <v>618</v>
      </c>
      <c r="R59" s="84" t="str">
        <f>HYPERLINK("https://nzimmigration.info/visa-application-why-must-you-always-declare-your-previous-visa-refusals/?utm_source=Social+Media&amp;utm_medium=FB&amp;utm_campaign=+Study+Blog+SJ++10+May+2022")</f>
        <v>https://nzimmigration.info/visa-application-why-must-you-always-declare-your-previous-visa-refusals/?utm_source=Social+Media&amp;utm_medium=FB&amp;utm_campaign=+Study+Blog+SJ++10+May+2022</v>
      </c>
      <c r="S59" s="81" t="s">
        <v>622</v>
      </c>
      <c r="T59" s="86" t="s">
        <v>638</v>
      </c>
      <c r="U59" s="81"/>
      <c r="V59" s="84" t="str">
        <f>HYPERLINK("https://pbs.twimg.com/profile_images/1275711829466066944/9_DECb_s_normal.jpg")</f>
        <v>https://pbs.twimg.com/profile_images/1275711829466066944/9_DECb_s_normal.jpg</v>
      </c>
      <c r="W59" s="83">
        <v>44690.8753125</v>
      </c>
      <c r="X59" s="88">
        <v>44690</v>
      </c>
      <c r="Y59" s="86" t="s">
        <v>265</v>
      </c>
      <c r="Z59" s="84" t="str">
        <f>HYPERLINK("https://twitter.com/nz_visa_adviser/status/1523769891697926146")</f>
        <v>https://twitter.com/nz_visa_adviser/status/1523769891697926146</v>
      </c>
      <c r="AA59" s="81"/>
      <c r="AB59" s="81"/>
      <c r="AC59" s="86" t="s">
        <v>696</v>
      </c>
      <c r="AD59" s="81"/>
      <c r="AE59" s="81" t="b">
        <v>0</v>
      </c>
      <c r="AF59" s="81">
        <v>1</v>
      </c>
      <c r="AG59" s="86" t="s">
        <v>266</v>
      </c>
      <c r="AH59" s="81" t="b">
        <v>0</v>
      </c>
      <c r="AI59" s="81" t="s">
        <v>268</v>
      </c>
      <c r="AJ59" s="81"/>
      <c r="AK59" s="86" t="s">
        <v>266</v>
      </c>
      <c r="AL59" s="81" t="b">
        <v>0</v>
      </c>
      <c r="AM59" s="81">
        <v>1</v>
      </c>
      <c r="AN59" s="86" t="s">
        <v>266</v>
      </c>
      <c r="AO59" s="86" t="s">
        <v>708</v>
      </c>
      <c r="AP59" s="81" t="b">
        <v>0</v>
      </c>
      <c r="AQ59" s="86" t="s">
        <v>696</v>
      </c>
      <c r="AR59" s="81" t="s">
        <v>218</v>
      </c>
      <c r="AS59" s="81">
        <v>0</v>
      </c>
      <c r="AT59" s="81">
        <v>0</v>
      </c>
      <c r="AU59" s="81"/>
      <c r="AV59" s="81"/>
      <c r="AW59" s="81"/>
      <c r="AX59" s="81"/>
      <c r="AY59" s="81"/>
      <c r="AZ59" s="81"/>
      <c r="BA59" s="81"/>
      <c r="BB59" s="81"/>
      <c r="BC59" s="78">
        <v>2</v>
      </c>
      <c r="BD59" s="80" t="str">
        <f>REPLACE(INDEX(GroupVertices[Group],MATCH(Edges[[#This Row],[Vertex 1]],GroupVertices[Vertex],0)),1,1,"")</f>
        <v>3</v>
      </c>
      <c r="BE59" s="80" t="str">
        <f>REPLACE(INDEX(GroupVertices[Group],MATCH(Edges[[#This Row],[Vertex 2]],GroupVertices[Vertex],0)),1,1,"")</f>
        <v>3</v>
      </c>
      <c r="BF59" s="49">
        <v>1</v>
      </c>
      <c r="BG59" s="50">
        <v>3.8461538461538463</v>
      </c>
      <c r="BH59" s="49">
        <v>0</v>
      </c>
      <c r="BI59" s="50">
        <v>0</v>
      </c>
      <c r="BJ59" s="49">
        <v>0</v>
      </c>
      <c r="BK59" s="50">
        <v>0</v>
      </c>
      <c r="BL59" s="49">
        <v>25</v>
      </c>
      <c r="BM59" s="50">
        <v>96.15384615384616</v>
      </c>
      <c r="BN59" s="49">
        <v>26</v>
      </c>
    </row>
    <row r="60" spans="1:66" ht="15">
      <c r="A60" s="65" t="s">
        <v>585</v>
      </c>
      <c r="B60" s="65" t="s">
        <v>584</v>
      </c>
      <c r="C60" s="66" t="s">
        <v>568</v>
      </c>
      <c r="D60" s="67">
        <v>5</v>
      </c>
      <c r="E60" s="66"/>
      <c r="F60" s="69">
        <v>50</v>
      </c>
      <c r="G60" s="66"/>
      <c r="H60" s="70"/>
      <c r="I60" s="71"/>
      <c r="J60" s="71"/>
      <c r="K60" s="35" t="s">
        <v>65</v>
      </c>
      <c r="L60" s="72">
        <v>60</v>
      </c>
      <c r="M60" s="72"/>
      <c r="N60" s="73"/>
      <c r="O60" s="81" t="s">
        <v>261</v>
      </c>
      <c r="P60" s="83">
        <v>44697.27134259259</v>
      </c>
      <c r="Q60" s="81" t="s">
        <v>617</v>
      </c>
      <c r="R60" s="84" t="str">
        <f>HYPERLINK("https://nzimmigration.info/visa-query-form/?utm_source=Social+Media&amp;utm_medium=FB&amp;utm_campaign=Branding+SJ+7+May+2022")</f>
        <v>https://nzimmigration.info/visa-query-form/?utm_source=Social+Media&amp;utm_medium=FB&amp;utm_campaign=Branding+SJ+7+May+2022</v>
      </c>
      <c r="S60" s="81" t="s">
        <v>622</v>
      </c>
      <c r="T60" s="86" t="s">
        <v>639</v>
      </c>
      <c r="U60" s="84" t="str">
        <f>HYPERLINK("https://pbs.twimg.com/media/FSGnzTyXwAIV4vx.jpg")</f>
        <v>https://pbs.twimg.com/media/FSGnzTyXwAIV4vx.jpg</v>
      </c>
      <c r="V60" s="84" t="str">
        <f>HYPERLINK("https://pbs.twimg.com/media/FSGnzTyXwAIV4vx.jpg")</f>
        <v>https://pbs.twimg.com/media/FSGnzTyXwAIV4vx.jpg</v>
      </c>
      <c r="W60" s="83">
        <v>44697.27134259259</v>
      </c>
      <c r="X60" s="88">
        <v>44697</v>
      </c>
      <c r="Y60" s="86" t="s">
        <v>667</v>
      </c>
      <c r="Z60" s="84" t="str">
        <f>HYPERLINK("https://twitter.com/dhruvpa39231878/status/1526087738331521024")</f>
        <v>https://twitter.com/dhruvpa39231878/status/1526087738331521024</v>
      </c>
      <c r="AA60" s="81"/>
      <c r="AB60" s="81"/>
      <c r="AC60" s="86" t="s">
        <v>697</v>
      </c>
      <c r="AD60" s="81"/>
      <c r="AE60" s="81" t="b">
        <v>0</v>
      </c>
      <c r="AF60" s="81">
        <v>0</v>
      </c>
      <c r="AG60" s="86" t="s">
        <v>266</v>
      </c>
      <c r="AH60" s="81" t="b">
        <v>0</v>
      </c>
      <c r="AI60" s="81" t="s">
        <v>268</v>
      </c>
      <c r="AJ60" s="81"/>
      <c r="AK60" s="86" t="s">
        <v>266</v>
      </c>
      <c r="AL60" s="81" t="b">
        <v>0</v>
      </c>
      <c r="AM60" s="81">
        <v>1</v>
      </c>
      <c r="AN60" s="86" t="s">
        <v>695</v>
      </c>
      <c r="AO60" s="86" t="s">
        <v>271</v>
      </c>
      <c r="AP60" s="81" t="b">
        <v>0</v>
      </c>
      <c r="AQ60" s="86" t="s">
        <v>695</v>
      </c>
      <c r="AR60" s="81" t="s">
        <v>218</v>
      </c>
      <c r="AS60" s="81">
        <v>0</v>
      </c>
      <c r="AT60" s="81">
        <v>0</v>
      </c>
      <c r="AU60" s="81"/>
      <c r="AV60" s="81"/>
      <c r="AW60" s="81"/>
      <c r="AX60" s="81"/>
      <c r="AY60" s="81"/>
      <c r="AZ60" s="81"/>
      <c r="BA60" s="81"/>
      <c r="BB60" s="81"/>
      <c r="BC60" s="78">
        <v>1</v>
      </c>
      <c r="BD60" s="80" t="str">
        <f>REPLACE(INDEX(GroupVertices[Group],MATCH(Edges[[#This Row],[Vertex 1]],GroupVertices[Vertex],0)),1,1,"")</f>
        <v>3</v>
      </c>
      <c r="BE60" s="80" t="str">
        <f>REPLACE(INDEX(GroupVertices[Group],MATCH(Edges[[#This Row],[Vertex 2]],GroupVertices[Vertex],0)),1,1,"")</f>
        <v>3</v>
      </c>
      <c r="BF60" s="49">
        <v>0</v>
      </c>
      <c r="BG60" s="50">
        <v>0</v>
      </c>
      <c r="BH60" s="49">
        <v>0</v>
      </c>
      <c r="BI60" s="50">
        <v>0</v>
      </c>
      <c r="BJ60" s="49">
        <v>0</v>
      </c>
      <c r="BK60" s="50">
        <v>0</v>
      </c>
      <c r="BL60" s="49">
        <v>21</v>
      </c>
      <c r="BM60" s="50">
        <v>100</v>
      </c>
      <c r="BN60" s="49">
        <v>21</v>
      </c>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ErrorMessage="1" sqref="N2:N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Color" prompt="To select an optional edge color, right-click and select Select Color on the right-click menu." sqref="C3:C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Opacity" prompt="Enter an optional edge opacity between 0 (transparent) and 100 (opaque)." errorTitle="Invalid Edge Opacity" error="The optional edge opacity must be a whole number between 0 and 10." sqref="F3:F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showErrorMessage="1" promptTitle="Vertex 1 Name" prompt="Enter the name of the edge's first vertex." sqref="A3:A60"/>
    <dataValidation allowBlank="1" showInputMessage="1" showErrorMessage="1" promptTitle="Vertex 2 Name" prompt="Enter the name of the edge's second vertex." sqref="B3:B60"/>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CBC30-5AEF-47D2-8D36-7EBA4C502314}">
  <dimension ref="A1:C1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419</v>
      </c>
      <c r="B2" s="97" t="s">
        <v>420</v>
      </c>
      <c r="C2" s="54" t="s">
        <v>421</v>
      </c>
    </row>
    <row r="3" spans="1:3" ht="15">
      <c r="A3" s="96" t="s">
        <v>314</v>
      </c>
      <c r="B3" s="96" t="s">
        <v>314</v>
      </c>
      <c r="C3" s="35">
        <v>13</v>
      </c>
    </row>
    <row r="4" spans="1:3" ht="15">
      <c r="A4" s="96" t="s">
        <v>314</v>
      </c>
      <c r="B4" s="116" t="s">
        <v>315</v>
      </c>
      <c r="C4" s="35">
        <v>8</v>
      </c>
    </row>
    <row r="5" spans="1:3" ht="15">
      <c r="A5" s="96" t="s">
        <v>314</v>
      </c>
      <c r="B5" s="116" t="s">
        <v>317</v>
      </c>
      <c r="C5" s="35">
        <v>5</v>
      </c>
    </row>
    <row r="6" spans="1:3" ht="15">
      <c r="A6" s="96" t="s">
        <v>315</v>
      </c>
      <c r="B6" s="116" t="s">
        <v>314</v>
      </c>
      <c r="C6" s="35">
        <v>6</v>
      </c>
    </row>
    <row r="7" spans="1:3" ht="15">
      <c r="A7" s="96" t="s">
        <v>315</v>
      </c>
      <c r="B7" s="116" t="s">
        <v>315</v>
      </c>
      <c r="C7" s="35">
        <v>6</v>
      </c>
    </row>
    <row r="8" spans="1:3" ht="15">
      <c r="A8" s="96" t="s">
        <v>315</v>
      </c>
      <c r="B8" s="116" t="s">
        <v>317</v>
      </c>
      <c r="C8" s="35">
        <v>2</v>
      </c>
    </row>
    <row r="9" spans="1:3" ht="15">
      <c r="A9" s="96" t="s">
        <v>316</v>
      </c>
      <c r="B9" s="116" t="s">
        <v>316</v>
      </c>
      <c r="C9" s="35">
        <v>3</v>
      </c>
    </row>
    <row r="10" spans="1:3" ht="15">
      <c r="A10" s="96" t="s">
        <v>317</v>
      </c>
      <c r="B10" s="116" t="s">
        <v>317</v>
      </c>
      <c r="C10" s="35">
        <v>1</v>
      </c>
    </row>
    <row r="11" spans="1:3" ht="15">
      <c r="A11" s="96" t="s">
        <v>318</v>
      </c>
      <c r="B11" s="116" t="s">
        <v>318</v>
      </c>
      <c r="C11" s="35">
        <v>9</v>
      </c>
    </row>
    <row r="12" spans="1:3" ht="15">
      <c r="A12" s="96" t="s">
        <v>319</v>
      </c>
      <c r="B12" s="116" t="s">
        <v>319</v>
      </c>
      <c r="C12" s="35">
        <v>1</v>
      </c>
    </row>
    <row r="13" spans="1:3" ht="15">
      <c r="A13" s="96" t="s">
        <v>320</v>
      </c>
      <c r="B13" s="116" t="s">
        <v>320</v>
      </c>
      <c r="C13" s="35">
        <v>1</v>
      </c>
    </row>
    <row r="14" spans="1:3" ht="15">
      <c r="A14" s="117" t="s">
        <v>321</v>
      </c>
      <c r="B14" s="116" t="s">
        <v>321</v>
      </c>
      <c r="C14" s="35">
        <v>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D389C-EAD3-470C-8259-311BC0462CC0}">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441</v>
      </c>
      <c r="B1" s="13" t="s">
        <v>17</v>
      </c>
    </row>
    <row r="2" spans="1:2" ht="15">
      <c r="A2" s="80" t="s">
        <v>442</v>
      </c>
      <c r="B2" s="80" t="s">
        <v>448</v>
      </c>
    </row>
    <row r="3" spans="1:2" ht="15">
      <c r="A3" s="81" t="s">
        <v>443</v>
      </c>
      <c r="B3" s="80" t="s">
        <v>449</v>
      </c>
    </row>
    <row r="4" spans="1:2" ht="15">
      <c r="A4" s="81" t="s">
        <v>444</v>
      </c>
      <c r="B4" s="80" t="s">
        <v>450</v>
      </c>
    </row>
    <row r="5" spans="1:2" ht="15">
      <c r="A5" s="81" t="s">
        <v>445</v>
      </c>
      <c r="B5" s="80" t="s">
        <v>451</v>
      </c>
    </row>
    <row r="6" spans="1:2" ht="15">
      <c r="A6" s="81" t="s">
        <v>446</v>
      </c>
      <c r="B6" s="80" t="s">
        <v>452</v>
      </c>
    </row>
    <row r="7" spans="1:2" ht="15">
      <c r="A7" s="81" t="s">
        <v>447</v>
      </c>
      <c r="B7" s="8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9306C-E8BA-4E24-B2AE-62EDD35BC899}">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453</v>
      </c>
      <c r="B1" s="13" t="s">
        <v>34</v>
      </c>
    </row>
    <row r="2" spans="1:2" ht="15">
      <c r="A2" s="91" t="s">
        <v>581</v>
      </c>
      <c r="B2" s="80">
        <v>133.333333</v>
      </c>
    </row>
    <row r="3" spans="1:2" ht="15">
      <c r="A3" s="92" t="s">
        <v>580</v>
      </c>
      <c r="B3" s="80">
        <v>28.333333</v>
      </c>
    </row>
    <row r="4" spans="1:2" ht="15">
      <c r="A4" s="92" t="s">
        <v>587</v>
      </c>
      <c r="B4" s="80">
        <v>28</v>
      </c>
    </row>
    <row r="5" spans="1:2" ht="15">
      <c r="A5" s="92" t="s">
        <v>588</v>
      </c>
      <c r="B5" s="80">
        <v>28</v>
      </c>
    </row>
    <row r="6" spans="1:2" ht="15">
      <c r="A6" s="92" t="s">
        <v>582</v>
      </c>
      <c r="B6" s="80">
        <v>14.333333</v>
      </c>
    </row>
    <row r="7" spans="1:2" ht="15">
      <c r="A7" s="92" t="s">
        <v>595</v>
      </c>
      <c r="B7" s="80">
        <v>0</v>
      </c>
    </row>
    <row r="8" spans="1:2" ht="15">
      <c r="A8" s="92" t="s">
        <v>592</v>
      </c>
      <c r="B8" s="80">
        <v>0</v>
      </c>
    </row>
    <row r="9" spans="1:2" ht="15">
      <c r="A9" s="92" t="s">
        <v>593</v>
      </c>
      <c r="B9" s="80">
        <v>0</v>
      </c>
    </row>
    <row r="10" spans="1:2" ht="15">
      <c r="A10" s="92" t="s">
        <v>594</v>
      </c>
      <c r="B10" s="80">
        <v>0</v>
      </c>
    </row>
    <row r="11" spans="1:2" ht="15">
      <c r="A11" s="92" t="s">
        <v>583</v>
      </c>
      <c r="B11" s="80">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C279B-7C6A-4380-8E43-DAC6DED9AA9E}">
  <dimension ref="A1:R91"/>
  <sheetViews>
    <sheetView workbookViewId="0" topLeftCell="A25">
      <selection activeCell="A37" sqref="A37"/>
    </sheetView>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18" ht="14.4" customHeight="1">
      <c r="A1" s="13" t="s">
        <v>454</v>
      </c>
      <c r="B1" s="13" t="s">
        <v>455</v>
      </c>
      <c r="C1" s="13" t="s">
        <v>456</v>
      </c>
      <c r="D1" s="13" t="s">
        <v>458</v>
      </c>
      <c r="E1" s="13" t="s">
        <v>457</v>
      </c>
      <c r="F1" s="13" t="s">
        <v>460</v>
      </c>
      <c r="G1" s="13" t="s">
        <v>459</v>
      </c>
      <c r="H1" s="13" t="s">
        <v>462</v>
      </c>
      <c r="I1" s="13" t="s">
        <v>461</v>
      </c>
      <c r="J1" s="13" t="s">
        <v>464</v>
      </c>
      <c r="K1" s="13" t="s">
        <v>463</v>
      </c>
      <c r="L1" s="13" t="s">
        <v>466</v>
      </c>
      <c r="M1" s="80" t="s">
        <v>465</v>
      </c>
      <c r="N1" s="80" t="s">
        <v>468</v>
      </c>
      <c r="O1" s="13" t="s">
        <v>467</v>
      </c>
      <c r="P1" s="13" t="s">
        <v>470</v>
      </c>
      <c r="Q1" s="13" t="s">
        <v>469</v>
      </c>
      <c r="R1" s="13" t="s">
        <v>471</v>
      </c>
    </row>
    <row r="2" spans="1:18" ht="15">
      <c r="A2" s="85" t="s">
        <v>869</v>
      </c>
      <c r="B2" s="80">
        <v>3</v>
      </c>
      <c r="C2" s="85" t="s">
        <v>869</v>
      </c>
      <c r="D2" s="80">
        <v>2</v>
      </c>
      <c r="E2" s="85" t="s">
        <v>869</v>
      </c>
      <c r="F2" s="80">
        <v>1</v>
      </c>
      <c r="G2" s="85" t="s">
        <v>870</v>
      </c>
      <c r="H2" s="80">
        <v>2</v>
      </c>
      <c r="I2" s="85" t="s">
        <v>879</v>
      </c>
      <c r="J2" s="80">
        <v>1</v>
      </c>
      <c r="K2" s="85" t="s">
        <v>877</v>
      </c>
      <c r="L2" s="80">
        <v>1</v>
      </c>
      <c r="M2" s="80"/>
      <c r="N2" s="80"/>
      <c r="O2" s="85" t="s">
        <v>882</v>
      </c>
      <c r="P2" s="80">
        <v>1</v>
      </c>
      <c r="Q2" s="85" t="s">
        <v>871</v>
      </c>
      <c r="R2" s="80">
        <v>2</v>
      </c>
    </row>
    <row r="3" spans="1:18" ht="15">
      <c r="A3" s="84" t="s">
        <v>870</v>
      </c>
      <c r="B3" s="80">
        <v>2</v>
      </c>
      <c r="C3" s="85" t="s">
        <v>876</v>
      </c>
      <c r="D3" s="80">
        <v>1</v>
      </c>
      <c r="E3" s="85" t="s">
        <v>873</v>
      </c>
      <c r="F3" s="80">
        <v>1</v>
      </c>
      <c r="G3" s="85" t="s">
        <v>875</v>
      </c>
      <c r="H3" s="80">
        <v>1</v>
      </c>
      <c r="I3" s="80"/>
      <c r="J3" s="80"/>
      <c r="K3" s="85" t="s">
        <v>880</v>
      </c>
      <c r="L3" s="80">
        <v>1</v>
      </c>
      <c r="M3" s="80"/>
      <c r="N3" s="80"/>
      <c r="O3" s="80"/>
      <c r="P3" s="80"/>
      <c r="Q3" s="80"/>
      <c r="R3" s="80"/>
    </row>
    <row r="4" spans="1:18" ht="15">
      <c r="A4" s="84" t="s">
        <v>871</v>
      </c>
      <c r="B4" s="80">
        <v>2</v>
      </c>
      <c r="C4" s="85" t="s">
        <v>873</v>
      </c>
      <c r="D4" s="80">
        <v>1</v>
      </c>
      <c r="E4" s="85" t="s">
        <v>874</v>
      </c>
      <c r="F4" s="80">
        <v>1</v>
      </c>
      <c r="G4" s="80"/>
      <c r="H4" s="80"/>
      <c r="I4" s="80"/>
      <c r="J4" s="80"/>
      <c r="K4" s="85" t="s">
        <v>881</v>
      </c>
      <c r="L4" s="80">
        <v>1</v>
      </c>
      <c r="M4" s="80"/>
      <c r="N4" s="80"/>
      <c r="O4" s="80"/>
      <c r="P4" s="80"/>
      <c r="Q4" s="80"/>
      <c r="R4" s="80"/>
    </row>
    <row r="5" spans="1:18" ht="15">
      <c r="A5" s="84" t="s">
        <v>872</v>
      </c>
      <c r="B5" s="80">
        <v>2</v>
      </c>
      <c r="C5" s="85" t="s">
        <v>874</v>
      </c>
      <c r="D5" s="80">
        <v>1</v>
      </c>
      <c r="E5" s="85" t="s">
        <v>872</v>
      </c>
      <c r="F5" s="80">
        <v>1</v>
      </c>
      <c r="G5" s="80"/>
      <c r="H5" s="80"/>
      <c r="I5" s="80"/>
      <c r="J5" s="80"/>
      <c r="K5" s="85" t="s">
        <v>878</v>
      </c>
      <c r="L5" s="80">
        <v>1</v>
      </c>
      <c r="M5" s="80"/>
      <c r="N5" s="80"/>
      <c r="O5" s="80"/>
      <c r="P5" s="80"/>
      <c r="Q5" s="80"/>
      <c r="R5" s="80"/>
    </row>
    <row r="6" spans="1:18" ht="15">
      <c r="A6" s="84" t="s">
        <v>873</v>
      </c>
      <c r="B6" s="80">
        <v>2</v>
      </c>
      <c r="C6" s="85" t="s">
        <v>872</v>
      </c>
      <c r="D6" s="80">
        <v>1</v>
      </c>
      <c r="E6" s="80"/>
      <c r="F6" s="80"/>
      <c r="G6" s="80"/>
      <c r="H6" s="80"/>
      <c r="I6" s="80"/>
      <c r="J6" s="80"/>
      <c r="K6" s="80"/>
      <c r="L6" s="80"/>
      <c r="M6" s="80"/>
      <c r="N6" s="80"/>
      <c r="O6" s="80"/>
      <c r="P6" s="80"/>
      <c r="Q6" s="80"/>
      <c r="R6" s="80"/>
    </row>
    <row r="7" spans="1:18" ht="15">
      <c r="A7" s="84" t="s">
        <v>874</v>
      </c>
      <c r="B7" s="80">
        <v>2</v>
      </c>
      <c r="C7" s="80"/>
      <c r="D7" s="80"/>
      <c r="E7" s="80"/>
      <c r="F7" s="80"/>
      <c r="G7" s="80"/>
      <c r="H7" s="80"/>
      <c r="I7" s="80"/>
      <c r="J7" s="80"/>
      <c r="K7" s="80"/>
      <c r="L7" s="80"/>
      <c r="M7" s="80"/>
      <c r="N7" s="80"/>
      <c r="O7" s="80"/>
      <c r="P7" s="80"/>
      <c r="Q7" s="80"/>
      <c r="R7" s="80"/>
    </row>
    <row r="8" spans="1:18" ht="15">
      <c r="A8" s="84" t="s">
        <v>875</v>
      </c>
      <c r="B8" s="80">
        <v>1</v>
      </c>
      <c r="C8" s="80"/>
      <c r="D8" s="80"/>
      <c r="E8" s="80"/>
      <c r="F8" s="80"/>
      <c r="G8" s="80"/>
      <c r="H8" s="80"/>
      <c r="I8" s="80"/>
      <c r="J8" s="80"/>
      <c r="K8" s="80"/>
      <c r="L8" s="80"/>
      <c r="M8" s="80"/>
      <c r="N8" s="80"/>
      <c r="O8" s="80"/>
      <c r="P8" s="80"/>
      <c r="Q8" s="80"/>
      <c r="R8" s="80"/>
    </row>
    <row r="9" spans="1:18" ht="15">
      <c r="A9" s="84" t="s">
        <v>876</v>
      </c>
      <c r="B9" s="80">
        <v>1</v>
      </c>
      <c r="C9" s="80"/>
      <c r="D9" s="80"/>
      <c r="E9" s="80"/>
      <c r="F9" s="80"/>
      <c r="G9" s="80"/>
      <c r="H9" s="80"/>
      <c r="I9" s="80"/>
      <c r="J9" s="80"/>
      <c r="K9" s="80"/>
      <c r="L9" s="80"/>
      <c r="M9" s="80"/>
      <c r="N9" s="80"/>
      <c r="O9" s="80"/>
      <c r="P9" s="80"/>
      <c r="Q9" s="80"/>
      <c r="R9" s="80"/>
    </row>
    <row r="10" spans="1:18" ht="15">
      <c r="A10" s="84" t="s">
        <v>877</v>
      </c>
      <c r="B10" s="80">
        <v>1</v>
      </c>
      <c r="C10" s="80"/>
      <c r="D10" s="80"/>
      <c r="E10" s="80"/>
      <c r="F10" s="80"/>
      <c r="G10" s="80"/>
      <c r="H10" s="80"/>
      <c r="I10" s="80"/>
      <c r="J10" s="80"/>
      <c r="K10" s="80"/>
      <c r="L10" s="80"/>
      <c r="M10" s="80"/>
      <c r="N10" s="80"/>
      <c r="O10" s="80"/>
      <c r="P10" s="80"/>
      <c r="Q10" s="80"/>
      <c r="R10" s="80"/>
    </row>
    <row r="11" spans="1:18" ht="15">
      <c r="A11" s="84" t="s">
        <v>878</v>
      </c>
      <c r="B11" s="80">
        <v>1</v>
      </c>
      <c r="C11" s="80"/>
      <c r="D11" s="80"/>
      <c r="E11" s="80"/>
      <c r="F11" s="80"/>
      <c r="G11" s="80"/>
      <c r="H11" s="80"/>
      <c r="I11" s="80"/>
      <c r="J11" s="80"/>
      <c r="K11" s="80"/>
      <c r="L11" s="80"/>
      <c r="M11" s="80"/>
      <c r="N11" s="80"/>
      <c r="O11" s="80"/>
      <c r="P11" s="80"/>
      <c r="Q11" s="80"/>
      <c r="R11" s="80"/>
    </row>
    <row r="14" spans="1:18" ht="14.4" customHeight="1">
      <c r="A14" s="13" t="s">
        <v>473</v>
      </c>
      <c r="B14" s="13" t="s">
        <v>455</v>
      </c>
      <c r="C14" s="13" t="s">
        <v>474</v>
      </c>
      <c r="D14" s="13" t="s">
        <v>458</v>
      </c>
      <c r="E14" s="13" t="s">
        <v>475</v>
      </c>
      <c r="F14" s="13" t="s">
        <v>460</v>
      </c>
      <c r="G14" s="13" t="s">
        <v>476</v>
      </c>
      <c r="H14" s="13" t="s">
        <v>462</v>
      </c>
      <c r="I14" s="13" t="s">
        <v>477</v>
      </c>
      <c r="J14" s="13" t="s">
        <v>464</v>
      </c>
      <c r="K14" s="13" t="s">
        <v>478</v>
      </c>
      <c r="L14" s="13" t="s">
        <v>466</v>
      </c>
      <c r="M14" s="80" t="s">
        <v>479</v>
      </c>
      <c r="N14" s="80" t="s">
        <v>468</v>
      </c>
      <c r="O14" s="13" t="s">
        <v>480</v>
      </c>
      <c r="P14" s="13" t="s">
        <v>470</v>
      </c>
      <c r="Q14" s="13" t="s">
        <v>481</v>
      </c>
      <c r="R14" s="13" t="s">
        <v>471</v>
      </c>
    </row>
    <row r="15" spans="1:18" ht="15">
      <c r="A15" s="80" t="s">
        <v>264</v>
      </c>
      <c r="B15" s="80">
        <v>13</v>
      </c>
      <c r="C15" s="80" t="s">
        <v>264</v>
      </c>
      <c r="D15" s="80">
        <v>4</v>
      </c>
      <c r="E15" s="80" t="s">
        <v>264</v>
      </c>
      <c r="F15" s="80">
        <v>3</v>
      </c>
      <c r="G15" s="80" t="s">
        <v>622</v>
      </c>
      <c r="H15" s="80">
        <v>3</v>
      </c>
      <c r="I15" s="80" t="s">
        <v>264</v>
      </c>
      <c r="J15" s="80">
        <v>1</v>
      </c>
      <c r="K15" s="80" t="s">
        <v>264</v>
      </c>
      <c r="L15" s="80">
        <v>4</v>
      </c>
      <c r="M15" s="80"/>
      <c r="N15" s="80"/>
      <c r="O15" s="80" t="s">
        <v>264</v>
      </c>
      <c r="P15" s="80">
        <v>1</v>
      </c>
      <c r="Q15" s="80" t="s">
        <v>622</v>
      </c>
      <c r="R15" s="80">
        <v>2</v>
      </c>
    </row>
    <row r="16" spans="1:18" ht="15">
      <c r="A16" s="81" t="s">
        <v>622</v>
      </c>
      <c r="B16" s="80">
        <v>5</v>
      </c>
      <c r="C16" s="80" t="s">
        <v>621</v>
      </c>
      <c r="D16" s="80">
        <v>1</v>
      </c>
      <c r="E16" s="80" t="s">
        <v>263</v>
      </c>
      <c r="F16" s="80">
        <v>1</v>
      </c>
      <c r="G16" s="80"/>
      <c r="H16" s="80"/>
      <c r="I16" s="80"/>
      <c r="J16" s="80"/>
      <c r="K16" s="80"/>
      <c r="L16" s="80"/>
      <c r="M16" s="80"/>
      <c r="N16" s="80"/>
      <c r="O16" s="80"/>
      <c r="P16" s="80"/>
      <c r="Q16" s="80"/>
      <c r="R16" s="80"/>
    </row>
    <row r="17" spans="1:18" ht="15">
      <c r="A17" s="81" t="s">
        <v>263</v>
      </c>
      <c r="B17" s="80">
        <v>2</v>
      </c>
      <c r="C17" s="80" t="s">
        <v>263</v>
      </c>
      <c r="D17" s="80">
        <v>1</v>
      </c>
      <c r="E17" s="80"/>
      <c r="F17" s="80"/>
      <c r="G17" s="80"/>
      <c r="H17" s="80"/>
      <c r="I17" s="80"/>
      <c r="J17" s="80"/>
      <c r="K17" s="80"/>
      <c r="L17" s="80"/>
      <c r="M17" s="80"/>
      <c r="N17" s="80"/>
      <c r="O17" s="80"/>
      <c r="P17" s="80"/>
      <c r="Q17" s="80"/>
      <c r="R17" s="80"/>
    </row>
    <row r="18" spans="1:18" ht="15">
      <c r="A18" s="81" t="s">
        <v>621</v>
      </c>
      <c r="B18" s="80">
        <v>1</v>
      </c>
      <c r="C18" s="80"/>
      <c r="D18" s="80"/>
      <c r="E18" s="80"/>
      <c r="F18" s="80"/>
      <c r="G18" s="80"/>
      <c r="H18" s="80"/>
      <c r="I18" s="80"/>
      <c r="J18" s="80"/>
      <c r="K18" s="80"/>
      <c r="L18" s="80"/>
      <c r="M18" s="80"/>
      <c r="N18" s="80"/>
      <c r="O18" s="80"/>
      <c r="P18" s="80"/>
      <c r="Q18" s="80"/>
      <c r="R18" s="80"/>
    </row>
    <row r="21" spans="1:18" ht="14.4" customHeight="1">
      <c r="A21" s="13" t="s">
        <v>485</v>
      </c>
      <c r="B21" s="13" t="s">
        <v>455</v>
      </c>
      <c r="C21" s="13" t="s">
        <v>486</v>
      </c>
      <c r="D21" s="13" t="s">
        <v>458</v>
      </c>
      <c r="E21" s="13" t="s">
        <v>487</v>
      </c>
      <c r="F21" s="13" t="s">
        <v>460</v>
      </c>
      <c r="G21" s="13" t="s">
        <v>488</v>
      </c>
      <c r="H21" s="13" t="s">
        <v>462</v>
      </c>
      <c r="I21" s="13" t="s">
        <v>489</v>
      </c>
      <c r="J21" s="13" t="s">
        <v>464</v>
      </c>
      <c r="K21" s="13" t="s">
        <v>490</v>
      </c>
      <c r="L21" s="13" t="s">
        <v>466</v>
      </c>
      <c r="M21" s="80" t="s">
        <v>491</v>
      </c>
      <c r="N21" s="80" t="s">
        <v>468</v>
      </c>
      <c r="O21" s="80" t="s">
        <v>492</v>
      </c>
      <c r="P21" s="80" t="s">
        <v>470</v>
      </c>
      <c r="Q21" s="13" t="s">
        <v>493</v>
      </c>
      <c r="R21" s="13" t="s">
        <v>471</v>
      </c>
    </row>
    <row r="22" spans="1:18" ht="15">
      <c r="A22" s="80" t="s">
        <v>623</v>
      </c>
      <c r="B22" s="80">
        <v>23</v>
      </c>
      <c r="C22" s="80" t="s">
        <v>582</v>
      </c>
      <c r="D22" s="80">
        <v>7</v>
      </c>
      <c r="E22" s="80" t="s">
        <v>623</v>
      </c>
      <c r="F22" s="80">
        <v>2</v>
      </c>
      <c r="G22" s="80" t="s">
        <v>896</v>
      </c>
      <c r="H22" s="80">
        <v>2</v>
      </c>
      <c r="I22" s="80" t="s">
        <v>623</v>
      </c>
      <c r="J22" s="80">
        <v>1</v>
      </c>
      <c r="K22" s="80" t="s">
        <v>623</v>
      </c>
      <c r="L22" s="80">
        <v>9</v>
      </c>
      <c r="M22" s="80"/>
      <c r="N22" s="80"/>
      <c r="O22" s="80"/>
      <c r="P22" s="80"/>
      <c r="Q22" s="80" t="s">
        <v>891</v>
      </c>
      <c r="R22" s="80">
        <v>3</v>
      </c>
    </row>
    <row r="23" spans="1:18" ht="15">
      <c r="A23" s="81" t="s">
        <v>582</v>
      </c>
      <c r="B23" s="80">
        <v>9</v>
      </c>
      <c r="C23" s="80" t="s">
        <v>623</v>
      </c>
      <c r="D23" s="80">
        <v>6</v>
      </c>
      <c r="E23" s="80" t="s">
        <v>582</v>
      </c>
      <c r="F23" s="80">
        <v>2</v>
      </c>
      <c r="G23" s="80" t="s">
        <v>897</v>
      </c>
      <c r="H23" s="80">
        <v>2</v>
      </c>
      <c r="I23" s="80"/>
      <c r="J23" s="80"/>
      <c r="K23" s="80" t="s">
        <v>345</v>
      </c>
      <c r="L23" s="80">
        <v>7</v>
      </c>
      <c r="M23" s="80"/>
      <c r="N23" s="80"/>
      <c r="O23" s="80"/>
      <c r="P23" s="80"/>
      <c r="Q23" s="80" t="s">
        <v>623</v>
      </c>
      <c r="R23" s="80">
        <v>3</v>
      </c>
    </row>
    <row r="24" spans="1:18" ht="15">
      <c r="A24" s="81" t="s">
        <v>345</v>
      </c>
      <c r="B24" s="80">
        <v>8</v>
      </c>
      <c r="C24" s="80" t="s">
        <v>889</v>
      </c>
      <c r="D24" s="80">
        <v>3</v>
      </c>
      <c r="E24" s="80" t="s">
        <v>258</v>
      </c>
      <c r="F24" s="80">
        <v>1</v>
      </c>
      <c r="G24" s="80" t="s">
        <v>898</v>
      </c>
      <c r="H24" s="80">
        <v>2</v>
      </c>
      <c r="I24" s="80"/>
      <c r="J24" s="80"/>
      <c r="K24" s="80" t="s">
        <v>892</v>
      </c>
      <c r="L24" s="80">
        <v>3</v>
      </c>
      <c r="M24" s="80"/>
      <c r="N24" s="80"/>
      <c r="O24" s="80"/>
      <c r="P24" s="80"/>
      <c r="Q24" s="80" t="s">
        <v>904</v>
      </c>
      <c r="R24" s="80">
        <v>2</v>
      </c>
    </row>
    <row r="25" spans="1:18" ht="15">
      <c r="A25" s="81" t="s">
        <v>888</v>
      </c>
      <c r="B25" s="80">
        <v>4</v>
      </c>
      <c r="C25" s="80" t="s">
        <v>258</v>
      </c>
      <c r="D25" s="80">
        <v>3</v>
      </c>
      <c r="E25" s="80" t="s">
        <v>889</v>
      </c>
      <c r="F25" s="80">
        <v>1</v>
      </c>
      <c r="G25" s="80" t="s">
        <v>623</v>
      </c>
      <c r="H25" s="80">
        <v>2</v>
      </c>
      <c r="I25" s="80"/>
      <c r="J25" s="80"/>
      <c r="K25" s="80" t="s">
        <v>893</v>
      </c>
      <c r="L25" s="80">
        <v>3</v>
      </c>
      <c r="M25" s="80"/>
      <c r="N25" s="80"/>
      <c r="O25" s="80"/>
      <c r="P25" s="80"/>
      <c r="Q25" s="80" t="s">
        <v>905</v>
      </c>
      <c r="R25" s="80">
        <v>2</v>
      </c>
    </row>
    <row r="26" spans="1:18" ht="15">
      <c r="A26" s="81" t="s">
        <v>889</v>
      </c>
      <c r="B26" s="80">
        <v>4</v>
      </c>
      <c r="C26" s="80" t="s">
        <v>596</v>
      </c>
      <c r="D26" s="80">
        <v>2</v>
      </c>
      <c r="E26" s="80"/>
      <c r="F26" s="80"/>
      <c r="G26" s="80" t="s">
        <v>888</v>
      </c>
      <c r="H26" s="80">
        <v>2</v>
      </c>
      <c r="I26" s="80"/>
      <c r="J26" s="80"/>
      <c r="K26" s="80" t="s">
        <v>866</v>
      </c>
      <c r="L26" s="80">
        <v>3</v>
      </c>
      <c r="M26" s="80"/>
      <c r="N26" s="80"/>
      <c r="O26" s="80"/>
      <c r="P26" s="80"/>
      <c r="Q26" s="80" t="s">
        <v>888</v>
      </c>
      <c r="R26" s="80">
        <v>2</v>
      </c>
    </row>
    <row r="27" spans="1:18" ht="14.4" customHeight="1">
      <c r="A27" s="81" t="s">
        <v>258</v>
      </c>
      <c r="B27" s="80">
        <v>4</v>
      </c>
      <c r="C27" s="80" t="s">
        <v>894</v>
      </c>
      <c r="D27" s="80">
        <v>1</v>
      </c>
      <c r="E27" s="80"/>
      <c r="F27" s="80"/>
      <c r="G27" s="80" t="s">
        <v>899</v>
      </c>
      <c r="H27" s="80">
        <v>2</v>
      </c>
      <c r="I27" s="80"/>
      <c r="J27" s="80"/>
      <c r="K27" s="80" t="s">
        <v>372</v>
      </c>
      <c r="L27" s="80">
        <v>2</v>
      </c>
      <c r="M27" s="80"/>
      <c r="N27" s="80"/>
      <c r="O27" s="80"/>
      <c r="P27" s="80"/>
      <c r="Q27" s="80"/>
      <c r="R27" s="80"/>
    </row>
    <row r="28" spans="1:18" ht="15">
      <c r="A28" s="81" t="s">
        <v>890</v>
      </c>
      <c r="B28" s="80">
        <v>3</v>
      </c>
      <c r="C28" s="80" t="s">
        <v>895</v>
      </c>
      <c r="D28" s="80">
        <v>1</v>
      </c>
      <c r="E28" s="80"/>
      <c r="F28" s="80"/>
      <c r="G28" s="80" t="s">
        <v>858</v>
      </c>
      <c r="H28" s="80">
        <v>1</v>
      </c>
      <c r="I28" s="80"/>
      <c r="J28" s="80"/>
      <c r="K28" s="80" t="s">
        <v>890</v>
      </c>
      <c r="L28" s="80">
        <v>2</v>
      </c>
      <c r="M28" s="80"/>
      <c r="N28" s="80"/>
      <c r="O28" s="80"/>
      <c r="P28" s="80"/>
      <c r="Q28" s="80"/>
      <c r="R28" s="80"/>
    </row>
    <row r="29" spans="1:18" ht="15">
      <c r="A29" s="81" t="s">
        <v>891</v>
      </c>
      <c r="B29" s="80">
        <v>3</v>
      </c>
      <c r="C29" s="80"/>
      <c r="D29" s="80"/>
      <c r="E29" s="80"/>
      <c r="F29" s="80"/>
      <c r="G29" s="80" t="s">
        <v>900</v>
      </c>
      <c r="H29" s="80">
        <v>1</v>
      </c>
      <c r="I29" s="80"/>
      <c r="J29" s="80"/>
      <c r="K29" s="80" t="s">
        <v>799</v>
      </c>
      <c r="L29" s="80">
        <v>1</v>
      </c>
      <c r="M29" s="80"/>
      <c r="N29" s="80"/>
      <c r="O29" s="80"/>
      <c r="P29" s="80"/>
      <c r="Q29" s="80"/>
      <c r="R29" s="80"/>
    </row>
    <row r="30" spans="1:18" ht="15">
      <c r="A30" s="81" t="s">
        <v>892</v>
      </c>
      <c r="B30" s="80">
        <v>3</v>
      </c>
      <c r="C30" s="80"/>
      <c r="D30" s="80"/>
      <c r="E30" s="80"/>
      <c r="F30" s="80"/>
      <c r="G30" s="80" t="s">
        <v>901</v>
      </c>
      <c r="H30" s="80">
        <v>1</v>
      </c>
      <c r="I30" s="80"/>
      <c r="J30" s="80"/>
      <c r="K30" s="80" t="s">
        <v>368</v>
      </c>
      <c r="L30" s="80">
        <v>1</v>
      </c>
      <c r="M30" s="80"/>
      <c r="N30" s="80"/>
      <c r="O30" s="80"/>
      <c r="P30" s="80"/>
      <c r="Q30" s="80"/>
      <c r="R30" s="80"/>
    </row>
    <row r="31" spans="1:18" ht="15">
      <c r="A31" s="81" t="s">
        <v>893</v>
      </c>
      <c r="B31" s="80">
        <v>3</v>
      </c>
      <c r="C31" s="80"/>
      <c r="D31" s="80"/>
      <c r="E31" s="80"/>
      <c r="F31" s="80"/>
      <c r="G31" s="80" t="s">
        <v>902</v>
      </c>
      <c r="H31" s="80">
        <v>1</v>
      </c>
      <c r="I31" s="80"/>
      <c r="J31" s="80"/>
      <c r="K31" s="80" t="s">
        <v>903</v>
      </c>
      <c r="L31" s="80">
        <v>1</v>
      </c>
      <c r="M31" s="80"/>
      <c r="N31" s="80"/>
      <c r="O31" s="80"/>
      <c r="P31" s="80"/>
      <c r="Q31" s="80"/>
      <c r="R31" s="80"/>
    </row>
    <row r="34" spans="1:18" ht="14.4" customHeight="1">
      <c r="A34" s="13" t="s">
        <v>495</v>
      </c>
      <c r="B34" s="13" t="s">
        <v>455</v>
      </c>
      <c r="C34" s="13" t="s">
        <v>496</v>
      </c>
      <c r="D34" s="13" t="s">
        <v>458</v>
      </c>
      <c r="E34" s="13" t="s">
        <v>497</v>
      </c>
      <c r="F34" s="13" t="s">
        <v>460</v>
      </c>
      <c r="G34" s="13" t="s">
        <v>498</v>
      </c>
      <c r="H34" s="13" t="s">
        <v>462</v>
      </c>
      <c r="I34" s="13" t="s">
        <v>499</v>
      </c>
      <c r="J34" s="13" t="s">
        <v>464</v>
      </c>
      <c r="K34" s="13" t="s">
        <v>500</v>
      </c>
      <c r="L34" s="13" t="s">
        <v>466</v>
      </c>
      <c r="M34" s="80" t="s">
        <v>501</v>
      </c>
      <c r="N34" s="80" t="s">
        <v>468</v>
      </c>
      <c r="O34" s="13" t="s">
        <v>502</v>
      </c>
      <c r="P34" s="13" t="s">
        <v>470</v>
      </c>
      <c r="Q34" s="13" t="s">
        <v>503</v>
      </c>
      <c r="R34" s="13" t="s">
        <v>471</v>
      </c>
    </row>
    <row r="35" spans="1:18" ht="15">
      <c r="A35" s="89" t="s">
        <v>797</v>
      </c>
      <c r="B35" s="89">
        <v>24</v>
      </c>
      <c r="C35" s="89" t="s">
        <v>344</v>
      </c>
      <c r="D35" s="89">
        <v>11</v>
      </c>
      <c r="E35" s="89" t="s">
        <v>798</v>
      </c>
      <c r="F35" s="89">
        <v>3</v>
      </c>
      <c r="G35" s="89" t="s">
        <v>797</v>
      </c>
      <c r="H35" s="89">
        <v>3</v>
      </c>
      <c r="I35" s="89" t="s">
        <v>362</v>
      </c>
      <c r="J35" s="89">
        <v>2</v>
      </c>
      <c r="K35" s="89" t="s">
        <v>797</v>
      </c>
      <c r="L35" s="89">
        <v>9</v>
      </c>
      <c r="M35" s="89"/>
      <c r="N35" s="89"/>
      <c r="O35" s="89" t="s">
        <v>348</v>
      </c>
      <c r="P35" s="89">
        <v>2</v>
      </c>
      <c r="Q35" s="89" t="s">
        <v>799</v>
      </c>
      <c r="R35" s="89">
        <v>4</v>
      </c>
    </row>
    <row r="36" spans="1:18" ht="15">
      <c r="A36" s="86" t="s">
        <v>344</v>
      </c>
      <c r="B36" s="89">
        <v>13</v>
      </c>
      <c r="C36" s="89" t="s">
        <v>798</v>
      </c>
      <c r="D36" s="89">
        <v>8</v>
      </c>
      <c r="E36" s="89" t="s">
        <v>797</v>
      </c>
      <c r="F36" s="89">
        <v>2</v>
      </c>
      <c r="G36" s="89" t="s">
        <v>812</v>
      </c>
      <c r="H36" s="89">
        <v>3</v>
      </c>
      <c r="I36" s="89"/>
      <c r="J36" s="89"/>
      <c r="K36" s="89" t="s">
        <v>800</v>
      </c>
      <c r="L36" s="89">
        <v>8</v>
      </c>
      <c r="M36" s="89"/>
      <c r="N36" s="89"/>
      <c r="O36" s="89"/>
      <c r="P36" s="89"/>
      <c r="Q36" s="89" t="s">
        <v>814</v>
      </c>
      <c r="R36" s="89">
        <v>3</v>
      </c>
    </row>
    <row r="37" spans="1:18" ht="15">
      <c r="A37" s="86" t="s">
        <v>798</v>
      </c>
      <c r="B37" s="89">
        <v>11</v>
      </c>
      <c r="C37" s="89" t="s">
        <v>802</v>
      </c>
      <c r="D37" s="89">
        <v>7</v>
      </c>
      <c r="E37" s="89" t="s">
        <v>804</v>
      </c>
      <c r="F37" s="89">
        <v>2</v>
      </c>
      <c r="G37" s="89" t="s">
        <v>813</v>
      </c>
      <c r="H37" s="89">
        <v>3</v>
      </c>
      <c r="I37" s="89"/>
      <c r="J37" s="89"/>
      <c r="K37" s="89" t="s">
        <v>801</v>
      </c>
      <c r="L37" s="89">
        <v>7</v>
      </c>
      <c r="M37" s="89"/>
      <c r="N37" s="89"/>
      <c r="O37" s="89"/>
      <c r="P37" s="89"/>
      <c r="Q37" s="89" t="s">
        <v>797</v>
      </c>
      <c r="R37" s="89">
        <v>3</v>
      </c>
    </row>
    <row r="38" spans="1:18" ht="15">
      <c r="A38" s="86" t="s">
        <v>799</v>
      </c>
      <c r="B38" s="89">
        <v>10</v>
      </c>
      <c r="C38" s="89" t="s">
        <v>797</v>
      </c>
      <c r="D38" s="89">
        <v>6</v>
      </c>
      <c r="E38" s="89" t="s">
        <v>344</v>
      </c>
      <c r="F38" s="89">
        <v>2</v>
      </c>
      <c r="G38" s="89" t="s">
        <v>805</v>
      </c>
      <c r="H38" s="89">
        <v>3</v>
      </c>
      <c r="I38" s="89"/>
      <c r="J38" s="89"/>
      <c r="K38" s="89" t="s">
        <v>369</v>
      </c>
      <c r="L38" s="89">
        <v>6</v>
      </c>
      <c r="M38" s="89"/>
      <c r="N38" s="89"/>
      <c r="O38" s="89"/>
      <c r="P38" s="89"/>
      <c r="Q38" s="89" t="s">
        <v>361</v>
      </c>
      <c r="R38" s="89">
        <v>2</v>
      </c>
    </row>
    <row r="39" spans="1:18" ht="15">
      <c r="A39" s="86" t="s">
        <v>348</v>
      </c>
      <c r="B39" s="89">
        <v>10</v>
      </c>
      <c r="C39" s="89" t="s">
        <v>587</v>
      </c>
      <c r="D39" s="89">
        <v>5</v>
      </c>
      <c r="E39" s="89" t="s">
        <v>375</v>
      </c>
      <c r="F39" s="89">
        <v>2</v>
      </c>
      <c r="G39" s="89" t="s">
        <v>799</v>
      </c>
      <c r="H39" s="89">
        <v>2</v>
      </c>
      <c r="I39" s="89"/>
      <c r="J39" s="89"/>
      <c r="K39" s="89" t="s">
        <v>372</v>
      </c>
      <c r="L39" s="89">
        <v>3</v>
      </c>
      <c r="M39" s="89"/>
      <c r="N39" s="89"/>
      <c r="O39" s="89"/>
      <c r="P39" s="89"/>
      <c r="Q39" s="89" t="s">
        <v>833</v>
      </c>
      <c r="R39" s="89">
        <v>2</v>
      </c>
    </row>
    <row r="40" spans="1:18" ht="14.4" customHeight="1">
      <c r="A40" s="86" t="s">
        <v>800</v>
      </c>
      <c r="B40" s="89">
        <v>10</v>
      </c>
      <c r="C40" s="89" t="s">
        <v>345</v>
      </c>
      <c r="D40" s="89">
        <v>5</v>
      </c>
      <c r="E40" s="89" t="s">
        <v>360</v>
      </c>
      <c r="F40" s="89">
        <v>2</v>
      </c>
      <c r="G40" s="89" t="s">
        <v>807</v>
      </c>
      <c r="H40" s="89">
        <v>2</v>
      </c>
      <c r="I40" s="89"/>
      <c r="J40" s="89"/>
      <c r="K40" s="89" t="s">
        <v>821</v>
      </c>
      <c r="L40" s="89">
        <v>3</v>
      </c>
      <c r="M40" s="89"/>
      <c r="N40" s="89"/>
      <c r="O40" s="89"/>
      <c r="P40" s="89"/>
      <c r="Q40" s="89" t="s">
        <v>834</v>
      </c>
      <c r="R40" s="89">
        <v>2</v>
      </c>
    </row>
    <row r="41" spans="1:18" ht="15">
      <c r="A41" s="86" t="s">
        <v>801</v>
      </c>
      <c r="B41" s="89">
        <v>9</v>
      </c>
      <c r="C41" s="89" t="s">
        <v>803</v>
      </c>
      <c r="D41" s="89">
        <v>5</v>
      </c>
      <c r="E41" s="89" t="s">
        <v>348</v>
      </c>
      <c r="F41" s="89">
        <v>2</v>
      </c>
      <c r="G41" s="89" t="s">
        <v>376</v>
      </c>
      <c r="H41" s="89">
        <v>2</v>
      </c>
      <c r="I41" s="89"/>
      <c r="J41" s="89"/>
      <c r="K41" s="89" t="s">
        <v>358</v>
      </c>
      <c r="L41" s="89">
        <v>3</v>
      </c>
      <c r="M41" s="89"/>
      <c r="N41" s="89"/>
      <c r="O41" s="89"/>
      <c r="P41" s="89"/>
      <c r="Q41" s="89" t="s">
        <v>360</v>
      </c>
      <c r="R41" s="89">
        <v>2</v>
      </c>
    </row>
    <row r="42" spans="1:18" ht="15">
      <c r="A42" s="86" t="s">
        <v>345</v>
      </c>
      <c r="B42" s="89">
        <v>9</v>
      </c>
      <c r="C42" s="89" t="s">
        <v>348</v>
      </c>
      <c r="D42" s="89">
        <v>5</v>
      </c>
      <c r="E42" s="89" t="s">
        <v>587</v>
      </c>
      <c r="F42" s="89">
        <v>2</v>
      </c>
      <c r="G42" s="89" t="s">
        <v>825</v>
      </c>
      <c r="H42" s="89">
        <v>2</v>
      </c>
      <c r="I42" s="89"/>
      <c r="J42" s="89"/>
      <c r="K42" s="89" t="s">
        <v>822</v>
      </c>
      <c r="L42" s="89">
        <v>3</v>
      </c>
      <c r="M42" s="89"/>
      <c r="N42" s="89"/>
      <c r="O42" s="89"/>
      <c r="P42" s="89"/>
      <c r="Q42" s="89" t="s">
        <v>357</v>
      </c>
      <c r="R42" s="89">
        <v>2</v>
      </c>
    </row>
    <row r="43" spans="1:18" ht="15">
      <c r="A43" s="86" t="s">
        <v>802</v>
      </c>
      <c r="B43" s="89">
        <v>9</v>
      </c>
      <c r="C43" s="89" t="s">
        <v>380</v>
      </c>
      <c r="D43" s="89">
        <v>4</v>
      </c>
      <c r="E43" s="89" t="s">
        <v>595</v>
      </c>
      <c r="F43" s="89">
        <v>2</v>
      </c>
      <c r="G43" s="89" t="s">
        <v>826</v>
      </c>
      <c r="H43" s="89">
        <v>2</v>
      </c>
      <c r="I43" s="89"/>
      <c r="J43" s="89"/>
      <c r="K43" s="89" t="s">
        <v>386</v>
      </c>
      <c r="L43" s="89">
        <v>3</v>
      </c>
      <c r="M43" s="89"/>
      <c r="N43" s="89"/>
      <c r="O43" s="89"/>
      <c r="P43" s="89"/>
      <c r="Q43" s="89" t="s">
        <v>345</v>
      </c>
      <c r="R43" s="89">
        <v>2</v>
      </c>
    </row>
    <row r="44" spans="1:18" ht="15">
      <c r="A44" s="86" t="s">
        <v>587</v>
      </c>
      <c r="B44" s="89">
        <v>8</v>
      </c>
      <c r="C44" s="89" t="s">
        <v>804</v>
      </c>
      <c r="D44" s="89">
        <v>4</v>
      </c>
      <c r="E44" s="89" t="s">
        <v>806</v>
      </c>
      <c r="F44" s="89">
        <v>2</v>
      </c>
      <c r="G44" s="89" t="s">
        <v>827</v>
      </c>
      <c r="H44" s="89">
        <v>2</v>
      </c>
      <c r="I44" s="89"/>
      <c r="J44" s="89"/>
      <c r="K44" s="89" t="s">
        <v>823</v>
      </c>
      <c r="L44" s="89">
        <v>3</v>
      </c>
      <c r="M44" s="89"/>
      <c r="N44" s="89"/>
      <c r="O44" s="89"/>
      <c r="P44" s="89"/>
      <c r="Q44" s="89" t="s">
        <v>835</v>
      </c>
      <c r="R44" s="89">
        <v>2</v>
      </c>
    </row>
    <row r="47" spans="1:18" ht="14.4" customHeight="1">
      <c r="A47" s="13" t="s">
        <v>505</v>
      </c>
      <c r="B47" s="13" t="s">
        <v>455</v>
      </c>
      <c r="C47" s="13" t="s">
        <v>506</v>
      </c>
      <c r="D47" s="13" t="s">
        <v>458</v>
      </c>
      <c r="E47" s="13" t="s">
        <v>507</v>
      </c>
      <c r="F47" s="13" t="s">
        <v>460</v>
      </c>
      <c r="G47" s="13" t="s">
        <v>508</v>
      </c>
      <c r="H47" s="13" t="s">
        <v>462</v>
      </c>
      <c r="I47" s="80" t="s">
        <v>509</v>
      </c>
      <c r="J47" s="80" t="s">
        <v>464</v>
      </c>
      <c r="K47" s="13" t="s">
        <v>510</v>
      </c>
      <c r="L47" s="13" t="s">
        <v>466</v>
      </c>
      <c r="M47" s="80" t="s">
        <v>511</v>
      </c>
      <c r="N47" s="80" t="s">
        <v>468</v>
      </c>
      <c r="O47" s="80" t="s">
        <v>512</v>
      </c>
      <c r="P47" s="80" t="s">
        <v>470</v>
      </c>
      <c r="Q47" s="13" t="s">
        <v>513</v>
      </c>
      <c r="R47" s="13" t="s">
        <v>471</v>
      </c>
    </row>
    <row r="48" spans="1:18" ht="15">
      <c r="A48" s="89" t="s">
        <v>916</v>
      </c>
      <c r="B48" s="89">
        <v>5</v>
      </c>
      <c r="C48" s="89" t="s">
        <v>916</v>
      </c>
      <c r="D48" s="89">
        <v>4</v>
      </c>
      <c r="E48" s="89" t="s">
        <v>917</v>
      </c>
      <c r="F48" s="89">
        <v>2</v>
      </c>
      <c r="G48" s="89" t="s">
        <v>935</v>
      </c>
      <c r="H48" s="89">
        <v>2</v>
      </c>
      <c r="I48" s="89"/>
      <c r="J48" s="89"/>
      <c r="K48" s="89" t="s">
        <v>918</v>
      </c>
      <c r="L48" s="89">
        <v>5</v>
      </c>
      <c r="M48" s="89"/>
      <c r="N48" s="89"/>
      <c r="O48" s="89"/>
      <c r="P48" s="89"/>
      <c r="Q48" s="89" t="s">
        <v>953</v>
      </c>
      <c r="R48" s="89">
        <v>2</v>
      </c>
    </row>
    <row r="49" spans="1:18" ht="15">
      <c r="A49" s="86" t="s">
        <v>917</v>
      </c>
      <c r="B49" s="89">
        <v>5</v>
      </c>
      <c r="C49" s="89" t="s">
        <v>917</v>
      </c>
      <c r="D49" s="89">
        <v>3</v>
      </c>
      <c r="E49" s="89" t="s">
        <v>934</v>
      </c>
      <c r="F49" s="89">
        <v>2</v>
      </c>
      <c r="G49" s="89" t="s">
        <v>936</v>
      </c>
      <c r="H49" s="89">
        <v>2</v>
      </c>
      <c r="I49" s="89"/>
      <c r="J49" s="89"/>
      <c r="K49" s="89" t="s">
        <v>919</v>
      </c>
      <c r="L49" s="89">
        <v>4</v>
      </c>
      <c r="M49" s="89"/>
      <c r="N49" s="89"/>
      <c r="O49" s="89"/>
      <c r="P49" s="89"/>
      <c r="Q49" s="89" t="s">
        <v>954</v>
      </c>
      <c r="R49" s="89">
        <v>2</v>
      </c>
    </row>
    <row r="50" spans="1:18" ht="15">
      <c r="A50" s="86" t="s">
        <v>918</v>
      </c>
      <c r="B50" s="89">
        <v>5</v>
      </c>
      <c r="C50" s="89" t="s">
        <v>926</v>
      </c>
      <c r="D50" s="89">
        <v>2</v>
      </c>
      <c r="E50" s="89"/>
      <c r="F50" s="89"/>
      <c r="G50" s="89" t="s">
        <v>937</v>
      </c>
      <c r="H50" s="89">
        <v>2</v>
      </c>
      <c r="I50" s="89"/>
      <c r="J50" s="89"/>
      <c r="K50" s="89" t="s">
        <v>945</v>
      </c>
      <c r="L50" s="89">
        <v>3</v>
      </c>
      <c r="M50" s="89"/>
      <c r="N50" s="89"/>
      <c r="O50" s="89"/>
      <c r="P50" s="89"/>
      <c r="Q50" s="89" t="s">
        <v>955</v>
      </c>
      <c r="R50" s="89">
        <v>2</v>
      </c>
    </row>
    <row r="51" spans="1:18" ht="15">
      <c r="A51" s="86" t="s">
        <v>919</v>
      </c>
      <c r="B51" s="89">
        <v>4</v>
      </c>
      <c r="C51" s="89" t="s">
        <v>927</v>
      </c>
      <c r="D51" s="89">
        <v>2</v>
      </c>
      <c r="E51" s="89"/>
      <c r="F51" s="89"/>
      <c r="G51" s="89" t="s">
        <v>938</v>
      </c>
      <c r="H51" s="89">
        <v>2</v>
      </c>
      <c r="I51" s="89"/>
      <c r="J51" s="89"/>
      <c r="K51" s="89" t="s">
        <v>946</v>
      </c>
      <c r="L51" s="89">
        <v>2</v>
      </c>
      <c r="M51" s="89"/>
      <c r="N51" s="89"/>
      <c r="O51" s="89"/>
      <c r="P51" s="89"/>
      <c r="Q51" s="89" t="s">
        <v>956</v>
      </c>
      <c r="R51" s="89">
        <v>2</v>
      </c>
    </row>
    <row r="52" spans="1:18" ht="15">
      <c r="A52" s="86" t="s">
        <v>920</v>
      </c>
      <c r="B52" s="89">
        <v>3</v>
      </c>
      <c r="C52" s="89" t="s">
        <v>928</v>
      </c>
      <c r="D52" s="89">
        <v>2</v>
      </c>
      <c r="E52" s="89"/>
      <c r="F52" s="89"/>
      <c r="G52" s="89" t="s">
        <v>939</v>
      </c>
      <c r="H52" s="89">
        <v>2</v>
      </c>
      <c r="I52" s="89"/>
      <c r="J52" s="89"/>
      <c r="K52" s="89" t="s">
        <v>947</v>
      </c>
      <c r="L52" s="89">
        <v>2</v>
      </c>
      <c r="M52" s="89"/>
      <c r="N52" s="89"/>
      <c r="O52" s="89"/>
      <c r="P52" s="89"/>
      <c r="Q52" s="89" t="s">
        <v>957</v>
      </c>
      <c r="R52" s="89">
        <v>2</v>
      </c>
    </row>
    <row r="53" spans="1:18" ht="14.4" customHeight="1">
      <c r="A53" s="86" t="s">
        <v>921</v>
      </c>
      <c r="B53" s="89">
        <v>3</v>
      </c>
      <c r="C53" s="89" t="s">
        <v>929</v>
      </c>
      <c r="D53" s="89">
        <v>2</v>
      </c>
      <c r="E53" s="89"/>
      <c r="F53" s="89"/>
      <c r="G53" s="89" t="s">
        <v>940</v>
      </c>
      <c r="H53" s="89">
        <v>2</v>
      </c>
      <c r="I53" s="89"/>
      <c r="J53" s="89"/>
      <c r="K53" s="89" t="s">
        <v>948</v>
      </c>
      <c r="L53" s="89">
        <v>2</v>
      </c>
      <c r="M53" s="89"/>
      <c r="N53" s="89"/>
      <c r="O53" s="89"/>
      <c r="P53" s="89"/>
      <c r="Q53" s="89" t="s">
        <v>958</v>
      </c>
      <c r="R53" s="89">
        <v>2</v>
      </c>
    </row>
    <row r="54" spans="1:18" ht="15">
      <c r="A54" s="86" t="s">
        <v>922</v>
      </c>
      <c r="B54" s="89">
        <v>3</v>
      </c>
      <c r="C54" s="89" t="s">
        <v>930</v>
      </c>
      <c r="D54" s="89">
        <v>2</v>
      </c>
      <c r="E54" s="89"/>
      <c r="F54" s="89"/>
      <c r="G54" s="89" t="s">
        <v>941</v>
      </c>
      <c r="H54" s="89">
        <v>2</v>
      </c>
      <c r="I54" s="89"/>
      <c r="J54" s="89"/>
      <c r="K54" s="89" t="s">
        <v>949</v>
      </c>
      <c r="L54" s="89">
        <v>2</v>
      </c>
      <c r="M54" s="89"/>
      <c r="N54" s="89"/>
      <c r="O54" s="89"/>
      <c r="P54" s="89"/>
      <c r="Q54" s="89" t="s">
        <v>959</v>
      </c>
      <c r="R54" s="89">
        <v>2</v>
      </c>
    </row>
    <row r="55" spans="1:18" ht="15">
      <c r="A55" s="86" t="s">
        <v>923</v>
      </c>
      <c r="B55" s="89">
        <v>3</v>
      </c>
      <c r="C55" s="89" t="s">
        <v>931</v>
      </c>
      <c r="D55" s="89">
        <v>2</v>
      </c>
      <c r="E55" s="89"/>
      <c r="F55" s="89"/>
      <c r="G55" s="89" t="s">
        <v>942</v>
      </c>
      <c r="H55" s="89">
        <v>2</v>
      </c>
      <c r="I55" s="89"/>
      <c r="J55" s="89"/>
      <c r="K55" s="89" t="s">
        <v>950</v>
      </c>
      <c r="L55" s="89">
        <v>2</v>
      </c>
      <c r="M55" s="89"/>
      <c r="N55" s="89"/>
      <c r="O55" s="89"/>
      <c r="P55" s="89"/>
      <c r="Q55" s="89" t="s">
        <v>960</v>
      </c>
      <c r="R55" s="89">
        <v>2</v>
      </c>
    </row>
    <row r="56" spans="1:18" ht="15">
      <c r="A56" s="86" t="s">
        <v>924</v>
      </c>
      <c r="B56" s="89">
        <v>3</v>
      </c>
      <c r="C56" s="89" t="s">
        <v>932</v>
      </c>
      <c r="D56" s="89">
        <v>2</v>
      </c>
      <c r="E56" s="89"/>
      <c r="F56" s="89"/>
      <c r="G56" s="89" t="s">
        <v>943</v>
      </c>
      <c r="H56" s="89">
        <v>2</v>
      </c>
      <c r="I56" s="89"/>
      <c r="J56" s="89"/>
      <c r="K56" s="89" t="s">
        <v>951</v>
      </c>
      <c r="L56" s="89">
        <v>2</v>
      </c>
      <c r="M56" s="89"/>
      <c r="N56" s="89"/>
      <c r="O56" s="89"/>
      <c r="P56" s="89"/>
      <c r="Q56" s="89" t="s">
        <v>961</v>
      </c>
      <c r="R56" s="89">
        <v>2</v>
      </c>
    </row>
    <row r="57" spans="1:18" ht="15">
      <c r="A57" s="86" t="s">
        <v>925</v>
      </c>
      <c r="B57" s="89">
        <v>3</v>
      </c>
      <c r="C57" s="89" t="s">
        <v>933</v>
      </c>
      <c r="D57" s="89">
        <v>2</v>
      </c>
      <c r="E57" s="89"/>
      <c r="F57" s="89"/>
      <c r="G57" s="89" t="s">
        <v>944</v>
      </c>
      <c r="H57" s="89">
        <v>2</v>
      </c>
      <c r="I57" s="89"/>
      <c r="J57" s="89"/>
      <c r="K57" s="89" t="s">
        <v>952</v>
      </c>
      <c r="L57" s="89">
        <v>2</v>
      </c>
      <c r="M57" s="89"/>
      <c r="N57" s="89"/>
      <c r="O57" s="89"/>
      <c r="P57" s="89"/>
      <c r="Q57" s="89" t="s">
        <v>962</v>
      </c>
      <c r="R57" s="89">
        <v>2</v>
      </c>
    </row>
    <row r="60" spans="1:18" ht="14.4" customHeight="1">
      <c r="A60" s="13" t="s">
        <v>515</v>
      </c>
      <c r="B60" s="13" t="s">
        <v>455</v>
      </c>
      <c r="C60" s="13" t="s">
        <v>517</v>
      </c>
      <c r="D60" s="13" t="s">
        <v>458</v>
      </c>
      <c r="E60" s="13" t="s">
        <v>518</v>
      </c>
      <c r="F60" s="13" t="s">
        <v>460</v>
      </c>
      <c r="G60" s="80" t="s">
        <v>521</v>
      </c>
      <c r="H60" s="80" t="s">
        <v>462</v>
      </c>
      <c r="I60" s="13" t="s">
        <v>523</v>
      </c>
      <c r="J60" s="13" t="s">
        <v>464</v>
      </c>
      <c r="K60" s="80" t="s">
        <v>525</v>
      </c>
      <c r="L60" s="80" t="s">
        <v>466</v>
      </c>
      <c r="M60" s="13" t="s">
        <v>527</v>
      </c>
      <c r="N60" s="13" t="s">
        <v>468</v>
      </c>
      <c r="O60" s="13" t="s">
        <v>529</v>
      </c>
      <c r="P60" s="13" t="s">
        <v>470</v>
      </c>
      <c r="Q60" s="80" t="s">
        <v>531</v>
      </c>
      <c r="R60" s="80" t="s">
        <v>471</v>
      </c>
    </row>
    <row r="61" spans="1:18" ht="15">
      <c r="A61" s="80" t="s">
        <v>594</v>
      </c>
      <c r="B61" s="80">
        <v>1</v>
      </c>
      <c r="C61" s="80" t="s">
        <v>594</v>
      </c>
      <c r="D61" s="80">
        <v>1</v>
      </c>
      <c r="E61" s="80" t="s">
        <v>588</v>
      </c>
      <c r="F61" s="80">
        <v>1</v>
      </c>
      <c r="G61" s="80"/>
      <c r="H61" s="80"/>
      <c r="I61" s="80" t="s">
        <v>587</v>
      </c>
      <c r="J61" s="80">
        <v>1</v>
      </c>
      <c r="K61" s="80"/>
      <c r="L61" s="80"/>
      <c r="M61" s="80" t="s">
        <v>589</v>
      </c>
      <c r="N61" s="80">
        <v>1</v>
      </c>
      <c r="O61" s="80" t="s">
        <v>256</v>
      </c>
      <c r="P61" s="80">
        <v>1</v>
      </c>
      <c r="Q61" s="80"/>
      <c r="R61" s="80"/>
    </row>
    <row r="62" spans="1:18" ht="15">
      <c r="A62" s="81" t="s">
        <v>589</v>
      </c>
      <c r="B62" s="80">
        <v>1</v>
      </c>
      <c r="C62" s="80"/>
      <c r="D62" s="80"/>
      <c r="E62" s="80"/>
      <c r="F62" s="80"/>
      <c r="G62" s="80"/>
      <c r="H62" s="80"/>
      <c r="I62" s="80"/>
      <c r="J62" s="80"/>
      <c r="K62" s="80"/>
      <c r="L62" s="80"/>
      <c r="M62" s="80"/>
      <c r="N62" s="80"/>
      <c r="O62" s="80"/>
      <c r="P62" s="80"/>
      <c r="Q62" s="80"/>
      <c r="R62" s="80"/>
    </row>
    <row r="63" spans="1:18" ht="15">
      <c r="A63" s="81" t="s">
        <v>588</v>
      </c>
      <c r="B63" s="80">
        <v>1</v>
      </c>
      <c r="C63" s="80"/>
      <c r="D63" s="80"/>
      <c r="E63" s="80"/>
      <c r="F63" s="80"/>
      <c r="G63" s="80"/>
      <c r="H63" s="80"/>
      <c r="I63" s="80"/>
      <c r="J63" s="80"/>
      <c r="K63" s="80"/>
      <c r="L63" s="80"/>
      <c r="M63" s="80"/>
      <c r="N63" s="80"/>
      <c r="O63" s="80"/>
      <c r="P63" s="80"/>
      <c r="Q63" s="80"/>
      <c r="R63" s="80"/>
    </row>
    <row r="64" spans="1:18" ht="15">
      <c r="A64" s="81" t="s">
        <v>587</v>
      </c>
      <c r="B64" s="80">
        <v>1</v>
      </c>
      <c r="C64" s="80"/>
      <c r="D64" s="80"/>
      <c r="E64" s="80"/>
      <c r="F64" s="80"/>
      <c r="G64" s="80"/>
      <c r="H64" s="80"/>
      <c r="I64" s="80"/>
      <c r="J64" s="80"/>
      <c r="K64" s="80"/>
      <c r="L64" s="80"/>
      <c r="M64" s="80"/>
      <c r="N64" s="80"/>
      <c r="O64" s="80"/>
      <c r="P64" s="80"/>
      <c r="Q64" s="80"/>
      <c r="R64" s="80"/>
    </row>
    <row r="65" spans="1:18" ht="15">
      <c r="A65" s="81" t="s">
        <v>256</v>
      </c>
      <c r="B65" s="80">
        <v>1</v>
      </c>
      <c r="C65" s="80"/>
      <c r="D65" s="80"/>
      <c r="E65" s="80"/>
      <c r="F65" s="80"/>
      <c r="G65" s="80"/>
      <c r="H65" s="80"/>
      <c r="I65" s="80"/>
      <c r="J65" s="80"/>
      <c r="K65" s="80"/>
      <c r="L65" s="80"/>
      <c r="M65" s="80"/>
      <c r="N65" s="80"/>
      <c r="O65" s="80"/>
      <c r="P65" s="80"/>
      <c r="Q65" s="80"/>
      <c r="R65" s="80"/>
    </row>
    <row r="66" ht="14.4" customHeight="1"/>
    <row r="68" spans="1:18" ht="14.4" customHeight="1">
      <c r="A68" s="13" t="s">
        <v>516</v>
      </c>
      <c r="B68" s="13" t="s">
        <v>455</v>
      </c>
      <c r="C68" s="13" t="s">
        <v>519</v>
      </c>
      <c r="D68" s="13" t="s">
        <v>458</v>
      </c>
      <c r="E68" s="13" t="s">
        <v>520</v>
      </c>
      <c r="F68" s="13" t="s">
        <v>460</v>
      </c>
      <c r="G68" s="80" t="s">
        <v>522</v>
      </c>
      <c r="H68" s="80" t="s">
        <v>462</v>
      </c>
      <c r="I68" s="80" t="s">
        <v>524</v>
      </c>
      <c r="J68" s="80" t="s">
        <v>464</v>
      </c>
      <c r="K68" s="80" t="s">
        <v>526</v>
      </c>
      <c r="L68" s="80" t="s">
        <v>466</v>
      </c>
      <c r="M68" s="80" t="s">
        <v>528</v>
      </c>
      <c r="N68" s="80" t="s">
        <v>468</v>
      </c>
      <c r="O68" s="80" t="s">
        <v>530</v>
      </c>
      <c r="P68" s="80" t="s">
        <v>470</v>
      </c>
      <c r="Q68" s="80" t="s">
        <v>532</v>
      </c>
      <c r="R68" s="80" t="s">
        <v>471</v>
      </c>
    </row>
    <row r="69" spans="1:18" ht="15">
      <c r="A69" s="80" t="s">
        <v>587</v>
      </c>
      <c r="B69" s="80">
        <v>7</v>
      </c>
      <c r="C69" s="80" t="s">
        <v>587</v>
      </c>
      <c r="D69" s="80">
        <v>5</v>
      </c>
      <c r="E69" s="80" t="s">
        <v>587</v>
      </c>
      <c r="F69" s="80">
        <v>2</v>
      </c>
      <c r="G69" s="80"/>
      <c r="H69" s="80"/>
      <c r="I69" s="80"/>
      <c r="J69" s="80"/>
      <c r="K69" s="80"/>
      <c r="L69" s="80"/>
      <c r="M69" s="80"/>
      <c r="N69" s="80"/>
      <c r="O69" s="80"/>
      <c r="P69" s="80"/>
      <c r="Q69" s="80"/>
      <c r="R69" s="80"/>
    </row>
    <row r="70" spans="1:18" ht="15">
      <c r="A70" s="81" t="s">
        <v>595</v>
      </c>
      <c r="B70" s="80">
        <v>5</v>
      </c>
      <c r="C70" s="80" t="s">
        <v>595</v>
      </c>
      <c r="D70" s="80">
        <v>3</v>
      </c>
      <c r="E70" s="80" t="s">
        <v>595</v>
      </c>
      <c r="F70" s="80">
        <v>2</v>
      </c>
      <c r="G70" s="80"/>
      <c r="H70" s="80"/>
      <c r="I70" s="80"/>
      <c r="J70" s="80"/>
      <c r="K70" s="80"/>
      <c r="L70" s="80"/>
      <c r="M70" s="80"/>
      <c r="N70" s="80"/>
      <c r="O70" s="80"/>
      <c r="P70" s="80"/>
      <c r="Q70" s="80"/>
      <c r="R70" s="80"/>
    </row>
    <row r="71" spans="1:18" ht="15">
      <c r="A71" s="81" t="s">
        <v>582</v>
      </c>
      <c r="B71" s="80">
        <v>5</v>
      </c>
      <c r="C71" s="80" t="s">
        <v>582</v>
      </c>
      <c r="D71" s="80">
        <v>3</v>
      </c>
      <c r="E71" s="80" t="s">
        <v>582</v>
      </c>
      <c r="F71" s="80">
        <v>2</v>
      </c>
      <c r="G71" s="80"/>
      <c r="H71" s="80"/>
      <c r="I71" s="80"/>
      <c r="J71" s="80"/>
      <c r="K71" s="80"/>
      <c r="L71" s="80"/>
      <c r="M71" s="80"/>
      <c r="N71" s="80"/>
      <c r="O71" s="80"/>
      <c r="P71" s="80"/>
      <c r="Q71" s="80"/>
      <c r="R71" s="80"/>
    </row>
    <row r="72" spans="1:18" ht="15">
      <c r="A72" s="81" t="s">
        <v>257</v>
      </c>
      <c r="B72" s="80">
        <v>3</v>
      </c>
      <c r="C72" s="80" t="s">
        <v>597</v>
      </c>
      <c r="D72" s="80">
        <v>2</v>
      </c>
      <c r="E72" s="80" t="s">
        <v>257</v>
      </c>
      <c r="F72" s="80">
        <v>1</v>
      </c>
      <c r="G72" s="80"/>
      <c r="H72" s="80"/>
      <c r="I72" s="80"/>
      <c r="J72" s="80"/>
      <c r="K72" s="80"/>
      <c r="L72" s="80"/>
      <c r="M72" s="80"/>
      <c r="N72" s="80"/>
      <c r="O72" s="80"/>
      <c r="P72" s="80"/>
      <c r="Q72" s="80"/>
      <c r="R72" s="80"/>
    </row>
    <row r="73" spans="1:18" ht="15">
      <c r="A73" s="81" t="s">
        <v>580</v>
      </c>
      <c r="B73" s="80">
        <v>3</v>
      </c>
      <c r="C73" s="80" t="s">
        <v>596</v>
      </c>
      <c r="D73" s="80">
        <v>2</v>
      </c>
      <c r="E73" s="80" t="s">
        <v>580</v>
      </c>
      <c r="F73" s="80">
        <v>1</v>
      </c>
      <c r="G73" s="80"/>
      <c r="H73" s="80"/>
      <c r="I73" s="80"/>
      <c r="J73" s="80"/>
      <c r="K73" s="80"/>
      <c r="L73" s="80"/>
      <c r="M73" s="80"/>
      <c r="N73" s="80"/>
      <c r="O73" s="80"/>
      <c r="P73" s="80"/>
      <c r="Q73" s="80"/>
      <c r="R73" s="80"/>
    </row>
    <row r="74" spans="1:18" ht="15">
      <c r="A74" s="81" t="s">
        <v>597</v>
      </c>
      <c r="B74" s="80">
        <v>2</v>
      </c>
      <c r="C74" s="80" t="s">
        <v>257</v>
      </c>
      <c r="D74" s="80">
        <v>2</v>
      </c>
      <c r="E74" s="80" t="s">
        <v>593</v>
      </c>
      <c r="F74" s="80">
        <v>1</v>
      </c>
      <c r="G74" s="80"/>
      <c r="H74" s="80"/>
      <c r="I74" s="80"/>
      <c r="J74" s="80"/>
      <c r="K74" s="80"/>
      <c r="L74" s="80"/>
      <c r="M74" s="80"/>
      <c r="N74" s="80"/>
      <c r="O74" s="80"/>
      <c r="P74" s="80"/>
      <c r="Q74" s="80"/>
      <c r="R74" s="80"/>
    </row>
    <row r="75" spans="1:18" ht="15">
      <c r="A75" s="81" t="s">
        <v>596</v>
      </c>
      <c r="B75" s="80">
        <v>2</v>
      </c>
      <c r="C75" s="80" t="s">
        <v>580</v>
      </c>
      <c r="D75" s="80">
        <v>2</v>
      </c>
      <c r="E75" s="80" t="s">
        <v>592</v>
      </c>
      <c r="F75" s="80">
        <v>1</v>
      </c>
      <c r="G75" s="80"/>
      <c r="H75" s="80"/>
      <c r="I75" s="80"/>
      <c r="J75" s="80"/>
      <c r="K75" s="80"/>
      <c r="L75" s="80"/>
      <c r="M75" s="80"/>
      <c r="N75" s="80"/>
      <c r="O75" s="80"/>
      <c r="P75" s="80"/>
      <c r="Q75" s="80"/>
      <c r="R75" s="80"/>
    </row>
    <row r="76" spans="1:18" ht="15">
      <c r="A76" s="81" t="s">
        <v>588</v>
      </c>
      <c r="B76" s="80">
        <v>2</v>
      </c>
      <c r="C76" s="80" t="s">
        <v>591</v>
      </c>
      <c r="D76" s="80">
        <v>1</v>
      </c>
      <c r="E76" s="80" t="s">
        <v>588</v>
      </c>
      <c r="F76" s="80">
        <v>1</v>
      </c>
      <c r="G76" s="80"/>
      <c r="H76" s="80"/>
      <c r="I76" s="80"/>
      <c r="J76" s="80"/>
      <c r="K76" s="80"/>
      <c r="L76" s="80"/>
      <c r="M76" s="80"/>
      <c r="N76" s="80"/>
      <c r="O76" s="80"/>
      <c r="P76" s="80"/>
      <c r="Q76" s="80"/>
      <c r="R76" s="80"/>
    </row>
    <row r="77" spans="1:18" ht="15">
      <c r="A77" s="81" t="s">
        <v>593</v>
      </c>
      <c r="B77" s="80">
        <v>2</v>
      </c>
      <c r="C77" s="80" t="s">
        <v>590</v>
      </c>
      <c r="D77" s="80">
        <v>1</v>
      </c>
      <c r="E77" s="80"/>
      <c r="F77" s="80"/>
      <c r="G77" s="80"/>
      <c r="H77" s="80"/>
      <c r="I77" s="80"/>
      <c r="J77" s="80"/>
      <c r="K77" s="80"/>
      <c r="L77" s="80"/>
      <c r="M77" s="80"/>
      <c r="N77" s="80"/>
      <c r="O77" s="80"/>
      <c r="P77" s="80"/>
      <c r="Q77" s="80"/>
      <c r="R77" s="80"/>
    </row>
    <row r="78" spans="1:18" ht="15">
      <c r="A78" s="81" t="s">
        <v>592</v>
      </c>
      <c r="B78" s="80">
        <v>2</v>
      </c>
      <c r="C78" s="80" t="s">
        <v>593</v>
      </c>
      <c r="D78" s="80">
        <v>1</v>
      </c>
      <c r="E78" s="80"/>
      <c r="F78" s="80"/>
      <c r="G78" s="80"/>
      <c r="H78" s="80"/>
      <c r="I78" s="80"/>
      <c r="J78" s="80"/>
      <c r="K78" s="80"/>
      <c r="L78" s="80"/>
      <c r="M78" s="80"/>
      <c r="N78" s="80"/>
      <c r="O78" s="80"/>
      <c r="P78" s="80"/>
      <c r="Q78" s="80"/>
      <c r="R78" s="80"/>
    </row>
    <row r="79" ht="14.4" customHeight="1"/>
    <row r="81" spans="1:18" ht="14.4" customHeight="1">
      <c r="A81" s="13" t="s">
        <v>535</v>
      </c>
      <c r="B81" s="13" t="s">
        <v>455</v>
      </c>
      <c r="C81" s="13" t="s">
        <v>536</v>
      </c>
      <c r="D81" s="13" t="s">
        <v>458</v>
      </c>
      <c r="E81" s="13" t="s">
        <v>537</v>
      </c>
      <c r="F81" s="13" t="s">
        <v>460</v>
      </c>
      <c r="G81" s="13" t="s">
        <v>538</v>
      </c>
      <c r="H81" s="13" t="s">
        <v>462</v>
      </c>
      <c r="I81" s="13" t="s">
        <v>539</v>
      </c>
      <c r="J81" s="13" t="s">
        <v>464</v>
      </c>
      <c r="K81" s="13" t="s">
        <v>540</v>
      </c>
      <c r="L81" s="13" t="s">
        <v>466</v>
      </c>
      <c r="M81" s="13" t="s">
        <v>541</v>
      </c>
      <c r="N81" s="13" t="s">
        <v>468</v>
      </c>
      <c r="O81" s="13" t="s">
        <v>542</v>
      </c>
      <c r="P81" s="13" t="s">
        <v>470</v>
      </c>
      <c r="Q81" s="13" t="s">
        <v>543</v>
      </c>
      <c r="R81" s="13" t="s">
        <v>471</v>
      </c>
    </row>
    <row r="82" spans="1:18" ht="15">
      <c r="A82" s="91" t="s">
        <v>581</v>
      </c>
      <c r="B82" s="80">
        <v>124867</v>
      </c>
      <c r="C82" s="91" t="s">
        <v>581</v>
      </c>
      <c r="D82" s="80">
        <v>124867</v>
      </c>
      <c r="E82" s="91" t="s">
        <v>593</v>
      </c>
      <c r="F82" s="80">
        <v>25284</v>
      </c>
      <c r="G82" s="91" t="s">
        <v>584</v>
      </c>
      <c r="H82" s="80">
        <v>6974</v>
      </c>
      <c r="I82" s="91" t="s">
        <v>574</v>
      </c>
      <c r="J82" s="80">
        <v>36654</v>
      </c>
      <c r="K82" s="91" t="s">
        <v>578</v>
      </c>
      <c r="L82" s="80">
        <v>15192</v>
      </c>
      <c r="M82" s="91" t="s">
        <v>576</v>
      </c>
      <c r="N82" s="80">
        <v>7166</v>
      </c>
      <c r="O82" s="91" t="s">
        <v>256</v>
      </c>
      <c r="P82" s="80">
        <v>6474</v>
      </c>
      <c r="Q82" s="91" t="s">
        <v>577</v>
      </c>
      <c r="R82" s="80">
        <v>1428</v>
      </c>
    </row>
    <row r="83" spans="1:18" ht="15">
      <c r="A83" s="92" t="s">
        <v>574</v>
      </c>
      <c r="B83" s="80">
        <v>36654</v>
      </c>
      <c r="C83" s="91" t="s">
        <v>594</v>
      </c>
      <c r="D83" s="80">
        <v>27529</v>
      </c>
      <c r="E83" s="91" t="s">
        <v>595</v>
      </c>
      <c r="F83" s="80">
        <v>7183</v>
      </c>
      <c r="G83" s="91" t="s">
        <v>585</v>
      </c>
      <c r="H83" s="80">
        <v>469</v>
      </c>
      <c r="I83" s="91" t="s">
        <v>587</v>
      </c>
      <c r="J83" s="80">
        <v>1867</v>
      </c>
      <c r="K83" s="91" t="s">
        <v>579</v>
      </c>
      <c r="L83" s="80">
        <v>971</v>
      </c>
      <c r="M83" s="91" t="s">
        <v>589</v>
      </c>
      <c r="N83" s="80">
        <v>644</v>
      </c>
      <c r="O83" s="91" t="s">
        <v>586</v>
      </c>
      <c r="P83" s="80">
        <v>1881</v>
      </c>
      <c r="Q83" s="91" t="s">
        <v>583</v>
      </c>
      <c r="R83" s="80">
        <v>368</v>
      </c>
    </row>
    <row r="84" spans="1:18" ht="15">
      <c r="A84" s="92" t="s">
        <v>594</v>
      </c>
      <c r="B84" s="80">
        <v>27529</v>
      </c>
      <c r="C84" s="91" t="s">
        <v>590</v>
      </c>
      <c r="D84" s="80">
        <v>13459</v>
      </c>
      <c r="E84" s="91" t="s">
        <v>588</v>
      </c>
      <c r="F84" s="80">
        <v>4375</v>
      </c>
      <c r="G84" s="91"/>
      <c r="H84" s="80"/>
      <c r="I84" s="91"/>
      <c r="J84" s="80"/>
      <c r="K84" s="91"/>
      <c r="L84" s="80"/>
      <c r="M84" s="91"/>
      <c r="N84" s="80"/>
      <c r="O84" s="91"/>
      <c r="P84" s="80"/>
      <c r="Q84" s="91"/>
      <c r="R84" s="80"/>
    </row>
    <row r="85" spans="1:18" ht="15">
      <c r="A85" s="92" t="s">
        <v>593</v>
      </c>
      <c r="B85" s="80">
        <v>25284</v>
      </c>
      <c r="C85" s="91" t="s">
        <v>596</v>
      </c>
      <c r="D85" s="80">
        <v>9587</v>
      </c>
      <c r="E85" s="91" t="s">
        <v>592</v>
      </c>
      <c r="F85" s="80">
        <v>2117</v>
      </c>
      <c r="G85" s="91"/>
      <c r="H85" s="80"/>
      <c r="I85" s="91"/>
      <c r="J85" s="80"/>
      <c r="K85" s="91"/>
      <c r="L85" s="80"/>
      <c r="M85" s="91"/>
      <c r="N85" s="80"/>
      <c r="O85" s="91"/>
      <c r="P85" s="80"/>
      <c r="Q85" s="91"/>
      <c r="R85" s="80"/>
    </row>
    <row r="86" spans="1:18" ht="15">
      <c r="A86" s="92" t="s">
        <v>578</v>
      </c>
      <c r="B86" s="80">
        <v>15192</v>
      </c>
      <c r="C86" s="91" t="s">
        <v>257</v>
      </c>
      <c r="D86" s="80">
        <v>6921</v>
      </c>
      <c r="E86" s="91" t="s">
        <v>575</v>
      </c>
      <c r="F86" s="80">
        <v>1323</v>
      </c>
      <c r="G86" s="91"/>
      <c r="H86" s="80"/>
      <c r="I86" s="91"/>
      <c r="J86" s="80"/>
      <c r="K86" s="91"/>
      <c r="L86" s="80"/>
      <c r="M86" s="91"/>
      <c r="N86" s="80"/>
      <c r="O86" s="91"/>
      <c r="P86" s="80"/>
      <c r="Q86" s="91"/>
      <c r="R86" s="80"/>
    </row>
    <row r="87" spans="1:18" ht="15">
      <c r="A87" s="92" t="s">
        <v>590</v>
      </c>
      <c r="B87" s="80">
        <v>13459</v>
      </c>
      <c r="C87" s="91" t="s">
        <v>597</v>
      </c>
      <c r="D87" s="80">
        <v>6380</v>
      </c>
      <c r="E87" s="91" t="s">
        <v>580</v>
      </c>
      <c r="F87" s="80">
        <v>145</v>
      </c>
      <c r="G87" s="91"/>
      <c r="H87" s="80"/>
      <c r="I87" s="91"/>
      <c r="J87" s="80"/>
      <c r="K87" s="91"/>
      <c r="L87" s="80"/>
      <c r="M87" s="91"/>
      <c r="N87" s="80"/>
      <c r="O87" s="91"/>
      <c r="P87" s="80"/>
      <c r="Q87" s="91"/>
      <c r="R87" s="80"/>
    </row>
    <row r="88" spans="1:18" ht="15">
      <c r="A88" s="92" t="s">
        <v>596</v>
      </c>
      <c r="B88" s="80">
        <v>9587</v>
      </c>
      <c r="C88" s="91" t="s">
        <v>591</v>
      </c>
      <c r="D88" s="80">
        <v>314</v>
      </c>
      <c r="E88" s="91"/>
      <c r="F88" s="80"/>
      <c r="G88" s="91"/>
      <c r="H88" s="80"/>
      <c r="I88" s="91"/>
      <c r="J88" s="80"/>
      <c r="K88" s="91"/>
      <c r="L88" s="80"/>
      <c r="M88" s="91"/>
      <c r="N88" s="80"/>
      <c r="O88" s="91"/>
      <c r="P88" s="80"/>
      <c r="Q88" s="91"/>
      <c r="R88" s="80"/>
    </row>
    <row r="89" spans="1:18" ht="15">
      <c r="A89" s="92" t="s">
        <v>595</v>
      </c>
      <c r="B89" s="80">
        <v>7183</v>
      </c>
      <c r="C89" s="91" t="s">
        <v>582</v>
      </c>
      <c r="D89" s="80">
        <v>196</v>
      </c>
      <c r="E89" s="91"/>
      <c r="F89" s="80"/>
      <c r="G89" s="91"/>
      <c r="H89" s="80"/>
      <c r="I89" s="91"/>
      <c r="J89" s="80"/>
      <c r="K89" s="91"/>
      <c r="L89" s="80"/>
      <c r="M89" s="91"/>
      <c r="N89" s="80"/>
      <c r="O89" s="91"/>
      <c r="P89" s="80"/>
      <c r="Q89" s="91"/>
      <c r="R89" s="80"/>
    </row>
    <row r="90" spans="1:18" ht="15">
      <c r="A90" s="92" t="s">
        <v>576</v>
      </c>
      <c r="B90" s="80">
        <v>7166</v>
      </c>
      <c r="C90" s="91"/>
      <c r="D90" s="80"/>
      <c r="E90" s="91"/>
      <c r="F90" s="80"/>
      <c r="G90" s="91"/>
      <c r="H90" s="80"/>
      <c r="I90" s="91"/>
      <c r="J90" s="80"/>
      <c r="K90" s="91"/>
      <c r="L90" s="80"/>
      <c r="M90" s="91"/>
      <c r="N90" s="80"/>
      <c r="O90" s="91"/>
      <c r="P90" s="80"/>
      <c r="Q90" s="91"/>
      <c r="R90" s="80"/>
    </row>
    <row r="91" spans="1:18" ht="15">
      <c r="A91" s="92" t="s">
        <v>584</v>
      </c>
      <c r="B91" s="80">
        <v>6974</v>
      </c>
      <c r="C91" s="91"/>
      <c r="D91" s="80"/>
      <c r="E91" s="91"/>
      <c r="F91" s="80"/>
      <c r="G91" s="91"/>
      <c r="H91" s="80"/>
      <c r="I91" s="91"/>
      <c r="J91" s="80"/>
      <c r="K91" s="91"/>
      <c r="L91" s="80"/>
      <c r="M91" s="91"/>
      <c r="N91" s="80"/>
      <c r="O91" s="91"/>
      <c r="P91" s="80"/>
      <c r="Q91" s="91"/>
      <c r="R91" s="80"/>
    </row>
    <row r="92" ht="14.4" customHeight="1"/>
  </sheetData>
  <hyperlinks>
    <hyperlink ref="A2" r:id="rId1" display="https://www.stuff.co.nz/national/politics/300585646/immigration-overhaul-government-introduces-fasttrack-to-residency-for-some-migrants--but-with-hefty-pay-requirement"/>
    <hyperlink ref="A3" r:id="rId2" display="https://nzimmigration.info/visa-query-form/?utm_source=Social+Media&amp;utm_medium=FB&amp;utm_campaign=Branding+SJ+7+May+2022"/>
    <hyperlink ref="A4" r:id="rId3" display="https://nzimmigration.info/"/>
    <hyperlink ref="A5" r:id="rId4" display="https://www.stuff.co.nz/national/immigration/300580917/woman-who-has-overstayed-in-nz-for-16-years-granted-residence-due-to-family-ties"/>
    <hyperlink ref="A6" r:id="rId5" display="https://www.stuff.co.nz/pou-tiaki/128476403/very-painful-family-split-between-nz-and-philippines-over-immigration-health-policy"/>
    <hyperlink ref="A7" r:id="rId6" display="https://twitter.com/JennyKayNZ/status/1524249856658747392"/>
    <hyperlink ref="A8" r:id="rId7" display="https://nzimmigration.info/visa-application-why-must-you-always-declare-your-previous-visa-refusals/?utm_source=Social+Media&amp;utm_medium=FB&amp;utm_campaign=+Study+Blog+SJ++10+May+2022"/>
    <hyperlink ref="A9" r:id="rId8" display="https://nzccss.org.nz/wp-content/uploads/NZCCSS-Manifesto-Tracker-May-2022.pdf"/>
    <hyperlink ref="A10" r:id="rId9" display="https://www.indianweekender.co.nz/Pages/ArticleDetails/7/19650/New-Zealand/Immigration-Rebalance-International-students-will-have-to-show-5000-for-post-st"/>
    <hyperlink ref="A11" r:id="rId10" display="https://www.indianweekender.co.nz/Pages/ArticleDetails/7/19648/New-Zealand/Immigration-re-balance-plan-Partners-of-future-work-visa-holders-to-not-get-ope"/>
    <hyperlink ref="C2" r:id="rId11" display="https://www.stuff.co.nz/national/politics/300585646/immigration-overhaul-government-introduces-fasttrack-to-residency-for-some-migrants--but-with-hefty-pay-requirement"/>
    <hyperlink ref="C3" r:id="rId12" display="https://nzccss.org.nz/wp-content/uploads/NZCCSS-Manifesto-Tracker-May-2022.pdf"/>
    <hyperlink ref="C4" r:id="rId13" display="https://www.stuff.co.nz/pou-tiaki/128476403/very-painful-family-split-between-nz-and-philippines-over-immigration-health-policy"/>
    <hyperlink ref="C5" r:id="rId14" display="https://twitter.com/JennyKayNZ/status/1524249856658747392"/>
    <hyperlink ref="C6" r:id="rId15" display="https://www.stuff.co.nz/national/immigration/300580917/woman-who-has-overstayed-in-nz-for-16-years-granted-residence-due-to-family-ties"/>
    <hyperlink ref="E2" r:id="rId16" display="https://www.stuff.co.nz/national/politics/300585646/immigration-overhaul-government-introduces-fasttrack-to-residency-for-some-migrants--but-with-hefty-pay-requirement"/>
    <hyperlink ref="E3" r:id="rId17" display="https://www.stuff.co.nz/pou-tiaki/128476403/very-painful-family-split-between-nz-and-philippines-over-immigration-health-policy"/>
    <hyperlink ref="E4" r:id="rId18" display="https://twitter.com/JennyKayNZ/status/1524249856658747392"/>
    <hyperlink ref="E5" r:id="rId19" display="https://www.stuff.co.nz/national/immigration/300580917/woman-who-has-overstayed-in-nz-for-16-years-granted-residence-due-to-family-ties"/>
    <hyperlink ref="G2" r:id="rId20" display="https://nzimmigration.info/visa-query-form/?utm_source=Social+Media&amp;utm_medium=FB&amp;utm_campaign=Branding+SJ+7+May+2022"/>
    <hyperlink ref="G3" r:id="rId21" display="https://nzimmigration.info/visa-application-why-must-you-always-declare-your-previous-visa-refusals/?utm_source=Social+Media&amp;utm_medium=FB&amp;utm_campaign=+Study+Blog+SJ++10+May+2022"/>
    <hyperlink ref="I2" r:id="rId22" display="https://www.odt.co.nz/news/national/defeated-couples-visa-heartbreak-after-application-fiasco"/>
    <hyperlink ref="K2" r:id="rId23" display="https://www.indianweekender.co.nz/Pages/ArticleDetails/7/19650/New-Zealand/Immigration-Rebalance-International-students-will-have-to-show-5000-for-post-st"/>
    <hyperlink ref="K3" r:id="rId24" display="https://www.indianweekender.co.nz/Pages/ArticleDetails/7/19623/New-Zealand/Migrants-Facebook-group-folds-over-legal-fears"/>
    <hyperlink ref="K4" r:id="rId25" display="https://www.indianweekender.co.nz/Pages/ArticleDetails/7/19630/New-Zealand/Government-expected-to-reveal-new-border-re-opening-date"/>
    <hyperlink ref="K5" r:id="rId26" display="https://www.indianweekender.co.nz/Pages/ArticleDetails/7/19648/New-Zealand/Immigration-re-balance-plan-Partners-of-future-work-visa-holders-to-not-get-ope"/>
    <hyperlink ref="O2" r:id="rId27" display="https://www.newsroom.co.nz/hold-ups-at-immigration-despite-surge-in-staff-and-expenditure"/>
    <hyperlink ref="Q2" r:id="rId28" display="https://nzimmigration.info/"/>
  </hyperlinks>
  <printOptions/>
  <pageMargins left="0.7" right="0.7" top="0.75" bottom="0.75" header="0.3" footer="0.3"/>
  <pageSetup orientation="portrait" paperSize="9"/>
  <tableParts>
    <tablePart r:id="rId34"/>
    <tablePart r:id="rId33"/>
    <tablePart r:id="rId31"/>
    <tablePart r:id="rId29"/>
    <tablePart r:id="rId32"/>
    <tablePart r:id="rId30"/>
    <tablePart r:id="rId35"/>
    <tablePart r:id="rId36"/>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35D3B-DCB9-4289-89BD-24595403F801}">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216</v>
      </c>
      <c r="P2" s="13" t="s">
        <v>217</v>
      </c>
      <c r="Q2" s="13" t="s">
        <v>218</v>
      </c>
      <c r="R2" s="13" t="s">
        <v>219</v>
      </c>
      <c r="S2" s="13" t="s">
        <v>220</v>
      </c>
      <c r="T2" s="13" t="s">
        <v>221</v>
      </c>
      <c r="U2" s="13" t="s">
        <v>222</v>
      </c>
      <c r="V2" s="13" t="s">
        <v>223</v>
      </c>
      <c r="W2" s="13" t="s">
        <v>224</v>
      </c>
      <c r="X2" s="13" t="s">
        <v>225</v>
      </c>
      <c r="Y2" s="13" t="s">
        <v>226</v>
      </c>
      <c r="Z2" s="13" t="s">
        <v>227</v>
      </c>
      <c r="AA2" s="13" t="s">
        <v>228</v>
      </c>
      <c r="AB2" s="13" t="s">
        <v>229</v>
      </c>
      <c r="AC2" s="13" t="s">
        <v>230</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247</v>
      </c>
      <c r="AU2" s="13" t="s">
        <v>248</v>
      </c>
      <c r="AV2" s="13" t="s">
        <v>249</v>
      </c>
      <c r="AW2" s="13" t="s">
        <v>250</v>
      </c>
      <c r="AX2" s="13" t="s">
        <v>251</v>
      </c>
      <c r="AY2" s="13" t="s">
        <v>252</v>
      </c>
      <c r="AZ2" s="13" t="s">
        <v>253</v>
      </c>
      <c r="BA2" s="13" t="s">
        <v>254</v>
      </c>
      <c r="BB2" s="13" t="s">
        <v>255</v>
      </c>
      <c r="BC2" t="s">
        <v>313</v>
      </c>
      <c r="BD2" s="13" t="s">
        <v>331</v>
      </c>
      <c r="BE2" s="13" t="s">
        <v>332</v>
      </c>
      <c r="BF2" s="54" t="s">
        <v>408</v>
      </c>
      <c r="BG2" s="54" t="s">
        <v>409</v>
      </c>
      <c r="BH2" s="54" t="s">
        <v>410</v>
      </c>
      <c r="BI2" s="54" t="s">
        <v>411</v>
      </c>
      <c r="BJ2" s="54" t="s">
        <v>412</v>
      </c>
      <c r="BK2" s="54" t="s">
        <v>413</v>
      </c>
      <c r="BL2" s="54" t="s">
        <v>414</v>
      </c>
      <c r="BM2" s="54" t="s">
        <v>415</v>
      </c>
      <c r="BN2" s="54" t="s">
        <v>416</v>
      </c>
    </row>
    <row r="3" spans="1:66" ht="15" customHeight="1">
      <c r="A3" s="65" t="s">
        <v>586</v>
      </c>
      <c r="B3" s="65" t="s">
        <v>256</v>
      </c>
      <c r="C3" s="66"/>
      <c r="D3" s="67"/>
      <c r="E3" s="68"/>
      <c r="F3" s="69"/>
      <c r="G3" s="66"/>
      <c r="H3" s="70"/>
      <c r="I3" s="71"/>
      <c r="J3" s="71"/>
      <c r="K3" s="35" t="s">
        <v>65</v>
      </c>
      <c r="L3" s="72">
        <v>3</v>
      </c>
      <c r="M3" s="72"/>
      <c r="N3" s="73"/>
      <c r="O3" s="80" t="s">
        <v>260</v>
      </c>
      <c r="P3" s="82">
        <v>44689.814479166664</v>
      </c>
      <c r="Q3" s="80" t="s">
        <v>619</v>
      </c>
      <c r="R3" s="85" t="str">
        <f>HYPERLINK("https://www.newsroom.co.nz/hold-ups-at-immigration-despite-surge-in-staff-and-expenditure")</f>
        <v>https://www.newsroom.co.nz/hold-ups-at-immigration-despite-surge-in-staff-and-expenditure</v>
      </c>
      <c r="S3" s="80" t="s">
        <v>264</v>
      </c>
      <c r="T3" s="80"/>
      <c r="U3" s="80"/>
      <c r="V3" s="85" t="str">
        <f>HYPERLINK("https://pbs.twimg.com/profile_images/1293905861744582658/xKDTYoX__normal.jpg")</f>
        <v>https://pbs.twimg.com/profile_images/1293905861744582658/xKDTYoX__normal.jpg</v>
      </c>
      <c r="W3" s="82">
        <v>44689.814479166664</v>
      </c>
      <c r="X3" s="87">
        <v>44689</v>
      </c>
      <c r="Y3" s="89" t="s">
        <v>668</v>
      </c>
      <c r="Z3" s="85" t="str">
        <f>HYPERLINK("https://twitter.com/bullxbear/status/1523385460218757120")</f>
        <v>https://twitter.com/bullxbear/status/1523385460218757120</v>
      </c>
      <c r="AA3" s="80"/>
      <c r="AB3" s="80"/>
      <c r="AC3" s="89" t="s">
        <v>698</v>
      </c>
      <c r="AD3" s="89" t="s">
        <v>702</v>
      </c>
      <c r="AE3" s="80" t="b">
        <v>0</v>
      </c>
      <c r="AF3" s="80">
        <v>17</v>
      </c>
      <c r="AG3" s="89" t="s">
        <v>267</v>
      </c>
      <c r="AH3" s="80" t="b">
        <v>0</v>
      </c>
      <c r="AI3" s="80" t="s">
        <v>268</v>
      </c>
      <c r="AJ3" s="80"/>
      <c r="AK3" s="89" t="s">
        <v>266</v>
      </c>
      <c r="AL3" s="80" t="b">
        <v>0</v>
      </c>
      <c r="AM3" s="80">
        <v>1</v>
      </c>
      <c r="AN3" s="89" t="s">
        <v>266</v>
      </c>
      <c r="AO3" s="89" t="s">
        <v>272</v>
      </c>
      <c r="AP3" s="80" t="b">
        <v>0</v>
      </c>
      <c r="AQ3" s="89" t="s">
        <v>702</v>
      </c>
      <c r="AR3" s="80" t="s">
        <v>218</v>
      </c>
      <c r="AS3" s="80">
        <v>0</v>
      </c>
      <c r="AT3" s="80">
        <v>0</v>
      </c>
      <c r="AU3" s="80"/>
      <c r="AV3" s="80"/>
      <c r="AW3" s="80"/>
      <c r="AX3" s="80"/>
      <c r="AY3" s="80"/>
      <c r="AZ3" s="80"/>
      <c r="BA3" s="80"/>
      <c r="BB3" s="80"/>
      <c r="BC3">
        <v>1</v>
      </c>
      <c r="BD3" s="80" t="str">
        <f>REPLACE(INDEX(GroupVertices[Group],MATCH(Edges37[[#This Row],[Vertex 1]],GroupVertices[Vertex],0)),1,1,"")</f>
        <v>7</v>
      </c>
      <c r="BE3" s="80" t="str">
        <f>REPLACE(INDEX(GroupVertices[Group],MATCH(Edges37[[#This Row],[Vertex 2]],GroupVertices[Vertex],0)),1,1,"")</f>
        <v>7</v>
      </c>
      <c r="BF3" s="49">
        <v>0</v>
      </c>
      <c r="BG3" s="50">
        <v>0</v>
      </c>
      <c r="BH3" s="49">
        <v>0</v>
      </c>
      <c r="BI3" s="50">
        <v>0</v>
      </c>
      <c r="BJ3" s="49">
        <v>0</v>
      </c>
      <c r="BK3" s="50">
        <v>0</v>
      </c>
      <c r="BL3" s="49">
        <v>15</v>
      </c>
      <c r="BM3" s="50">
        <v>100</v>
      </c>
      <c r="BN3" s="49">
        <v>15</v>
      </c>
    </row>
    <row r="4" spans="1:66" ht="15" customHeight="1">
      <c r="A4" s="65" t="s">
        <v>574</v>
      </c>
      <c r="B4" s="65" t="s">
        <v>587</v>
      </c>
      <c r="C4" s="66"/>
      <c r="D4" s="67"/>
      <c r="E4" s="66"/>
      <c r="F4" s="69"/>
      <c r="G4" s="66"/>
      <c r="H4" s="70"/>
      <c r="I4" s="71"/>
      <c r="J4" s="71"/>
      <c r="K4" s="35" t="s">
        <v>65</v>
      </c>
      <c r="L4" s="72">
        <v>4</v>
      </c>
      <c r="M4" s="72"/>
      <c r="N4" s="73"/>
      <c r="O4" s="81" t="s">
        <v>260</v>
      </c>
      <c r="P4" s="83">
        <v>44691.0825</v>
      </c>
      <c r="Q4" s="81" t="s">
        <v>598</v>
      </c>
      <c r="R4" s="84" t="str">
        <f>HYPERLINK("https://www.odt.co.nz/news/national/defeated-couples-visa-heartbreak-after-application-fiasco")</f>
        <v>https://www.odt.co.nz/news/national/defeated-couples-visa-heartbreak-after-application-fiasco</v>
      </c>
      <c r="S4" s="81" t="s">
        <v>264</v>
      </c>
      <c r="T4" s="86" t="s">
        <v>623</v>
      </c>
      <c r="U4" s="81"/>
      <c r="V4" s="84" t="str">
        <f>HYPERLINK("https://pbs.twimg.com/profile_images/767518424641613824/rWkNOlq5_normal.jpg")</f>
        <v>https://pbs.twimg.com/profile_images/767518424641613824/rWkNOlq5_normal.jpg</v>
      </c>
      <c r="W4" s="83">
        <v>44691.0825</v>
      </c>
      <c r="X4" s="88">
        <v>44691</v>
      </c>
      <c r="Y4" s="86" t="s">
        <v>640</v>
      </c>
      <c r="Z4" s="84" t="str">
        <f>HYPERLINK("https://twitter.com/tomboyoptional/status/1523844973837570048")</f>
        <v>https://twitter.com/tomboyoptional/status/1523844973837570048</v>
      </c>
      <c r="AA4" s="81"/>
      <c r="AB4" s="81"/>
      <c r="AC4" s="86" t="s">
        <v>669</v>
      </c>
      <c r="AD4" s="81"/>
      <c r="AE4" s="81" t="b">
        <v>0</v>
      </c>
      <c r="AF4" s="81">
        <v>0</v>
      </c>
      <c r="AG4" s="86" t="s">
        <v>703</v>
      </c>
      <c r="AH4" s="81" t="b">
        <v>0</v>
      </c>
      <c r="AI4" s="81" t="s">
        <v>268</v>
      </c>
      <c r="AJ4" s="81"/>
      <c r="AK4" s="86" t="s">
        <v>266</v>
      </c>
      <c r="AL4" s="81" t="b">
        <v>0</v>
      </c>
      <c r="AM4" s="81">
        <v>0</v>
      </c>
      <c r="AN4" s="86" t="s">
        <v>266</v>
      </c>
      <c r="AO4" s="86" t="s">
        <v>269</v>
      </c>
      <c r="AP4" s="81" t="b">
        <v>0</v>
      </c>
      <c r="AQ4" s="86" t="s">
        <v>669</v>
      </c>
      <c r="AR4" s="81" t="s">
        <v>218</v>
      </c>
      <c r="AS4" s="81">
        <v>0</v>
      </c>
      <c r="AT4" s="81">
        <v>0</v>
      </c>
      <c r="AU4" s="81"/>
      <c r="AV4" s="81"/>
      <c r="AW4" s="81"/>
      <c r="AX4" s="81"/>
      <c r="AY4" s="81"/>
      <c r="AZ4" s="81"/>
      <c r="BA4" s="81"/>
      <c r="BB4" s="81"/>
      <c r="BC4" s="78">
        <v>1</v>
      </c>
      <c r="BD4" s="80" t="str">
        <f>REPLACE(INDEX(GroupVertices[Group],MATCH(Edges37[[#This Row],[Vertex 1]],GroupVertices[Vertex],0)),1,1,"")</f>
        <v>4</v>
      </c>
      <c r="BE4" s="80" t="str">
        <f>REPLACE(INDEX(GroupVertices[Group],MATCH(Edges37[[#This Row],[Vertex 2]],GroupVertices[Vertex],0)),1,1,"")</f>
        <v>4</v>
      </c>
      <c r="BF4" s="49">
        <v>0</v>
      </c>
      <c r="BG4" s="50">
        <v>0</v>
      </c>
      <c r="BH4" s="49">
        <v>0</v>
      </c>
      <c r="BI4" s="50">
        <v>0</v>
      </c>
      <c r="BJ4" s="49">
        <v>0</v>
      </c>
      <c r="BK4" s="50">
        <v>0</v>
      </c>
      <c r="BL4" s="49">
        <v>27</v>
      </c>
      <c r="BM4" s="50">
        <v>100</v>
      </c>
      <c r="BN4" s="49">
        <v>27</v>
      </c>
    </row>
    <row r="5" spans="1:66" ht="15">
      <c r="A5" s="65" t="s">
        <v>575</v>
      </c>
      <c r="B5" s="65" t="s">
        <v>588</v>
      </c>
      <c r="C5" s="66"/>
      <c r="D5" s="67"/>
      <c r="E5" s="66"/>
      <c r="F5" s="69"/>
      <c r="G5" s="66"/>
      <c r="H5" s="70"/>
      <c r="I5" s="71"/>
      <c r="J5" s="71"/>
      <c r="K5" s="35" t="s">
        <v>65</v>
      </c>
      <c r="L5" s="72">
        <v>5</v>
      </c>
      <c r="M5" s="72"/>
      <c r="N5" s="73"/>
      <c r="O5" s="81" t="s">
        <v>260</v>
      </c>
      <c r="P5" s="83">
        <v>44691.909837962965</v>
      </c>
      <c r="Q5" s="81" t="s">
        <v>599</v>
      </c>
      <c r="R5" s="81"/>
      <c r="S5" s="81"/>
      <c r="T5" s="81"/>
      <c r="U5" s="81"/>
      <c r="V5" s="84" t="str">
        <f>HYPERLINK("https://pbs.twimg.com/profile_images/692527351838724096/q9dGroLl_normal.jpg")</f>
        <v>https://pbs.twimg.com/profile_images/692527351838724096/q9dGroLl_normal.jpg</v>
      </c>
      <c r="W5" s="83">
        <v>44691.909837962965</v>
      </c>
      <c r="X5" s="88">
        <v>44691</v>
      </c>
      <c r="Y5" s="86" t="s">
        <v>641</v>
      </c>
      <c r="Z5" s="84" t="str">
        <f>HYPERLINK("https://twitter.com/batdoyle/status/1524144791302598656")</f>
        <v>https://twitter.com/batdoyle/status/1524144791302598656</v>
      </c>
      <c r="AA5" s="81"/>
      <c r="AB5" s="81"/>
      <c r="AC5" s="86" t="s">
        <v>670</v>
      </c>
      <c r="AD5" s="81"/>
      <c r="AE5" s="81" t="b">
        <v>0</v>
      </c>
      <c r="AF5" s="81">
        <v>0</v>
      </c>
      <c r="AG5" s="86" t="s">
        <v>704</v>
      </c>
      <c r="AH5" s="81" t="b">
        <v>0</v>
      </c>
      <c r="AI5" s="81" t="s">
        <v>268</v>
      </c>
      <c r="AJ5" s="81"/>
      <c r="AK5" s="86" t="s">
        <v>266</v>
      </c>
      <c r="AL5" s="81" t="b">
        <v>0</v>
      </c>
      <c r="AM5" s="81">
        <v>0</v>
      </c>
      <c r="AN5" s="86" t="s">
        <v>266</v>
      </c>
      <c r="AO5" s="86" t="s">
        <v>269</v>
      </c>
      <c r="AP5" s="81" t="b">
        <v>0</v>
      </c>
      <c r="AQ5" s="86" t="s">
        <v>670</v>
      </c>
      <c r="AR5" s="81" t="s">
        <v>218</v>
      </c>
      <c r="AS5" s="81">
        <v>0</v>
      </c>
      <c r="AT5" s="81">
        <v>0</v>
      </c>
      <c r="AU5" s="81"/>
      <c r="AV5" s="81"/>
      <c r="AW5" s="81"/>
      <c r="AX5" s="81"/>
      <c r="AY5" s="81"/>
      <c r="AZ5" s="81"/>
      <c r="BA5" s="81"/>
      <c r="BB5" s="81"/>
      <c r="BC5" s="78">
        <v>1</v>
      </c>
      <c r="BD5" s="80" t="str">
        <f>REPLACE(INDEX(GroupVertices[Group],MATCH(Edges37[[#This Row],[Vertex 1]],GroupVertices[Vertex],0)),1,1,"")</f>
        <v>2</v>
      </c>
      <c r="BE5" s="80" t="str">
        <f>REPLACE(INDEX(GroupVertices[Group],MATCH(Edges37[[#This Row],[Vertex 2]],GroupVertices[Vertex],0)),1,1,"")</f>
        <v>2</v>
      </c>
      <c r="BF5" s="49">
        <v>1</v>
      </c>
      <c r="BG5" s="50">
        <v>2.7027027027027026</v>
      </c>
      <c r="BH5" s="49">
        <v>1</v>
      </c>
      <c r="BI5" s="50">
        <v>2.7027027027027026</v>
      </c>
      <c r="BJ5" s="49">
        <v>0</v>
      </c>
      <c r="BK5" s="50">
        <v>0</v>
      </c>
      <c r="BL5" s="49">
        <v>35</v>
      </c>
      <c r="BM5" s="50">
        <v>94.5945945945946</v>
      </c>
      <c r="BN5" s="49">
        <v>37</v>
      </c>
    </row>
    <row r="6" spans="1:66" ht="15">
      <c r="A6" s="65" t="s">
        <v>576</v>
      </c>
      <c r="B6" s="65" t="s">
        <v>589</v>
      </c>
      <c r="C6" s="66"/>
      <c r="D6" s="67"/>
      <c r="E6" s="66"/>
      <c r="F6" s="69"/>
      <c r="G6" s="66"/>
      <c r="H6" s="70"/>
      <c r="I6" s="71"/>
      <c r="J6" s="71"/>
      <c r="K6" s="35" t="s">
        <v>65</v>
      </c>
      <c r="L6" s="72">
        <v>6</v>
      </c>
      <c r="M6" s="72"/>
      <c r="N6" s="73"/>
      <c r="O6" s="81" t="s">
        <v>260</v>
      </c>
      <c r="P6" s="83">
        <v>44692.09730324074</v>
      </c>
      <c r="Q6" s="81" t="s">
        <v>600</v>
      </c>
      <c r="R6" s="81"/>
      <c r="S6" s="81"/>
      <c r="T6" s="81"/>
      <c r="U6" s="81"/>
      <c r="V6" s="84" t="str">
        <f>HYPERLINK("https://pbs.twimg.com/profile_images/2623788199/ozkgloy3owdivuiclfub_normal.png")</f>
        <v>https://pbs.twimg.com/profile_images/2623788199/ozkgloy3owdivuiclfub_normal.png</v>
      </c>
      <c r="W6" s="83">
        <v>44692.09730324074</v>
      </c>
      <c r="X6" s="88">
        <v>44692</v>
      </c>
      <c r="Y6" s="86" t="s">
        <v>642</v>
      </c>
      <c r="Z6" s="84" t="str">
        <f>HYPERLINK("https://twitter.com/mariojunior/status/1524212727773753345")</f>
        <v>https://twitter.com/mariojunior/status/1524212727773753345</v>
      </c>
      <c r="AA6" s="81"/>
      <c r="AB6" s="81"/>
      <c r="AC6" s="86" t="s">
        <v>671</v>
      </c>
      <c r="AD6" s="86" t="s">
        <v>699</v>
      </c>
      <c r="AE6" s="81" t="b">
        <v>0</v>
      </c>
      <c r="AF6" s="81">
        <v>0</v>
      </c>
      <c r="AG6" s="86" t="s">
        <v>705</v>
      </c>
      <c r="AH6" s="81" t="b">
        <v>0</v>
      </c>
      <c r="AI6" s="81" t="s">
        <v>268</v>
      </c>
      <c r="AJ6" s="81"/>
      <c r="AK6" s="86" t="s">
        <v>266</v>
      </c>
      <c r="AL6" s="81" t="b">
        <v>0</v>
      </c>
      <c r="AM6" s="81">
        <v>0</v>
      </c>
      <c r="AN6" s="86" t="s">
        <v>266</v>
      </c>
      <c r="AO6" s="86" t="s">
        <v>270</v>
      </c>
      <c r="AP6" s="81" t="b">
        <v>0</v>
      </c>
      <c r="AQ6" s="86" t="s">
        <v>699</v>
      </c>
      <c r="AR6" s="81" t="s">
        <v>218</v>
      </c>
      <c r="AS6" s="81">
        <v>0</v>
      </c>
      <c r="AT6" s="81">
        <v>0</v>
      </c>
      <c r="AU6" s="81"/>
      <c r="AV6" s="81"/>
      <c r="AW6" s="81"/>
      <c r="AX6" s="81"/>
      <c r="AY6" s="81"/>
      <c r="AZ6" s="81"/>
      <c r="BA6" s="81"/>
      <c r="BB6" s="81"/>
      <c r="BC6" s="78">
        <v>1</v>
      </c>
      <c r="BD6" s="80" t="str">
        <f>REPLACE(INDEX(GroupVertices[Group],MATCH(Edges37[[#This Row],[Vertex 1]],GroupVertices[Vertex],0)),1,1,"")</f>
        <v>6</v>
      </c>
      <c r="BE6" s="80" t="str">
        <f>REPLACE(INDEX(GroupVertices[Group],MATCH(Edges37[[#This Row],[Vertex 2]],GroupVertices[Vertex],0)),1,1,"")</f>
        <v>6</v>
      </c>
      <c r="BF6" s="49">
        <v>1</v>
      </c>
      <c r="BG6" s="50">
        <v>3.3333333333333335</v>
      </c>
      <c r="BH6" s="49">
        <v>2</v>
      </c>
      <c r="BI6" s="50">
        <v>6.666666666666667</v>
      </c>
      <c r="BJ6" s="49">
        <v>0</v>
      </c>
      <c r="BK6" s="50">
        <v>0</v>
      </c>
      <c r="BL6" s="49">
        <v>27</v>
      </c>
      <c r="BM6" s="50">
        <v>90</v>
      </c>
      <c r="BN6" s="49">
        <v>30</v>
      </c>
    </row>
    <row r="7" spans="1:66" ht="15">
      <c r="A7" s="65" t="s">
        <v>577</v>
      </c>
      <c r="B7" s="65" t="s">
        <v>577</v>
      </c>
      <c r="C7" s="66"/>
      <c r="D7" s="67"/>
      <c r="E7" s="66"/>
      <c r="F7" s="69"/>
      <c r="G7" s="66"/>
      <c r="H7" s="70"/>
      <c r="I7" s="71"/>
      <c r="J7" s="71"/>
      <c r="K7" s="35" t="s">
        <v>65</v>
      </c>
      <c r="L7" s="72">
        <v>7</v>
      </c>
      <c r="M7" s="72"/>
      <c r="N7" s="73"/>
      <c r="O7" s="81" t="s">
        <v>218</v>
      </c>
      <c r="P7" s="83">
        <v>44693.99837962963</v>
      </c>
      <c r="Q7" s="81" t="s">
        <v>601</v>
      </c>
      <c r="R7" s="81"/>
      <c r="S7" s="81"/>
      <c r="T7" s="86" t="s">
        <v>624</v>
      </c>
      <c r="U7" s="81"/>
      <c r="V7" s="84" t="str">
        <f>HYPERLINK("https://pbs.twimg.com/profile_images/1489363320687583237/DentiMES_normal.jpg")</f>
        <v>https://pbs.twimg.com/profile_images/1489363320687583237/DentiMES_normal.jpg</v>
      </c>
      <c r="W7" s="83">
        <v>44693.99837962963</v>
      </c>
      <c r="X7" s="88">
        <v>44693</v>
      </c>
      <c r="Y7" s="86" t="s">
        <v>643</v>
      </c>
      <c r="Z7" s="84" t="str">
        <f>HYPERLINK("https://twitter.com/tramorabroad/status/1524901656751579142")</f>
        <v>https://twitter.com/tramorabroad/status/1524901656751579142</v>
      </c>
      <c r="AA7" s="81"/>
      <c r="AB7" s="81"/>
      <c r="AC7" s="86" t="s">
        <v>672</v>
      </c>
      <c r="AD7" s="86" t="s">
        <v>700</v>
      </c>
      <c r="AE7" s="81" t="b">
        <v>0</v>
      </c>
      <c r="AF7" s="81">
        <v>2</v>
      </c>
      <c r="AG7" s="86" t="s">
        <v>706</v>
      </c>
      <c r="AH7" s="81" t="b">
        <v>0</v>
      </c>
      <c r="AI7" s="81" t="s">
        <v>268</v>
      </c>
      <c r="AJ7" s="81"/>
      <c r="AK7" s="86" t="s">
        <v>266</v>
      </c>
      <c r="AL7" s="81" t="b">
        <v>0</v>
      </c>
      <c r="AM7" s="81">
        <v>0</v>
      </c>
      <c r="AN7" s="86" t="s">
        <v>266</v>
      </c>
      <c r="AO7" s="86" t="s">
        <v>270</v>
      </c>
      <c r="AP7" s="81" t="b">
        <v>0</v>
      </c>
      <c r="AQ7" s="86" t="s">
        <v>700</v>
      </c>
      <c r="AR7" s="81" t="s">
        <v>218</v>
      </c>
      <c r="AS7" s="81">
        <v>0</v>
      </c>
      <c r="AT7" s="81">
        <v>0</v>
      </c>
      <c r="AU7" s="81"/>
      <c r="AV7" s="81"/>
      <c r="AW7" s="81"/>
      <c r="AX7" s="81"/>
      <c r="AY7" s="81"/>
      <c r="AZ7" s="81"/>
      <c r="BA7" s="81"/>
      <c r="BB7" s="81"/>
      <c r="BC7" s="78">
        <v>1</v>
      </c>
      <c r="BD7" s="80" t="str">
        <f>REPLACE(INDEX(GroupVertices[Group],MATCH(Edges37[[#This Row],[Vertex 1]],GroupVertices[Vertex],0)),1,1,"")</f>
        <v>8</v>
      </c>
      <c r="BE7" s="80" t="str">
        <f>REPLACE(INDEX(GroupVertices[Group],MATCH(Edges37[[#This Row],[Vertex 2]],GroupVertices[Vertex],0)),1,1,"")</f>
        <v>8</v>
      </c>
      <c r="BF7" s="49">
        <v>1</v>
      </c>
      <c r="BG7" s="50">
        <v>2.7027027027027026</v>
      </c>
      <c r="BH7" s="49">
        <v>1</v>
      </c>
      <c r="BI7" s="50">
        <v>2.7027027027027026</v>
      </c>
      <c r="BJ7" s="49">
        <v>0</v>
      </c>
      <c r="BK7" s="50">
        <v>0</v>
      </c>
      <c r="BL7" s="49">
        <v>35</v>
      </c>
      <c r="BM7" s="50">
        <v>94.5945945945946</v>
      </c>
      <c r="BN7" s="49">
        <v>37</v>
      </c>
    </row>
    <row r="8" spans="1:66" ht="15">
      <c r="A8" s="65" t="s">
        <v>578</v>
      </c>
      <c r="B8" s="65" t="s">
        <v>578</v>
      </c>
      <c r="C8" s="66"/>
      <c r="D8" s="67"/>
      <c r="E8" s="66"/>
      <c r="F8" s="69"/>
      <c r="G8" s="66"/>
      <c r="H8" s="70"/>
      <c r="I8" s="71"/>
      <c r="J8" s="71"/>
      <c r="K8" s="35" t="s">
        <v>65</v>
      </c>
      <c r="L8" s="72">
        <v>8</v>
      </c>
      <c r="M8" s="72"/>
      <c r="N8" s="73"/>
      <c r="O8" s="81" t="s">
        <v>218</v>
      </c>
      <c r="P8" s="83">
        <v>44690.083402777775</v>
      </c>
      <c r="Q8" s="81" t="s">
        <v>602</v>
      </c>
      <c r="R8" s="84" t="str">
        <f>HYPERLINK("https://www.indianweekender.co.nz/Pages/ArticleDetails/7/19623/New-Zealand/Migrants-Facebook-group-folds-over-legal-fears")</f>
        <v>https://www.indianweekender.co.nz/Pages/ArticleDetails/7/19623/New-Zealand/Migrants-Facebook-group-folds-over-legal-fears</v>
      </c>
      <c r="S8" s="81" t="s">
        <v>264</v>
      </c>
      <c r="T8" s="86" t="s">
        <v>625</v>
      </c>
      <c r="U8" s="81"/>
      <c r="V8" s="84" t="str">
        <f>HYPERLINK("https://pbs.twimg.com/profile_images/1261271976728903681/tiry95eM_normal.jpg")</f>
        <v>https://pbs.twimg.com/profile_images/1261271976728903681/tiry95eM_normal.jpg</v>
      </c>
      <c r="W8" s="83">
        <v>44690.083402777775</v>
      </c>
      <c r="X8" s="88">
        <v>44690</v>
      </c>
      <c r="Y8" s="86" t="s">
        <v>644</v>
      </c>
      <c r="Z8" s="84" t="str">
        <f>HYPERLINK("https://twitter.com/indianweekender/status/1523482914993827842")</f>
        <v>https://twitter.com/indianweekender/status/1523482914993827842</v>
      </c>
      <c r="AA8" s="81"/>
      <c r="AB8" s="81"/>
      <c r="AC8" s="86" t="s">
        <v>673</v>
      </c>
      <c r="AD8" s="81"/>
      <c r="AE8" s="81" t="b">
        <v>0</v>
      </c>
      <c r="AF8" s="81">
        <v>0</v>
      </c>
      <c r="AG8" s="86" t="s">
        <v>266</v>
      </c>
      <c r="AH8" s="81" t="b">
        <v>0</v>
      </c>
      <c r="AI8" s="81" t="s">
        <v>268</v>
      </c>
      <c r="AJ8" s="81"/>
      <c r="AK8" s="86" t="s">
        <v>266</v>
      </c>
      <c r="AL8" s="81" t="b">
        <v>0</v>
      </c>
      <c r="AM8" s="81">
        <v>0</v>
      </c>
      <c r="AN8" s="86" t="s">
        <v>266</v>
      </c>
      <c r="AO8" s="86" t="s">
        <v>273</v>
      </c>
      <c r="AP8" s="81" t="b">
        <v>0</v>
      </c>
      <c r="AQ8" s="86" t="s">
        <v>673</v>
      </c>
      <c r="AR8" s="81" t="s">
        <v>218</v>
      </c>
      <c r="AS8" s="81">
        <v>0</v>
      </c>
      <c r="AT8" s="81">
        <v>0</v>
      </c>
      <c r="AU8" s="81"/>
      <c r="AV8" s="81"/>
      <c r="AW8" s="81"/>
      <c r="AX8" s="81"/>
      <c r="AY8" s="81"/>
      <c r="AZ8" s="81"/>
      <c r="BA8" s="81"/>
      <c r="BB8" s="81"/>
      <c r="BC8" s="78">
        <v>7</v>
      </c>
      <c r="BD8" s="80" t="str">
        <f>REPLACE(INDEX(GroupVertices[Group],MATCH(Edges37[[#This Row],[Vertex 1]],GroupVertices[Vertex],0)),1,1,"")</f>
        <v>5</v>
      </c>
      <c r="BE8" s="80" t="str">
        <f>REPLACE(INDEX(GroupVertices[Group],MATCH(Edges37[[#This Row],[Vertex 2]],GroupVertices[Vertex],0)),1,1,"")</f>
        <v>5</v>
      </c>
      <c r="BF8" s="49">
        <v>2</v>
      </c>
      <c r="BG8" s="50">
        <v>5.714285714285714</v>
      </c>
      <c r="BH8" s="49">
        <v>2</v>
      </c>
      <c r="BI8" s="50">
        <v>5.714285714285714</v>
      </c>
      <c r="BJ8" s="49">
        <v>0</v>
      </c>
      <c r="BK8" s="50">
        <v>0</v>
      </c>
      <c r="BL8" s="49">
        <v>31</v>
      </c>
      <c r="BM8" s="50">
        <v>88.57142857142857</v>
      </c>
      <c r="BN8" s="49">
        <v>35</v>
      </c>
    </row>
    <row r="9" spans="1:66" ht="15">
      <c r="A9" s="65" t="s">
        <v>578</v>
      </c>
      <c r="B9" s="65" t="s">
        <v>578</v>
      </c>
      <c r="C9" s="66"/>
      <c r="D9" s="67"/>
      <c r="E9" s="66"/>
      <c r="F9" s="69"/>
      <c r="G9" s="66"/>
      <c r="H9" s="70"/>
      <c r="I9" s="71"/>
      <c r="J9" s="71"/>
      <c r="K9" s="35" t="s">
        <v>65</v>
      </c>
      <c r="L9" s="72">
        <v>9</v>
      </c>
      <c r="M9" s="72"/>
      <c r="N9" s="73"/>
      <c r="O9" s="81" t="s">
        <v>218</v>
      </c>
      <c r="P9" s="83">
        <v>44691.13527777778</v>
      </c>
      <c r="Q9" s="81" t="s">
        <v>603</v>
      </c>
      <c r="R9" s="84" t="str">
        <f>HYPERLINK("https://www.indianweekender.co.nz/Pages/ArticleDetails/7/19630/New-Zealand/Government-expected-to-reveal-new-border-re-opening-date")</f>
        <v>https://www.indianweekender.co.nz/Pages/ArticleDetails/7/19630/New-Zealand/Government-expected-to-reveal-new-border-re-opening-date</v>
      </c>
      <c r="S9" s="81" t="s">
        <v>264</v>
      </c>
      <c r="T9" s="86" t="s">
        <v>626</v>
      </c>
      <c r="U9" s="84" t="str">
        <f>HYPERLINK("https://pbs.twimg.com/media/FSXaUwqWQAACekf.jpg")</f>
        <v>https://pbs.twimg.com/media/FSXaUwqWQAACekf.jpg</v>
      </c>
      <c r="V9" s="84" t="str">
        <f>HYPERLINK("https://pbs.twimg.com/media/FSXaUwqWQAACekf.jpg")</f>
        <v>https://pbs.twimg.com/media/FSXaUwqWQAACekf.jpg</v>
      </c>
      <c r="W9" s="83">
        <v>44691.13527777778</v>
      </c>
      <c r="X9" s="88">
        <v>44691</v>
      </c>
      <c r="Y9" s="86" t="s">
        <v>645</v>
      </c>
      <c r="Z9" s="84" t="str">
        <f>HYPERLINK("https://twitter.com/indianweekender/status/1523864102195679232")</f>
        <v>https://twitter.com/indianweekender/status/1523864102195679232</v>
      </c>
      <c r="AA9" s="81"/>
      <c r="AB9" s="81"/>
      <c r="AC9" s="86" t="s">
        <v>674</v>
      </c>
      <c r="AD9" s="81"/>
      <c r="AE9" s="81" t="b">
        <v>0</v>
      </c>
      <c r="AF9" s="81">
        <v>3</v>
      </c>
      <c r="AG9" s="86" t="s">
        <v>266</v>
      </c>
      <c r="AH9" s="81" t="b">
        <v>0</v>
      </c>
      <c r="AI9" s="81" t="s">
        <v>268</v>
      </c>
      <c r="AJ9" s="81"/>
      <c r="AK9" s="86" t="s">
        <v>266</v>
      </c>
      <c r="AL9" s="81" t="b">
        <v>0</v>
      </c>
      <c r="AM9" s="81">
        <v>0</v>
      </c>
      <c r="AN9" s="86" t="s">
        <v>266</v>
      </c>
      <c r="AO9" s="86" t="s">
        <v>273</v>
      </c>
      <c r="AP9" s="81" t="b">
        <v>0</v>
      </c>
      <c r="AQ9" s="86" t="s">
        <v>674</v>
      </c>
      <c r="AR9" s="81" t="s">
        <v>218</v>
      </c>
      <c r="AS9" s="81">
        <v>0</v>
      </c>
      <c r="AT9" s="81">
        <v>0</v>
      </c>
      <c r="AU9" s="81"/>
      <c r="AV9" s="81"/>
      <c r="AW9" s="81"/>
      <c r="AX9" s="81"/>
      <c r="AY9" s="81"/>
      <c r="AZ9" s="81"/>
      <c r="BA9" s="81"/>
      <c r="BB9" s="81"/>
      <c r="BC9" s="78">
        <v>7</v>
      </c>
      <c r="BD9" s="80" t="str">
        <f>REPLACE(INDEX(GroupVertices[Group],MATCH(Edges37[[#This Row],[Vertex 1]],GroupVertices[Vertex],0)),1,1,"")</f>
        <v>5</v>
      </c>
      <c r="BE9" s="80" t="str">
        <f>REPLACE(INDEX(GroupVertices[Group],MATCH(Edges37[[#This Row],[Vertex 2]],GroupVertices[Vertex],0)),1,1,"")</f>
        <v>5</v>
      </c>
      <c r="BF9" s="49">
        <v>1</v>
      </c>
      <c r="BG9" s="50">
        <v>4.761904761904762</v>
      </c>
      <c r="BH9" s="49">
        <v>1</v>
      </c>
      <c r="BI9" s="50">
        <v>4.761904761904762</v>
      </c>
      <c r="BJ9" s="49">
        <v>0</v>
      </c>
      <c r="BK9" s="50">
        <v>0</v>
      </c>
      <c r="BL9" s="49">
        <v>19</v>
      </c>
      <c r="BM9" s="50">
        <v>90.47619047619048</v>
      </c>
      <c r="BN9" s="49">
        <v>21</v>
      </c>
    </row>
    <row r="10" spans="1:66" ht="15">
      <c r="A10" s="65" t="s">
        <v>578</v>
      </c>
      <c r="B10" s="65" t="s">
        <v>578</v>
      </c>
      <c r="C10" s="66"/>
      <c r="D10" s="67"/>
      <c r="E10" s="66"/>
      <c r="F10" s="69"/>
      <c r="G10" s="66"/>
      <c r="H10" s="70"/>
      <c r="I10" s="71"/>
      <c r="J10" s="71"/>
      <c r="K10" s="35" t="s">
        <v>65</v>
      </c>
      <c r="L10" s="72">
        <v>10</v>
      </c>
      <c r="M10" s="72"/>
      <c r="N10" s="73"/>
      <c r="O10" s="81" t="s">
        <v>218</v>
      </c>
      <c r="P10" s="83">
        <v>44693.0625</v>
      </c>
      <c r="Q10" s="81" t="s">
        <v>604</v>
      </c>
      <c r="R10" s="84" t="str">
        <f>HYPERLINK("https://www.indianweekender.co.nz/Pages/ArticleDetails/7/19648/New-Zealand/Immigration-re-balance-plan-Partners-of-future-work-visa-holders-to-not-get-ope")</f>
        <v>https://www.indianweekender.co.nz/Pages/ArticleDetails/7/19648/New-Zealand/Immigration-re-balance-plan-Partners-of-future-work-visa-holders-to-not-get-ope</v>
      </c>
      <c r="S10" s="81" t="s">
        <v>264</v>
      </c>
      <c r="T10" s="86" t="s">
        <v>627</v>
      </c>
      <c r="U10" s="81"/>
      <c r="V10" s="84" t="str">
        <f>HYPERLINK("https://pbs.twimg.com/profile_images/1261271976728903681/tiry95eM_normal.jpg")</f>
        <v>https://pbs.twimg.com/profile_images/1261271976728903681/tiry95eM_normal.jpg</v>
      </c>
      <c r="W10" s="83">
        <v>44693.0625</v>
      </c>
      <c r="X10" s="88">
        <v>44693</v>
      </c>
      <c r="Y10" s="86" t="s">
        <v>646</v>
      </c>
      <c r="Z10" s="84" t="str">
        <f>HYPERLINK("https://twitter.com/indianweekender/status/1524562505112117248")</f>
        <v>https://twitter.com/indianweekender/status/1524562505112117248</v>
      </c>
      <c r="AA10" s="81"/>
      <c r="AB10" s="81"/>
      <c r="AC10" s="86" t="s">
        <v>675</v>
      </c>
      <c r="AD10" s="81"/>
      <c r="AE10" s="81" t="b">
        <v>0</v>
      </c>
      <c r="AF10" s="81">
        <v>0</v>
      </c>
      <c r="AG10" s="86" t="s">
        <v>266</v>
      </c>
      <c r="AH10" s="81" t="b">
        <v>0</v>
      </c>
      <c r="AI10" s="81" t="s">
        <v>268</v>
      </c>
      <c r="AJ10" s="81"/>
      <c r="AK10" s="86" t="s">
        <v>266</v>
      </c>
      <c r="AL10" s="81" t="b">
        <v>0</v>
      </c>
      <c r="AM10" s="81">
        <v>0</v>
      </c>
      <c r="AN10" s="86" t="s">
        <v>266</v>
      </c>
      <c r="AO10" s="86" t="s">
        <v>273</v>
      </c>
      <c r="AP10" s="81" t="b">
        <v>0</v>
      </c>
      <c r="AQ10" s="86" t="s">
        <v>675</v>
      </c>
      <c r="AR10" s="81" t="s">
        <v>218</v>
      </c>
      <c r="AS10" s="81">
        <v>0</v>
      </c>
      <c r="AT10" s="81">
        <v>0</v>
      </c>
      <c r="AU10" s="81"/>
      <c r="AV10" s="81"/>
      <c r="AW10" s="81"/>
      <c r="AX10" s="81"/>
      <c r="AY10" s="81"/>
      <c r="AZ10" s="81"/>
      <c r="BA10" s="81"/>
      <c r="BB10" s="81"/>
      <c r="BC10" s="78">
        <v>7</v>
      </c>
      <c r="BD10" s="80" t="str">
        <f>REPLACE(INDEX(GroupVertices[Group],MATCH(Edges37[[#This Row],[Vertex 1]],GroupVertices[Vertex],0)),1,1,"")</f>
        <v>5</v>
      </c>
      <c r="BE10" s="80" t="str">
        <f>REPLACE(INDEX(GroupVertices[Group],MATCH(Edges37[[#This Row],[Vertex 2]],GroupVertices[Vertex],0)),1,1,"")</f>
        <v>5</v>
      </c>
      <c r="BF10" s="49">
        <v>2</v>
      </c>
      <c r="BG10" s="50">
        <v>7.142857142857143</v>
      </c>
      <c r="BH10" s="49">
        <v>0</v>
      </c>
      <c r="BI10" s="50">
        <v>0</v>
      </c>
      <c r="BJ10" s="49">
        <v>0</v>
      </c>
      <c r="BK10" s="50">
        <v>0</v>
      </c>
      <c r="BL10" s="49">
        <v>26</v>
      </c>
      <c r="BM10" s="50">
        <v>92.85714285714286</v>
      </c>
      <c r="BN10" s="49">
        <v>28</v>
      </c>
    </row>
    <row r="11" spans="1:66" ht="15">
      <c r="A11" s="65" t="s">
        <v>578</v>
      </c>
      <c r="B11" s="65" t="s">
        <v>578</v>
      </c>
      <c r="C11" s="66"/>
      <c r="D11" s="67"/>
      <c r="E11" s="66"/>
      <c r="F11" s="69"/>
      <c r="G11" s="66"/>
      <c r="H11" s="70"/>
      <c r="I11" s="71"/>
      <c r="J11" s="71"/>
      <c r="K11" s="35" t="s">
        <v>65</v>
      </c>
      <c r="L11" s="72">
        <v>11</v>
      </c>
      <c r="M11" s="72"/>
      <c r="N11" s="73"/>
      <c r="O11" s="81" t="s">
        <v>218</v>
      </c>
      <c r="P11" s="83">
        <v>44693.10418981482</v>
      </c>
      <c r="Q11" s="81" t="s">
        <v>605</v>
      </c>
      <c r="R11" s="81"/>
      <c r="S11" s="81"/>
      <c r="T11" s="86" t="s">
        <v>628</v>
      </c>
      <c r="U11" s="84" t="str">
        <f>HYPERLINK("https://pbs.twimg.com/media/FShjQiPXoAAO-2g.jpg")</f>
        <v>https://pbs.twimg.com/media/FShjQiPXoAAO-2g.jpg</v>
      </c>
      <c r="V11" s="84" t="str">
        <f>HYPERLINK("https://pbs.twimg.com/media/FShjQiPXoAAO-2g.jpg")</f>
        <v>https://pbs.twimg.com/media/FShjQiPXoAAO-2g.jpg</v>
      </c>
      <c r="W11" s="83">
        <v>44693.10418981482</v>
      </c>
      <c r="X11" s="88">
        <v>44693</v>
      </c>
      <c r="Y11" s="86" t="s">
        <v>647</v>
      </c>
      <c r="Z11" s="84" t="str">
        <f>HYPERLINK("https://twitter.com/indianweekender/status/1524577612542189568")</f>
        <v>https://twitter.com/indianweekender/status/1524577612542189568</v>
      </c>
      <c r="AA11" s="81"/>
      <c r="AB11" s="81"/>
      <c r="AC11" s="86" t="s">
        <v>676</v>
      </c>
      <c r="AD11" s="81"/>
      <c r="AE11" s="81" t="b">
        <v>0</v>
      </c>
      <c r="AF11" s="81">
        <v>0</v>
      </c>
      <c r="AG11" s="86" t="s">
        <v>266</v>
      </c>
      <c r="AH11" s="81" t="b">
        <v>0</v>
      </c>
      <c r="AI11" s="81" t="s">
        <v>268</v>
      </c>
      <c r="AJ11" s="81"/>
      <c r="AK11" s="86" t="s">
        <v>266</v>
      </c>
      <c r="AL11" s="81" t="b">
        <v>0</v>
      </c>
      <c r="AM11" s="81">
        <v>1</v>
      </c>
      <c r="AN11" s="86" t="s">
        <v>266</v>
      </c>
      <c r="AO11" s="86" t="s">
        <v>273</v>
      </c>
      <c r="AP11" s="81" t="b">
        <v>0</v>
      </c>
      <c r="AQ11" s="86" t="s">
        <v>676</v>
      </c>
      <c r="AR11" s="81" t="s">
        <v>218</v>
      </c>
      <c r="AS11" s="81">
        <v>0</v>
      </c>
      <c r="AT11" s="81">
        <v>0</v>
      </c>
      <c r="AU11" s="81"/>
      <c r="AV11" s="81"/>
      <c r="AW11" s="81"/>
      <c r="AX11" s="81"/>
      <c r="AY11" s="81"/>
      <c r="AZ11" s="81"/>
      <c r="BA11" s="81"/>
      <c r="BB11" s="81"/>
      <c r="BC11" s="78">
        <v>7</v>
      </c>
      <c r="BD11" s="80" t="str">
        <f>REPLACE(INDEX(GroupVertices[Group],MATCH(Edges37[[#This Row],[Vertex 1]],GroupVertices[Vertex],0)),1,1,"")</f>
        <v>5</v>
      </c>
      <c r="BE11" s="80" t="str">
        <f>REPLACE(INDEX(GroupVertices[Group],MATCH(Edges37[[#This Row],[Vertex 2]],GroupVertices[Vertex],0)),1,1,"")</f>
        <v>5</v>
      </c>
      <c r="BF11" s="49">
        <v>0</v>
      </c>
      <c r="BG11" s="50">
        <v>0</v>
      </c>
      <c r="BH11" s="49">
        <v>0</v>
      </c>
      <c r="BI11" s="50">
        <v>0</v>
      </c>
      <c r="BJ11" s="49">
        <v>0</v>
      </c>
      <c r="BK11" s="50">
        <v>0</v>
      </c>
      <c r="BL11" s="49">
        <v>20</v>
      </c>
      <c r="BM11" s="50">
        <v>100</v>
      </c>
      <c r="BN11" s="49">
        <v>20</v>
      </c>
    </row>
    <row r="12" spans="1:66" ht="15">
      <c r="A12" s="65" t="s">
        <v>578</v>
      </c>
      <c r="B12" s="65" t="s">
        <v>578</v>
      </c>
      <c r="C12" s="66"/>
      <c r="D12" s="67"/>
      <c r="E12" s="66"/>
      <c r="F12" s="69"/>
      <c r="G12" s="66"/>
      <c r="H12" s="70"/>
      <c r="I12" s="71"/>
      <c r="J12" s="71"/>
      <c r="K12" s="35" t="s">
        <v>65</v>
      </c>
      <c r="L12" s="72">
        <v>12</v>
      </c>
      <c r="M12" s="72"/>
      <c r="N12" s="73"/>
      <c r="O12" s="81" t="s">
        <v>218</v>
      </c>
      <c r="P12" s="83">
        <v>44693.10422453703</v>
      </c>
      <c r="Q12" s="81" t="s">
        <v>606</v>
      </c>
      <c r="R12" s="81"/>
      <c r="S12" s="81"/>
      <c r="T12" s="86" t="s">
        <v>629</v>
      </c>
      <c r="U12" s="84" t="str">
        <f>HYPERLINK("https://pbs.twimg.com/media/FShjRMvXMAEvUPA.jpg")</f>
        <v>https://pbs.twimg.com/media/FShjRMvXMAEvUPA.jpg</v>
      </c>
      <c r="V12" s="84" t="str">
        <f>HYPERLINK("https://pbs.twimg.com/media/FShjRMvXMAEvUPA.jpg")</f>
        <v>https://pbs.twimg.com/media/FShjRMvXMAEvUPA.jpg</v>
      </c>
      <c r="W12" s="83">
        <v>44693.10422453703</v>
      </c>
      <c r="X12" s="88">
        <v>44693</v>
      </c>
      <c r="Y12" s="86" t="s">
        <v>648</v>
      </c>
      <c r="Z12" s="84" t="str">
        <f>HYPERLINK("https://twitter.com/indianweekender/status/1524577623720054786")</f>
        <v>https://twitter.com/indianweekender/status/1524577623720054786</v>
      </c>
      <c r="AA12" s="81"/>
      <c r="AB12" s="81"/>
      <c r="AC12" s="86" t="s">
        <v>677</v>
      </c>
      <c r="AD12" s="81"/>
      <c r="AE12" s="81" t="b">
        <v>0</v>
      </c>
      <c r="AF12" s="81">
        <v>0</v>
      </c>
      <c r="AG12" s="86" t="s">
        <v>266</v>
      </c>
      <c r="AH12" s="81" t="b">
        <v>0</v>
      </c>
      <c r="AI12" s="81" t="s">
        <v>268</v>
      </c>
      <c r="AJ12" s="81"/>
      <c r="AK12" s="86" t="s">
        <v>266</v>
      </c>
      <c r="AL12" s="81" t="b">
        <v>0</v>
      </c>
      <c r="AM12" s="81">
        <v>1</v>
      </c>
      <c r="AN12" s="86" t="s">
        <v>266</v>
      </c>
      <c r="AO12" s="86" t="s">
        <v>273</v>
      </c>
      <c r="AP12" s="81" t="b">
        <v>0</v>
      </c>
      <c r="AQ12" s="86" t="s">
        <v>677</v>
      </c>
      <c r="AR12" s="81" t="s">
        <v>218</v>
      </c>
      <c r="AS12" s="81">
        <v>0</v>
      </c>
      <c r="AT12" s="81">
        <v>0</v>
      </c>
      <c r="AU12" s="81"/>
      <c r="AV12" s="81"/>
      <c r="AW12" s="81"/>
      <c r="AX12" s="81"/>
      <c r="AY12" s="81"/>
      <c r="AZ12" s="81"/>
      <c r="BA12" s="81"/>
      <c r="BB12" s="81"/>
      <c r="BC12" s="78">
        <v>7</v>
      </c>
      <c r="BD12" s="80" t="str">
        <f>REPLACE(INDEX(GroupVertices[Group],MATCH(Edges37[[#This Row],[Vertex 1]],GroupVertices[Vertex],0)),1,1,"")</f>
        <v>5</v>
      </c>
      <c r="BE12" s="80" t="str">
        <f>REPLACE(INDEX(GroupVertices[Group],MATCH(Edges37[[#This Row],[Vertex 2]],GroupVertices[Vertex],0)),1,1,"")</f>
        <v>5</v>
      </c>
      <c r="BF12" s="49">
        <v>5</v>
      </c>
      <c r="BG12" s="50">
        <v>11.904761904761905</v>
      </c>
      <c r="BH12" s="49">
        <v>1</v>
      </c>
      <c r="BI12" s="50">
        <v>2.380952380952381</v>
      </c>
      <c r="BJ12" s="49">
        <v>0</v>
      </c>
      <c r="BK12" s="50">
        <v>0</v>
      </c>
      <c r="BL12" s="49">
        <v>36</v>
      </c>
      <c r="BM12" s="50">
        <v>85.71428571428571</v>
      </c>
      <c r="BN12" s="49">
        <v>42</v>
      </c>
    </row>
    <row r="13" spans="1:66" ht="15">
      <c r="A13" s="65" t="s">
        <v>578</v>
      </c>
      <c r="B13" s="65" t="s">
        <v>578</v>
      </c>
      <c r="C13" s="66"/>
      <c r="D13" s="67"/>
      <c r="E13" s="66"/>
      <c r="F13" s="69"/>
      <c r="G13" s="66"/>
      <c r="H13" s="70"/>
      <c r="I13" s="71"/>
      <c r="J13" s="71"/>
      <c r="K13" s="35" t="s">
        <v>65</v>
      </c>
      <c r="L13" s="72">
        <v>13</v>
      </c>
      <c r="M13" s="72"/>
      <c r="N13" s="73"/>
      <c r="O13" s="81" t="s">
        <v>218</v>
      </c>
      <c r="P13" s="83">
        <v>44693.13116898148</v>
      </c>
      <c r="Q13" s="81" t="s">
        <v>607</v>
      </c>
      <c r="R13" s="81"/>
      <c r="S13" s="81"/>
      <c r="T13" s="86" t="s">
        <v>630</v>
      </c>
      <c r="U13" s="84" t="str">
        <f>HYPERLINK("https://pbs.twimg.com/media/FShsJasWQAEiNGj.jpg")</f>
        <v>https://pbs.twimg.com/media/FShsJasWQAEiNGj.jpg</v>
      </c>
      <c r="V13" s="84" t="str">
        <f>HYPERLINK("https://pbs.twimg.com/media/FShsJasWQAEiNGj.jpg")</f>
        <v>https://pbs.twimg.com/media/FShsJasWQAEiNGj.jpg</v>
      </c>
      <c r="W13" s="83">
        <v>44693.13116898148</v>
      </c>
      <c r="X13" s="88">
        <v>44693</v>
      </c>
      <c r="Y13" s="86" t="s">
        <v>649</v>
      </c>
      <c r="Z13" s="84" t="str">
        <f>HYPERLINK("https://twitter.com/indianweekender/status/1524587386654572550")</f>
        <v>https://twitter.com/indianweekender/status/1524587386654572550</v>
      </c>
      <c r="AA13" s="81"/>
      <c r="AB13" s="81"/>
      <c r="AC13" s="86" t="s">
        <v>678</v>
      </c>
      <c r="AD13" s="81"/>
      <c r="AE13" s="81" t="b">
        <v>0</v>
      </c>
      <c r="AF13" s="81">
        <v>0</v>
      </c>
      <c r="AG13" s="86" t="s">
        <v>266</v>
      </c>
      <c r="AH13" s="81" t="b">
        <v>0</v>
      </c>
      <c r="AI13" s="81" t="s">
        <v>268</v>
      </c>
      <c r="AJ13" s="81"/>
      <c r="AK13" s="86" t="s">
        <v>266</v>
      </c>
      <c r="AL13" s="81" t="b">
        <v>0</v>
      </c>
      <c r="AM13" s="81">
        <v>0</v>
      </c>
      <c r="AN13" s="86" t="s">
        <v>266</v>
      </c>
      <c r="AO13" s="86" t="s">
        <v>273</v>
      </c>
      <c r="AP13" s="81" t="b">
        <v>0</v>
      </c>
      <c r="AQ13" s="86" t="s">
        <v>678</v>
      </c>
      <c r="AR13" s="81" t="s">
        <v>218</v>
      </c>
      <c r="AS13" s="81">
        <v>0</v>
      </c>
      <c r="AT13" s="81">
        <v>0</v>
      </c>
      <c r="AU13" s="81"/>
      <c r="AV13" s="81"/>
      <c r="AW13" s="81"/>
      <c r="AX13" s="81"/>
      <c r="AY13" s="81"/>
      <c r="AZ13" s="81"/>
      <c r="BA13" s="81"/>
      <c r="BB13" s="81"/>
      <c r="BC13" s="78">
        <v>7</v>
      </c>
      <c r="BD13" s="80" t="str">
        <f>REPLACE(INDEX(GroupVertices[Group],MATCH(Edges37[[#This Row],[Vertex 1]],GroupVertices[Vertex],0)),1,1,"")</f>
        <v>5</v>
      </c>
      <c r="BE13" s="80" t="str">
        <f>REPLACE(INDEX(GroupVertices[Group],MATCH(Edges37[[#This Row],[Vertex 2]],GroupVertices[Vertex],0)),1,1,"")</f>
        <v>5</v>
      </c>
      <c r="BF13" s="49">
        <v>0</v>
      </c>
      <c r="BG13" s="50">
        <v>0</v>
      </c>
      <c r="BH13" s="49">
        <v>1</v>
      </c>
      <c r="BI13" s="50">
        <v>5.555555555555555</v>
      </c>
      <c r="BJ13" s="49">
        <v>0</v>
      </c>
      <c r="BK13" s="50">
        <v>0</v>
      </c>
      <c r="BL13" s="49">
        <v>17</v>
      </c>
      <c r="BM13" s="50">
        <v>94.44444444444444</v>
      </c>
      <c r="BN13" s="49">
        <v>18</v>
      </c>
    </row>
    <row r="14" spans="1:66" ht="15">
      <c r="A14" s="65" t="s">
        <v>578</v>
      </c>
      <c r="B14" s="65" t="s">
        <v>578</v>
      </c>
      <c r="C14" s="66"/>
      <c r="D14" s="67"/>
      <c r="E14" s="66"/>
      <c r="F14" s="69"/>
      <c r="G14" s="66"/>
      <c r="H14" s="70"/>
      <c r="I14" s="71"/>
      <c r="J14" s="71"/>
      <c r="K14" s="35" t="s">
        <v>65</v>
      </c>
      <c r="L14" s="72">
        <v>14</v>
      </c>
      <c r="M14" s="72"/>
      <c r="N14" s="73"/>
      <c r="O14" s="81" t="s">
        <v>218</v>
      </c>
      <c r="P14" s="83">
        <v>44693.21695601852</v>
      </c>
      <c r="Q14" s="81" t="s">
        <v>608</v>
      </c>
      <c r="R14" s="84" t="str">
        <f>HYPERLINK("https://www.indianweekender.co.nz/Pages/ArticleDetails/7/19650/New-Zealand/Immigration-Rebalance-International-students-will-have-to-show-5000-for-post-st")</f>
        <v>https://www.indianweekender.co.nz/Pages/ArticleDetails/7/19650/New-Zealand/Immigration-Rebalance-International-students-will-have-to-show-5000-for-post-st</v>
      </c>
      <c r="S14" s="81" t="s">
        <v>264</v>
      </c>
      <c r="T14" s="86" t="s">
        <v>631</v>
      </c>
      <c r="U14" s="81"/>
      <c r="V14" s="84" t="str">
        <f>HYPERLINK("https://pbs.twimg.com/profile_images/1261271976728903681/tiry95eM_normal.jpg")</f>
        <v>https://pbs.twimg.com/profile_images/1261271976728903681/tiry95eM_normal.jpg</v>
      </c>
      <c r="W14" s="83">
        <v>44693.21695601852</v>
      </c>
      <c r="X14" s="88">
        <v>44693</v>
      </c>
      <c r="Y14" s="86" t="s">
        <v>650</v>
      </c>
      <c r="Z14" s="84" t="str">
        <f>HYPERLINK("https://twitter.com/indianweekender/status/1524618478250246144")</f>
        <v>https://twitter.com/indianweekender/status/1524618478250246144</v>
      </c>
      <c r="AA14" s="81"/>
      <c r="AB14" s="81"/>
      <c r="AC14" s="86" t="s">
        <v>679</v>
      </c>
      <c r="AD14" s="81"/>
      <c r="AE14" s="81" t="b">
        <v>0</v>
      </c>
      <c r="AF14" s="81">
        <v>1</v>
      </c>
      <c r="AG14" s="86" t="s">
        <v>266</v>
      </c>
      <c r="AH14" s="81" t="b">
        <v>0</v>
      </c>
      <c r="AI14" s="81" t="s">
        <v>268</v>
      </c>
      <c r="AJ14" s="81"/>
      <c r="AK14" s="86" t="s">
        <v>266</v>
      </c>
      <c r="AL14" s="81" t="b">
        <v>0</v>
      </c>
      <c r="AM14" s="81">
        <v>0</v>
      </c>
      <c r="AN14" s="86" t="s">
        <v>266</v>
      </c>
      <c r="AO14" s="86" t="s">
        <v>273</v>
      </c>
      <c r="AP14" s="81" t="b">
        <v>0</v>
      </c>
      <c r="AQ14" s="86" t="s">
        <v>679</v>
      </c>
      <c r="AR14" s="81" t="s">
        <v>218</v>
      </c>
      <c r="AS14" s="81">
        <v>0</v>
      </c>
      <c r="AT14" s="81">
        <v>0</v>
      </c>
      <c r="AU14" s="81"/>
      <c r="AV14" s="81"/>
      <c r="AW14" s="81"/>
      <c r="AX14" s="81"/>
      <c r="AY14" s="81"/>
      <c r="AZ14" s="81"/>
      <c r="BA14" s="81"/>
      <c r="BB14" s="81"/>
      <c r="BC14" s="78">
        <v>7</v>
      </c>
      <c r="BD14" s="80" t="str">
        <f>REPLACE(INDEX(GroupVertices[Group],MATCH(Edges37[[#This Row],[Vertex 1]],GroupVertices[Vertex],0)),1,1,"")</f>
        <v>5</v>
      </c>
      <c r="BE14" s="80" t="str">
        <f>REPLACE(INDEX(GroupVertices[Group],MATCH(Edges37[[#This Row],[Vertex 2]],GroupVertices[Vertex],0)),1,1,"")</f>
        <v>5</v>
      </c>
      <c r="BF14" s="49">
        <v>1</v>
      </c>
      <c r="BG14" s="50">
        <v>3.7037037037037037</v>
      </c>
      <c r="BH14" s="49">
        <v>0</v>
      </c>
      <c r="BI14" s="50">
        <v>0</v>
      </c>
      <c r="BJ14" s="49">
        <v>0</v>
      </c>
      <c r="BK14" s="50">
        <v>0</v>
      </c>
      <c r="BL14" s="49">
        <v>26</v>
      </c>
      <c r="BM14" s="50">
        <v>96.29629629629629</v>
      </c>
      <c r="BN14" s="49">
        <v>27</v>
      </c>
    </row>
    <row r="15" spans="1:66" ht="15">
      <c r="A15" s="65" t="s">
        <v>579</v>
      </c>
      <c r="B15" s="65" t="s">
        <v>578</v>
      </c>
      <c r="C15" s="66"/>
      <c r="D15" s="67"/>
      <c r="E15" s="66"/>
      <c r="F15" s="69"/>
      <c r="G15" s="66"/>
      <c r="H15" s="70"/>
      <c r="I15" s="71"/>
      <c r="J15" s="71"/>
      <c r="K15" s="35" t="s">
        <v>65</v>
      </c>
      <c r="L15" s="72">
        <v>15</v>
      </c>
      <c r="M15" s="72"/>
      <c r="N15" s="73"/>
      <c r="O15" s="81" t="s">
        <v>261</v>
      </c>
      <c r="P15" s="83">
        <v>44694.15709490741</v>
      </c>
      <c r="Q15" s="81" t="s">
        <v>606</v>
      </c>
      <c r="R15" s="81"/>
      <c r="S15" s="81"/>
      <c r="T15" s="86" t="s">
        <v>629</v>
      </c>
      <c r="U15" s="84" t="str">
        <f>HYPERLINK("https://pbs.twimg.com/media/FShjRMvXMAEvUPA.jpg")</f>
        <v>https://pbs.twimg.com/media/FShjRMvXMAEvUPA.jpg</v>
      </c>
      <c r="V15" s="84" t="str">
        <f>HYPERLINK("https://pbs.twimg.com/media/FShjRMvXMAEvUPA.jpg")</f>
        <v>https://pbs.twimg.com/media/FShjRMvXMAEvUPA.jpg</v>
      </c>
      <c r="W15" s="83">
        <v>44694.15709490741</v>
      </c>
      <c r="X15" s="88">
        <v>44694</v>
      </c>
      <c r="Y15" s="86" t="s">
        <v>651</v>
      </c>
      <c r="Z15" s="84" t="str">
        <f>HYPERLINK("https://twitter.com/sureshk01547631/status/1524959171522613248")</f>
        <v>https://twitter.com/sureshk01547631/status/1524959171522613248</v>
      </c>
      <c r="AA15" s="81"/>
      <c r="AB15" s="81"/>
      <c r="AC15" s="86" t="s">
        <v>680</v>
      </c>
      <c r="AD15" s="81"/>
      <c r="AE15" s="81" t="b">
        <v>0</v>
      </c>
      <c r="AF15" s="81">
        <v>0</v>
      </c>
      <c r="AG15" s="86" t="s">
        <v>266</v>
      </c>
      <c r="AH15" s="81" t="b">
        <v>0</v>
      </c>
      <c r="AI15" s="81" t="s">
        <v>268</v>
      </c>
      <c r="AJ15" s="81"/>
      <c r="AK15" s="86" t="s">
        <v>266</v>
      </c>
      <c r="AL15" s="81" t="b">
        <v>0</v>
      </c>
      <c r="AM15" s="81">
        <v>1</v>
      </c>
      <c r="AN15" s="86" t="s">
        <v>677</v>
      </c>
      <c r="AO15" s="86" t="s">
        <v>271</v>
      </c>
      <c r="AP15" s="81" t="b">
        <v>0</v>
      </c>
      <c r="AQ15" s="86" t="s">
        <v>677</v>
      </c>
      <c r="AR15" s="81" t="s">
        <v>218</v>
      </c>
      <c r="AS15" s="81">
        <v>0</v>
      </c>
      <c r="AT15" s="81">
        <v>0</v>
      </c>
      <c r="AU15" s="81"/>
      <c r="AV15" s="81"/>
      <c r="AW15" s="81"/>
      <c r="AX15" s="81"/>
      <c r="AY15" s="81"/>
      <c r="AZ15" s="81"/>
      <c r="BA15" s="81"/>
      <c r="BB15" s="81"/>
      <c r="BC15" s="78">
        <v>2</v>
      </c>
      <c r="BD15" s="80" t="str">
        <f>REPLACE(INDEX(GroupVertices[Group],MATCH(Edges37[[#This Row],[Vertex 1]],GroupVertices[Vertex],0)),1,1,"")</f>
        <v>5</v>
      </c>
      <c r="BE15" s="80" t="str">
        <f>REPLACE(INDEX(GroupVertices[Group],MATCH(Edges37[[#This Row],[Vertex 2]],GroupVertices[Vertex],0)),1,1,"")</f>
        <v>5</v>
      </c>
      <c r="BF15" s="49">
        <v>5</v>
      </c>
      <c r="BG15" s="50">
        <v>11.904761904761905</v>
      </c>
      <c r="BH15" s="49">
        <v>1</v>
      </c>
      <c r="BI15" s="50">
        <v>2.380952380952381</v>
      </c>
      <c r="BJ15" s="49">
        <v>0</v>
      </c>
      <c r="BK15" s="50">
        <v>0</v>
      </c>
      <c r="BL15" s="49">
        <v>36</v>
      </c>
      <c r="BM15" s="50">
        <v>85.71428571428571</v>
      </c>
      <c r="BN15" s="49">
        <v>42</v>
      </c>
    </row>
    <row r="16" spans="1:66" ht="15">
      <c r="A16" s="65" t="s">
        <v>579</v>
      </c>
      <c r="B16" s="65" t="s">
        <v>578</v>
      </c>
      <c r="C16" s="66"/>
      <c r="D16" s="67"/>
      <c r="E16" s="66"/>
      <c r="F16" s="69"/>
      <c r="G16" s="66"/>
      <c r="H16" s="70"/>
      <c r="I16" s="71"/>
      <c r="J16" s="71"/>
      <c r="K16" s="35" t="s">
        <v>65</v>
      </c>
      <c r="L16" s="72">
        <v>16</v>
      </c>
      <c r="M16" s="72"/>
      <c r="N16" s="73"/>
      <c r="O16" s="81" t="s">
        <v>261</v>
      </c>
      <c r="P16" s="83">
        <v>44694.15728009259</v>
      </c>
      <c r="Q16" s="81" t="s">
        <v>605</v>
      </c>
      <c r="R16" s="81"/>
      <c r="S16" s="81"/>
      <c r="T16" s="86" t="s">
        <v>628</v>
      </c>
      <c r="U16" s="84" t="str">
        <f>HYPERLINK("https://pbs.twimg.com/media/FShjQiPXoAAO-2g.jpg")</f>
        <v>https://pbs.twimg.com/media/FShjQiPXoAAO-2g.jpg</v>
      </c>
      <c r="V16" s="84" t="str">
        <f>HYPERLINK("https://pbs.twimg.com/media/FShjQiPXoAAO-2g.jpg")</f>
        <v>https://pbs.twimg.com/media/FShjQiPXoAAO-2g.jpg</v>
      </c>
      <c r="W16" s="83">
        <v>44694.15728009259</v>
      </c>
      <c r="X16" s="88">
        <v>44694</v>
      </c>
      <c r="Y16" s="86" t="s">
        <v>652</v>
      </c>
      <c r="Z16" s="84" t="str">
        <f>HYPERLINK("https://twitter.com/sureshk01547631/status/1524959238547574784")</f>
        <v>https://twitter.com/sureshk01547631/status/1524959238547574784</v>
      </c>
      <c r="AA16" s="81"/>
      <c r="AB16" s="81"/>
      <c r="AC16" s="86" t="s">
        <v>681</v>
      </c>
      <c r="AD16" s="81"/>
      <c r="AE16" s="81" t="b">
        <v>0</v>
      </c>
      <c r="AF16" s="81">
        <v>0</v>
      </c>
      <c r="AG16" s="86" t="s">
        <v>266</v>
      </c>
      <c r="AH16" s="81" t="b">
        <v>0</v>
      </c>
      <c r="AI16" s="81" t="s">
        <v>268</v>
      </c>
      <c r="AJ16" s="81"/>
      <c r="AK16" s="86" t="s">
        <v>266</v>
      </c>
      <c r="AL16" s="81" t="b">
        <v>0</v>
      </c>
      <c r="AM16" s="81">
        <v>1</v>
      </c>
      <c r="AN16" s="86" t="s">
        <v>676</v>
      </c>
      <c r="AO16" s="86" t="s">
        <v>271</v>
      </c>
      <c r="AP16" s="81" t="b">
        <v>0</v>
      </c>
      <c r="AQ16" s="86" t="s">
        <v>676</v>
      </c>
      <c r="AR16" s="81" t="s">
        <v>218</v>
      </c>
      <c r="AS16" s="81">
        <v>0</v>
      </c>
      <c r="AT16" s="81">
        <v>0</v>
      </c>
      <c r="AU16" s="81"/>
      <c r="AV16" s="81"/>
      <c r="AW16" s="81"/>
      <c r="AX16" s="81"/>
      <c r="AY16" s="81"/>
      <c r="AZ16" s="81"/>
      <c r="BA16" s="81"/>
      <c r="BB16" s="81"/>
      <c r="BC16" s="78">
        <v>2</v>
      </c>
      <c r="BD16" s="80" t="str">
        <f>REPLACE(INDEX(GroupVertices[Group],MATCH(Edges37[[#This Row],[Vertex 1]],GroupVertices[Vertex],0)),1,1,"")</f>
        <v>5</v>
      </c>
      <c r="BE16" s="80" t="str">
        <f>REPLACE(INDEX(GroupVertices[Group],MATCH(Edges37[[#This Row],[Vertex 2]],GroupVertices[Vertex],0)),1,1,"")</f>
        <v>5</v>
      </c>
      <c r="BF16" s="49">
        <v>0</v>
      </c>
      <c r="BG16" s="50">
        <v>0</v>
      </c>
      <c r="BH16" s="49">
        <v>0</v>
      </c>
      <c r="BI16" s="50">
        <v>0</v>
      </c>
      <c r="BJ16" s="49">
        <v>0</v>
      </c>
      <c r="BK16" s="50">
        <v>0</v>
      </c>
      <c r="BL16" s="49">
        <v>20</v>
      </c>
      <c r="BM16" s="50">
        <v>100</v>
      </c>
      <c r="BN16" s="49">
        <v>20</v>
      </c>
    </row>
    <row r="17" spans="1:66" ht="15">
      <c r="A17" s="65" t="s">
        <v>580</v>
      </c>
      <c r="B17" s="65" t="s">
        <v>588</v>
      </c>
      <c r="C17" s="66"/>
      <c r="D17" s="67"/>
      <c r="E17" s="66"/>
      <c r="F17" s="69"/>
      <c r="G17" s="66"/>
      <c r="H17" s="70"/>
      <c r="I17" s="71"/>
      <c r="J17" s="71"/>
      <c r="K17" s="35" t="s">
        <v>65</v>
      </c>
      <c r="L17" s="72">
        <v>17</v>
      </c>
      <c r="M17" s="72"/>
      <c r="N17" s="73"/>
      <c r="O17" s="81" t="s">
        <v>262</v>
      </c>
      <c r="P17" s="83">
        <v>44691.13585648148</v>
      </c>
      <c r="Q17" s="81" t="s">
        <v>609</v>
      </c>
      <c r="R17" s="84" t="str">
        <f>HYPERLINK("https://www.stuff.co.nz/national/immigration/300580917/woman-who-has-overstayed-in-nz-for-16-years-granted-residence-due-to-family-ties")</f>
        <v>https://www.stuff.co.nz/national/immigration/300580917/woman-who-has-overstayed-in-nz-for-16-years-granted-residence-due-to-family-ties</v>
      </c>
      <c r="S17" s="81" t="s">
        <v>264</v>
      </c>
      <c r="T17" s="86" t="s">
        <v>582</v>
      </c>
      <c r="U17" s="81"/>
      <c r="V17" s="84" t="str">
        <f>HYPERLINK("https://pbs.twimg.com/profile_images/1521083114046758913/ia08w9bB_normal.jpg")</f>
        <v>https://pbs.twimg.com/profile_images/1521083114046758913/ia08w9bB_normal.jpg</v>
      </c>
      <c r="W17" s="83">
        <v>44691.13585648148</v>
      </c>
      <c r="X17" s="88">
        <v>44691</v>
      </c>
      <c r="Y17" s="86" t="s">
        <v>653</v>
      </c>
      <c r="Z17" s="84" t="str">
        <f>HYPERLINK("https://twitter.com/ariannagail1/status/1523864310879223809")</f>
        <v>https://twitter.com/ariannagail1/status/1523864310879223809</v>
      </c>
      <c r="AA17" s="81"/>
      <c r="AB17" s="81"/>
      <c r="AC17" s="86" t="s">
        <v>682</v>
      </c>
      <c r="AD17" s="81"/>
      <c r="AE17" s="81" t="b">
        <v>0</v>
      </c>
      <c r="AF17" s="81">
        <v>0</v>
      </c>
      <c r="AG17" s="86" t="s">
        <v>266</v>
      </c>
      <c r="AH17" s="81" t="b">
        <v>0</v>
      </c>
      <c r="AI17" s="81" t="s">
        <v>268</v>
      </c>
      <c r="AJ17" s="81"/>
      <c r="AK17" s="86" t="s">
        <v>266</v>
      </c>
      <c r="AL17" s="81" t="b">
        <v>0</v>
      </c>
      <c r="AM17" s="81">
        <v>1</v>
      </c>
      <c r="AN17" s="86" t="s">
        <v>683</v>
      </c>
      <c r="AO17" s="86" t="s">
        <v>270</v>
      </c>
      <c r="AP17" s="81" t="b">
        <v>0</v>
      </c>
      <c r="AQ17" s="86" t="s">
        <v>683</v>
      </c>
      <c r="AR17" s="81" t="s">
        <v>218</v>
      </c>
      <c r="AS17" s="81">
        <v>0</v>
      </c>
      <c r="AT17" s="81">
        <v>0</v>
      </c>
      <c r="AU17" s="81"/>
      <c r="AV17" s="81"/>
      <c r="AW17" s="81"/>
      <c r="AX17" s="81"/>
      <c r="AY17" s="81"/>
      <c r="AZ17" s="81"/>
      <c r="BA17" s="81"/>
      <c r="BB17" s="81"/>
      <c r="BC17" s="78">
        <v>1</v>
      </c>
      <c r="BD17" s="80" t="str">
        <f>REPLACE(INDEX(GroupVertices[Group],MATCH(Edges37[[#This Row],[Vertex 1]],GroupVertices[Vertex],0)),1,1,"")</f>
        <v>2</v>
      </c>
      <c r="BE17" s="80" t="str">
        <f>REPLACE(INDEX(GroupVertices[Group],MATCH(Edges37[[#This Row],[Vertex 2]],GroupVertices[Vertex],0)),1,1,"")</f>
        <v>2</v>
      </c>
      <c r="BF17" s="49"/>
      <c r="BG17" s="50"/>
      <c r="BH17" s="49"/>
      <c r="BI17" s="50"/>
      <c r="BJ17" s="49"/>
      <c r="BK17" s="50"/>
      <c r="BL17" s="49"/>
      <c r="BM17" s="50"/>
      <c r="BN17" s="49"/>
    </row>
    <row r="18" spans="1:66" ht="15">
      <c r="A18" s="65" t="s">
        <v>581</v>
      </c>
      <c r="B18" s="65" t="s">
        <v>588</v>
      </c>
      <c r="C18" s="66"/>
      <c r="D18" s="67"/>
      <c r="E18" s="66"/>
      <c r="F18" s="69"/>
      <c r="G18" s="66"/>
      <c r="H18" s="70"/>
      <c r="I18" s="71"/>
      <c r="J18" s="71"/>
      <c r="K18" s="35" t="s">
        <v>65</v>
      </c>
      <c r="L18" s="72">
        <v>18</v>
      </c>
      <c r="M18" s="72"/>
      <c r="N18" s="73"/>
      <c r="O18" s="81" t="s">
        <v>259</v>
      </c>
      <c r="P18" s="83">
        <v>44690.05778935185</v>
      </c>
      <c r="Q18" s="81" t="s">
        <v>609</v>
      </c>
      <c r="R18" s="84" t="str">
        <f>HYPERLINK("https://www.stuff.co.nz/national/immigration/300580917/woman-who-has-overstayed-in-nz-for-16-years-granted-residence-due-to-family-ties")</f>
        <v>https://www.stuff.co.nz/national/immigration/300580917/woman-who-has-overstayed-in-nz-for-16-years-granted-residence-due-to-family-ties</v>
      </c>
      <c r="S18" s="81" t="s">
        <v>264</v>
      </c>
      <c r="T18" s="86" t="s">
        <v>582</v>
      </c>
      <c r="U18" s="81"/>
      <c r="V18" s="84" t="str">
        <f>HYPERLINK("https://pbs.twimg.com/profile_images/1509686418662068230/6_KXm14m_normal.jpg")</f>
        <v>https://pbs.twimg.com/profile_images/1509686418662068230/6_KXm14m_normal.jpg</v>
      </c>
      <c r="W18" s="83">
        <v>44690.05778935185</v>
      </c>
      <c r="X18" s="88">
        <v>44690</v>
      </c>
      <c r="Y18" s="86" t="s">
        <v>654</v>
      </c>
      <c r="Z18" s="84" t="str">
        <f>HYPERLINK("https://twitter.com/jennykaynz/status/1523473630767706112")</f>
        <v>https://twitter.com/jennykaynz/status/1523473630767706112</v>
      </c>
      <c r="AA18" s="81"/>
      <c r="AB18" s="81"/>
      <c r="AC18" s="86" t="s">
        <v>683</v>
      </c>
      <c r="AD18" s="81"/>
      <c r="AE18" s="81" t="b">
        <v>0</v>
      </c>
      <c r="AF18" s="81">
        <v>3</v>
      </c>
      <c r="AG18" s="86" t="s">
        <v>266</v>
      </c>
      <c r="AH18" s="81" t="b">
        <v>0</v>
      </c>
      <c r="AI18" s="81" t="s">
        <v>268</v>
      </c>
      <c r="AJ18" s="81"/>
      <c r="AK18" s="86" t="s">
        <v>266</v>
      </c>
      <c r="AL18" s="81" t="b">
        <v>0</v>
      </c>
      <c r="AM18" s="81">
        <v>1</v>
      </c>
      <c r="AN18" s="86" t="s">
        <v>266</v>
      </c>
      <c r="AO18" s="86" t="s">
        <v>269</v>
      </c>
      <c r="AP18" s="81" t="b">
        <v>0</v>
      </c>
      <c r="AQ18" s="86" t="s">
        <v>683</v>
      </c>
      <c r="AR18" s="81" t="s">
        <v>218</v>
      </c>
      <c r="AS18" s="81">
        <v>0</v>
      </c>
      <c r="AT18" s="81">
        <v>0</v>
      </c>
      <c r="AU18" s="81"/>
      <c r="AV18" s="81"/>
      <c r="AW18" s="81"/>
      <c r="AX18" s="81"/>
      <c r="AY18" s="81"/>
      <c r="AZ18" s="81"/>
      <c r="BA18" s="81"/>
      <c r="BB18" s="81"/>
      <c r="BC18" s="78">
        <v>1</v>
      </c>
      <c r="BD18" s="80" t="str">
        <f>REPLACE(INDEX(GroupVertices[Group],MATCH(Edges37[[#This Row],[Vertex 1]],GroupVertices[Vertex],0)),1,1,"")</f>
        <v>1</v>
      </c>
      <c r="BE18" s="80" t="str">
        <f>REPLACE(INDEX(GroupVertices[Group],MATCH(Edges37[[#This Row],[Vertex 2]],GroupVertices[Vertex],0)),1,1,"")</f>
        <v>2</v>
      </c>
      <c r="BF18" s="49"/>
      <c r="BG18" s="50"/>
      <c r="BH18" s="49"/>
      <c r="BI18" s="50"/>
      <c r="BJ18" s="49"/>
      <c r="BK18" s="50"/>
      <c r="BL18" s="49"/>
      <c r="BM18" s="50"/>
      <c r="BN18" s="49"/>
    </row>
    <row r="19" spans="1:66" ht="15">
      <c r="A19" s="65" t="s">
        <v>581</v>
      </c>
      <c r="B19" s="65" t="s">
        <v>590</v>
      </c>
      <c r="C19" s="66"/>
      <c r="D19" s="67"/>
      <c r="E19" s="66"/>
      <c r="F19" s="69"/>
      <c r="G19" s="66"/>
      <c r="H19" s="70"/>
      <c r="I19" s="71"/>
      <c r="J19" s="71"/>
      <c r="K19" s="35" t="s">
        <v>65</v>
      </c>
      <c r="L19" s="72">
        <v>19</v>
      </c>
      <c r="M19" s="72"/>
      <c r="N19" s="73"/>
      <c r="O19" s="81" t="s">
        <v>259</v>
      </c>
      <c r="P19" s="83">
        <v>44690.130266203705</v>
      </c>
      <c r="Q19" s="81" t="s">
        <v>610</v>
      </c>
      <c r="R19" s="84" t="str">
        <f>HYPERLINK("https://nzccss.org.nz/wp-content/uploads/NZCCSS-Manifesto-Tracker-May-2022.pdf")</f>
        <v>https://nzccss.org.nz/wp-content/uploads/NZCCSS-Manifesto-Tracker-May-2022.pdf</v>
      </c>
      <c r="S19" s="81" t="s">
        <v>621</v>
      </c>
      <c r="T19" s="86" t="s">
        <v>632</v>
      </c>
      <c r="U19" s="81"/>
      <c r="V19" s="84" t="str">
        <f>HYPERLINK("https://pbs.twimg.com/profile_images/1509686418662068230/6_KXm14m_normal.jpg")</f>
        <v>https://pbs.twimg.com/profile_images/1509686418662068230/6_KXm14m_normal.jpg</v>
      </c>
      <c r="W19" s="83">
        <v>44690.130266203705</v>
      </c>
      <c r="X19" s="88">
        <v>44690</v>
      </c>
      <c r="Y19" s="86" t="s">
        <v>655</v>
      </c>
      <c r="Z19" s="84" t="str">
        <f>HYPERLINK("https://twitter.com/jennykaynz/status/1523499898741555202")</f>
        <v>https://twitter.com/jennykaynz/status/1523499898741555202</v>
      </c>
      <c r="AA19" s="81"/>
      <c r="AB19" s="81"/>
      <c r="AC19" s="86" t="s">
        <v>684</v>
      </c>
      <c r="AD19" s="81"/>
      <c r="AE19" s="81" t="b">
        <v>0</v>
      </c>
      <c r="AF19" s="81">
        <v>0</v>
      </c>
      <c r="AG19" s="86" t="s">
        <v>266</v>
      </c>
      <c r="AH19" s="81" t="b">
        <v>0</v>
      </c>
      <c r="AI19" s="81" t="s">
        <v>268</v>
      </c>
      <c r="AJ19" s="81"/>
      <c r="AK19" s="86" t="s">
        <v>266</v>
      </c>
      <c r="AL19" s="81" t="b">
        <v>0</v>
      </c>
      <c r="AM19" s="81">
        <v>0</v>
      </c>
      <c r="AN19" s="86" t="s">
        <v>266</v>
      </c>
      <c r="AO19" s="86" t="s">
        <v>269</v>
      </c>
      <c r="AP19" s="81" t="b">
        <v>0</v>
      </c>
      <c r="AQ19" s="86" t="s">
        <v>684</v>
      </c>
      <c r="AR19" s="81" t="s">
        <v>218</v>
      </c>
      <c r="AS19" s="81">
        <v>0</v>
      </c>
      <c r="AT19" s="81">
        <v>0</v>
      </c>
      <c r="AU19" s="81"/>
      <c r="AV19" s="81"/>
      <c r="AW19" s="81"/>
      <c r="AX19" s="81"/>
      <c r="AY19" s="81"/>
      <c r="AZ19" s="81"/>
      <c r="BA19" s="81"/>
      <c r="BB19" s="81"/>
      <c r="BC19" s="78">
        <v>1</v>
      </c>
      <c r="BD19" s="80" t="str">
        <f>REPLACE(INDEX(GroupVertices[Group],MATCH(Edges37[[#This Row],[Vertex 1]],GroupVertices[Vertex],0)),1,1,"")</f>
        <v>1</v>
      </c>
      <c r="BE19" s="80" t="str">
        <f>REPLACE(INDEX(GroupVertices[Group],MATCH(Edges37[[#This Row],[Vertex 2]],GroupVertices[Vertex],0)),1,1,"")</f>
        <v>1</v>
      </c>
      <c r="BF19" s="49"/>
      <c r="BG19" s="50"/>
      <c r="BH19" s="49"/>
      <c r="BI19" s="50"/>
      <c r="BJ19" s="49"/>
      <c r="BK19" s="50"/>
      <c r="BL19" s="49"/>
      <c r="BM19" s="50"/>
      <c r="BN19" s="49"/>
    </row>
    <row r="20" spans="1:66" ht="15">
      <c r="A20" s="65" t="s">
        <v>581</v>
      </c>
      <c r="B20" s="65" t="s">
        <v>591</v>
      </c>
      <c r="C20" s="66"/>
      <c r="D20" s="67"/>
      <c r="E20" s="66"/>
      <c r="F20" s="69"/>
      <c r="G20" s="66"/>
      <c r="H20" s="70"/>
      <c r="I20" s="71"/>
      <c r="J20" s="71"/>
      <c r="K20" s="35" t="s">
        <v>65</v>
      </c>
      <c r="L20" s="72">
        <v>20</v>
      </c>
      <c r="M20" s="72"/>
      <c r="N20" s="73"/>
      <c r="O20" s="81" t="s">
        <v>259</v>
      </c>
      <c r="P20" s="83">
        <v>44690.130266203705</v>
      </c>
      <c r="Q20" s="81" t="s">
        <v>610</v>
      </c>
      <c r="R20" s="84" t="str">
        <f>HYPERLINK("https://nzccss.org.nz/wp-content/uploads/NZCCSS-Manifesto-Tracker-May-2022.pdf")</f>
        <v>https://nzccss.org.nz/wp-content/uploads/NZCCSS-Manifesto-Tracker-May-2022.pdf</v>
      </c>
      <c r="S20" s="81" t="s">
        <v>621</v>
      </c>
      <c r="T20" s="86" t="s">
        <v>632</v>
      </c>
      <c r="U20" s="81"/>
      <c r="V20" s="84" t="str">
        <f>HYPERLINK("https://pbs.twimg.com/profile_images/1509686418662068230/6_KXm14m_normal.jpg")</f>
        <v>https://pbs.twimg.com/profile_images/1509686418662068230/6_KXm14m_normal.jpg</v>
      </c>
      <c r="W20" s="83">
        <v>44690.130266203705</v>
      </c>
      <c r="X20" s="88">
        <v>44690</v>
      </c>
      <c r="Y20" s="86" t="s">
        <v>655</v>
      </c>
      <c r="Z20" s="84" t="str">
        <f>HYPERLINK("https://twitter.com/jennykaynz/status/1523499898741555202")</f>
        <v>https://twitter.com/jennykaynz/status/1523499898741555202</v>
      </c>
      <c r="AA20" s="81"/>
      <c r="AB20" s="81"/>
      <c r="AC20" s="86" t="s">
        <v>684</v>
      </c>
      <c r="AD20" s="81"/>
      <c r="AE20" s="81" t="b">
        <v>0</v>
      </c>
      <c r="AF20" s="81">
        <v>0</v>
      </c>
      <c r="AG20" s="86" t="s">
        <v>266</v>
      </c>
      <c r="AH20" s="81" t="b">
        <v>0</v>
      </c>
      <c r="AI20" s="81" t="s">
        <v>268</v>
      </c>
      <c r="AJ20" s="81"/>
      <c r="AK20" s="86" t="s">
        <v>266</v>
      </c>
      <c r="AL20" s="81" t="b">
        <v>0</v>
      </c>
      <c r="AM20" s="81">
        <v>0</v>
      </c>
      <c r="AN20" s="86" t="s">
        <v>266</v>
      </c>
      <c r="AO20" s="86" t="s">
        <v>269</v>
      </c>
      <c r="AP20" s="81" t="b">
        <v>0</v>
      </c>
      <c r="AQ20" s="86" t="s">
        <v>684</v>
      </c>
      <c r="AR20" s="81" t="s">
        <v>218</v>
      </c>
      <c r="AS20" s="81">
        <v>0</v>
      </c>
      <c r="AT20" s="81">
        <v>0</v>
      </c>
      <c r="AU20" s="81"/>
      <c r="AV20" s="81"/>
      <c r="AW20" s="81"/>
      <c r="AX20" s="81"/>
      <c r="AY20" s="81"/>
      <c r="AZ20" s="81"/>
      <c r="BA20" s="81"/>
      <c r="BB20" s="81"/>
      <c r="BC20" s="78">
        <v>1</v>
      </c>
      <c r="BD20" s="80" t="str">
        <f>REPLACE(INDEX(GroupVertices[Group],MATCH(Edges37[[#This Row],[Vertex 1]],GroupVertices[Vertex],0)),1,1,"")</f>
        <v>1</v>
      </c>
      <c r="BE20" s="80" t="str">
        <f>REPLACE(INDEX(GroupVertices[Group],MATCH(Edges37[[#This Row],[Vertex 2]],GroupVertices[Vertex],0)),1,1,"")</f>
        <v>1</v>
      </c>
      <c r="BF20" s="49">
        <v>1</v>
      </c>
      <c r="BG20" s="50">
        <v>2.7777777777777777</v>
      </c>
      <c r="BH20" s="49">
        <v>0</v>
      </c>
      <c r="BI20" s="50">
        <v>0</v>
      </c>
      <c r="BJ20" s="49">
        <v>0</v>
      </c>
      <c r="BK20" s="50">
        <v>0</v>
      </c>
      <c r="BL20" s="49">
        <v>35</v>
      </c>
      <c r="BM20" s="50">
        <v>97.22222222222223</v>
      </c>
      <c r="BN20" s="49">
        <v>36</v>
      </c>
    </row>
    <row r="21" spans="1:66" ht="15">
      <c r="A21" s="65" t="s">
        <v>580</v>
      </c>
      <c r="B21" s="65" t="s">
        <v>592</v>
      </c>
      <c r="C21" s="66"/>
      <c r="D21" s="67"/>
      <c r="E21" s="66"/>
      <c r="F21" s="69"/>
      <c r="G21" s="66"/>
      <c r="H21" s="70"/>
      <c r="I21" s="71"/>
      <c r="J21" s="71"/>
      <c r="K21" s="35" t="s">
        <v>65</v>
      </c>
      <c r="L21" s="72">
        <v>21</v>
      </c>
      <c r="M21" s="72"/>
      <c r="N21" s="73"/>
      <c r="O21" s="81" t="s">
        <v>262</v>
      </c>
      <c r="P21" s="83">
        <v>44692.27914351852</v>
      </c>
      <c r="Q21" s="81" t="s">
        <v>611</v>
      </c>
      <c r="R21" s="81" t="s">
        <v>620</v>
      </c>
      <c r="S21" s="81" t="s">
        <v>483</v>
      </c>
      <c r="T21" s="86" t="s">
        <v>633</v>
      </c>
      <c r="U21" s="81"/>
      <c r="V21" s="84" t="str">
        <f>HYPERLINK("https://pbs.twimg.com/profile_images/1521083114046758913/ia08w9bB_normal.jpg")</f>
        <v>https://pbs.twimg.com/profile_images/1521083114046758913/ia08w9bB_normal.jpg</v>
      </c>
      <c r="W21" s="83">
        <v>44692.27914351852</v>
      </c>
      <c r="X21" s="88">
        <v>44692</v>
      </c>
      <c r="Y21" s="86" t="s">
        <v>656</v>
      </c>
      <c r="Z21" s="84" t="str">
        <f>HYPERLINK("https://twitter.com/ariannagail1/status/1524278622798102529")</f>
        <v>https://twitter.com/ariannagail1/status/1524278622798102529</v>
      </c>
      <c r="AA21" s="81"/>
      <c r="AB21" s="81"/>
      <c r="AC21" s="86" t="s">
        <v>685</v>
      </c>
      <c r="AD21" s="81"/>
      <c r="AE21" s="81" t="b">
        <v>0</v>
      </c>
      <c r="AF21" s="81">
        <v>0</v>
      </c>
      <c r="AG21" s="86" t="s">
        <v>266</v>
      </c>
      <c r="AH21" s="81" t="b">
        <v>1</v>
      </c>
      <c r="AI21" s="81" t="s">
        <v>268</v>
      </c>
      <c r="AJ21" s="81"/>
      <c r="AK21" s="86" t="s">
        <v>689</v>
      </c>
      <c r="AL21" s="81" t="b">
        <v>0</v>
      </c>
      <c r="AM21" s="81">
        <v>1</v>
      </c>
      <c r="AN21" s="86" t="s">
        <v>686</v>
      </c>
      <c r="AO21" s="86" t="s">
        <v>270</v>
      </c>
      <c r="AP21" s="81" t="b">
        <v>0</v>
      </c>
      <c r="AQ21" s="86" t="s">
        <v>686</v>
      </c>
      <c r="AR21" s="81" t="s">
        <v>218</v>
      </c>
      <c r="AS21" s="81">
        <v>0</v>
      </c>
      <c r="AT21" s="81">
        <v>0</v>
      </c>
      <c r="AU21" s="81"/>
      <c r="AV21" s="81"/>
      <c r="AW21" s="81"/>
      <c r="AX21" s="81"/>
      <c r="AY21" s="81"/>
      <c r="AZ21" s="81"/>
      <c r="BA21" s="81"/>
      <c r="BB21" s="81"/>
      <c r="BC21" s="78">
        <v>1</v>
      </c>
      <c r="BD21" s="80" t="str">
        <f>REPLACE(INDEX(GroupVertices[Group],MATCH(Edges37[[#This Row],[Vertex 1]],GroupVertices[Vertex],0)),1,1,"")</f>
        <v>2</v>
      </c>
      <c r="BE21" s="80" t="str">
        <f>REPLACE(INDEX(GroupVertices[Group],MATCH(Edges37[[#This Row],[Vertex 2]],GroupVertices[Vertex],0)),1,1,"")</f>
        <v>2</v>
      </c>
      <c r="BF21" s="49"/>
      <c r="BG21" s="50"/>
      <c r="BH21" s="49"/>
      <c r="BI21" s="50"/>
      <c r="BJ21" s="49"/>
      <c r="BK21" s="50"/>
      <c r="BL21" s="49"/>
      <c r="BM21" s="50"/>
      <c r="BN21" s="49"/>
    </row>
    <row r="22" spans="1:66" ht="15">
      <c r="A22" s="65" t="s">
        <v>581</v>
      </c>
      <c r="B22" s="65" t="s">
        <v>592</v>
      </c>
      <c r="C22" s="66"/>
      <c r="D22" s="67"/>
      <c r="E22" s="66"/>
      <c r="F22" s="69"/>
      <c r="G22" s="66"/>
      <c r="H22" s="70"/>
      <c r="I22" s="71"/>
      <c r="J22" s="71"/>
      <c r="K22" s="35" t="s">
        <v>65</v>
      </c>
      <c r="L22" s="72">
        <v>22</v>
      </c>
      <c r="M22" s="72"/>
      <c r="N22" s="73"/>
      <c r="O22" s="81" t="s">
        <v>259</v>
      </c>
      <c r="P22" s="83">
        <v>44692.24354166666</v>
      </c>
      <c r="Q22" s="81" t="s">
        <v>611</v>
      </c>
      <c r="R22" s="81" t="s">
        <v>620</v>
      </c>
      <c r="S22" s="81" t="s">
        <v>483</v>
      </c>
      <c r="T22" s="86" t="s">
        <v>633</v>
      </c>
      <c r="U22" s="81"/>
      <c r="V22" s="84" t="str">
        <f>HYPERLINK("https://pbs.twimg.com/profile_images/1509686418662068230/6_KXm14m_normal.jpg")</f>
        <v>https://pbs.twimg.com/profile_images/1509686418662068230/6_KXm14m_normal.jpg</v>
      </c>
      <c r="W22" s="83">
        <v>44692.24354166666</v>
      </c>
      <c r="X22" s="88">
        <v>44692</v>
      </c>
      <c r="Y22" s="86" t="s">
        <v>657</v>
      </c>
      <c r="Z22" s="84" t="str">
        <f>HYPERLINK("https://twitter.com/jennykaynz/status/1524265722628608000")</f>
        <v>https://twitter.com/jennykaynz/status/1524265722628608000</v>
      </c>
      <c r="AA22" s="81"/>
      <c r="AB22" s="81"/>
      <c r="AC22" s="86" t="s">
        <v>686</v>
      </c>
      <c r="AD22" s="81"/>
      <c r="AE22" s="81" t="b">
        <v>0</v>
      </c>
      <c r="AF22" s="81">
        <v>2</v>
      </c>
      <c r="AG22" s="86" t="s">
        <v>266</v>
      </c>
      <c r="AH22" s="81" t="b">
        <v>1</v>
      </c>
      <c r="AI22" s="81" t="s">
        <v>268</v>
      </c>
      <c r="AJ22" s="81"/>
      <c r="AK22" s="86" t="s">
        <v>689</v>
      </c>
      <c r="AL22" s="81" t="b">
        <v>0</v>
      </c>
      <c r="AM22" s="81">
        <v>1</v>
      </c>
      <c r="AN22" s="86" t="s">
        <v>266</v>
      </c>
      <c r="AO22" s="86" t="s">
        <v>269</v>
      </c>
      <c r="AP22" s="81" t="b">
        <v>0</v>
      </c>
      <c r="AQ22" s="86" t="s">
        <v>686</v>
      </c>
      <c r="AR22" s="81" t="s">
        <v>218</v>
      </c>
      <c r="AS22" s="81">
        <v>0</v>
      </c>
      <c r="AT22" s="81">
        <v>0</v>
      </c>
      <c r="AU22" s="81"/>
      <c r="AV22" s="81"/>
      <c r="AW22" s="81"/>
      <c r="AX22" s="81"/>
      <c r="AY22" s="81"/>
      <c r="AZ22" s="81"/>
      <c r="BA22" s="81"/>
      <c r="BB22" s="81"/>
      <c r="BC22" s="78">
        <v>1</v>
      </c>
      <c r="BD22" s="80" t="str">
        <f>REPLACE(INDEX(GroupVertices[Group],MATCH(Edges37[[#This Row],[Vertex 1]],GroupVertices[Vertex],0)),1,1,"")</f>
        <v>1</v>
      </c>
      <c r="BE22" s="80" t="str">
        <f>REPLACE(INDEX(GroupVertices[Group],MATCH(Edges37[[#This Row],[Vertex 2]],GroupVertices[Vertex],0)),1,1,"")</f>
        <v>2</v>
      </c>
      <c r="BF22" s="49"/>
      <c r="BG22" s="50"/>
      <c r="BH22" s="49"/>
      <c r="BI22" s="50"/>
      <c r="BJ22" s="49"/>
      <c r="BK22" s="50"/>
      <c r="BL22" s="49"/>
      <c r="BM22" s="50"/>
      <c r="BN22" s="49"/>
    </row>
    <row r="23" spans="1:66" ht="15">
      <c r="A23" s="65" t="s">
        <v>580</v>
      </c>
      <c r="B23" s="65" t="s">
        <v>593</v>
      </c>
      <c r="C23" s="66"/>
      <c r="D23" s="67"/>
      <c r="E23" s="66"/>
      <c r="F23" s="69"/>
      <c r="G23" s="66"/>
      <c r="H23" s="70"/>
      <c r="I23" s="71"/>
      <c r="J23" s="71"/>
      <c r="K23" s="35" t="s">
        <v>65</v>
      </c>
      <c r="L23" s="72">
        <v>23</v>
      </c>
      <c r="M23" s="72"/>
      <c r="N23" s="73"/>
      <c r="O23" s="81" t="s">
        <v>262</v>
      </c>
      <c r="P23" s="83">
        <v>44692.27914351852</v>
      </c>
      <c r="Q23" s="81" t="s">
        <v>611</v>
      </c>
      <c r="R23" s="81" t="s">
        <v>620</v>
      </c>
      <c r="S23" s="81" t="s">
        <v>483</v>
      </c>
      <c r="T23" s="86" t="s">
        <v>633</v>
      </c>
      <c r="U23" s="81"/>
      <c r="V23" s="84" t="str">
        <f>HYPERLINK("https://pbs.twimg.com/profile_images/1521083114046758913/ia08w9bB_normal.jpg")</f>
        <v>https://pbs.twimg.com/profile_images/1521083114046758913/ia08w9bB_normal.jpg</v>
      </c>
      <c r="W23" s="83">
        <v>44692.27914351852</v>
      </c>
      <c r="X23" s="88">
        <v>44692</v>
      </c>
      <c r="Y23" s="86" t="s">
        <v>656</v>
      </c>
      <c r="Z23" s="84" t="str">
        <f>HYPERLINK("https://twitter.com/ariannagail1/status/1524278622798102529")</f>
        <v>https://twitter.com/ariannagail1/status/1524278622798102529</v>
      </c>
      <c r="AA23" s="81"/>
      <c r="AB23" s="81"/>
      <c r="AC23" s="86" t="s">
        <v>685</v>
      </c>
      <c r="AD23" s="81"/>
      <c r="AE23" s="81" t="b">
        <v>0</v>
      </c>
      <c r="AF23" s="81">
        <v>0</v>
      </c>
      <c r="AG23" s="86" t="s">
        <v>266</v>
      </c>
      <c r="AH23" s="81" t="b">
        <v>1</v>
      </c>
      <c r="AI23" s="81" t="s">
        <v>268</v>
      </c>
      <c r="AJ23" s="81"/>
      <c r="AK23" s="86" t="s">
        <v>689</v>
      </c>
      <c r="AL23" s="81" t="b">
        <v>0</v>
      </c>
      <c r="AM23" s="81">
        <v>1</v>
      </c>
      <c r="AN23" s="86" t="s">
        <v>686</v>
      </c>
      <c r="AO23" s="86" t="s">
        <v>270</v>
      </c>
      <c r="AP23" s="81" t="b">
        <v>0</v>
      </c>
      <c r="AQ23" s="86" t="s">
        <v>686</v>
      </c>
      <c r="AR23" s="81" t="s">
        <v>218</v>
      </c>
      <c r="AS23" s="81">
        <v>0</v>
      </c>
      <c r="AT23" s="81">
        <v>0</v>
      </c>
      <c r="AU23" s="81"/>
      <c r="AV23" s="81"/>
      <c r="AW23" s="81"/>
      <c r="AX23" s="81"/>
      <c r="AY23" s="81"/>
      <c r="AZ23" s="81"/>
      <c r="BA23" s="81"/>
      <c r="BB23" s="81"/>
      <c r="BC23" s="78">
        <v>1</v>
      </c>
      <c r="BD23" s="80" t="str">
        <f>REPLACE(INDEX(GroupVertices[Group],MATCH(Edges37[[#This Row],[Vertex 1]],GroupVertices[Vertex],0)),1,1,"")</f>
        <v>2</v>
      </c>
      <c r="BE23" s="80" t="str">
        <f>REPLACE(INDEX(GroupVertices[Group],MATCH(Edges37[[#This Row],[Vertex 2]],GroupVertices[Vertex],0)),1,1,"")</f>
        <v>2</v>
      </c>
      <c r="BF23" s="49">
        <v>0</v>
      </c>
      <c r="BG23" s="50">
        <v>0</v>
      </c>
      <c r="BH23" s="49">
        <v>1</v>
      </c>
      <c r="BI23" s="50">
        <v>4.166666666666667</v>
      </c>
      <c r="BJ23" s="49">
        <v>0</v>
      </c>
      <c r="BK23" s="50">
        <v>0</v>
      </c>
      <c r="BL23" s="49">
        <v>23</v>
      </c>
      <c r="BM23" s="50">
        <v>95.83333333333333</v>
      </c>
      <c r="BN23" s="49">
        <v>24</v>
      </c>
    </row>
    <row r="24" spans="1:66" ht="15">
      <c r="A24" s="65" t="s">
        <v>581</v>
      </c>
      <c r="B24" s="65" t="s">
        <v>593</v>
      </c>
      <c r="C24" s="66"/>
      <c r="D24" s="67"/>
      <c r="E24" s="66"/>
      <c r="F24" s="69"/>
      <c r="G24" s="66"/>
      <c r="H24" s="70"/>
      <c r="I24" s="71"/>
      <c r="J24" s="71"/>
      <c r="K24" s="35" t="s">
        <v>65</v>
      </c>
      <c r="L24" s="72">
        <v>24</v>
      </c>
      <c r="M24" s="72"/>
      <c r="N24" s="73"/>
      <c r="O24" s="81" t="s">
        <v>259</v>
      </c>
      <c r="P24" s="83">
        <v>44692.24354166666</v>
      </c>
      <c r="Q24" s="81" t="s">
        <v>611</v>
      </c>
      <c r="R24" s="81" t="s">
        <v>620</v>
      </c>
      <c r="S24" s="81" t="s">
        <v>483</v>
      </c>
      <c r="T24" s="86" t="s">
        <v>633</v>
      </c>
      <c r="U24" s="81"/>
      <c r="V24" s="84" t="str">
        <f>HYPERLINK("https://pbs.twimg.com/profile_images/1509686418662068230/6_KXm14m_normal.jpg")</f>
        <v>https://pbs.twimg.com/profile_images/1509686418662068230/6_KXm14m_normal.jpg</v>
      </c>
      <c r="W24" s="83">
        <v>44692.24354166666</v>
      </c>
      <c r="X24" s="88">
        <v>44692</v>
      </c>
      <c r="Y24" s="86" t="s">
        <v>657</v>
      </c>
      <c r="Z24" s="84" t="str">
        <f>HYPERLINK("https://twitter.com/jennykaynz/status/1524265722628608000")</f>
        <v>https://twitter.com/jennykaynz/status/1524265722628608000</v>
      </c>
      <c r="AA24" s="81"/>
      <c r="AB24" s="81"/>
      <c r="AC24" s="86" t="s">
        <v>686</v>
      </c>
      <c r="AD24" s="81"/>
      <c r="AE24" s="81" t="b">
        <v>0</v>
      </c>
      <c r="AF24" s="81">
        <v>2</v>
      </c>
      <c r="AG24" s="86" t="s">
        <v>266</v>
      </c>
      <c r="AH24" s="81" t="b">
        <v>1</v>
      </c>
      <c r="AI24" s="81" t="s">
        <v>268</v>
      </c>
      <c r="AJ24" s="81"/>
      <c r="AK24" s="86" t="s">
        <v>689</v>
      </c>
      <c r="AL24" s="81" t="b">
        <v>0</v>
      </c>
      <c r="AM24" s="81">
        <v>1</v>
      </c>
      <c r="AN24" s="86" t="s">
        <v>266</v>
      </c>
      <c r="AO24" s="86" t="s">
        <v>269</v>
      </c>
      <c r="AP24" s="81" t="b">
        <v>0</v>
      </c>
      <c r="AQ24" s="86" t="s">
        <v>686</v>
      </c>
      <c r="AR24" s="81" t="s">
        <v>218</v>
      </c>
      <c r="AS24" s="81">
        <v>0</v>
      </c>
      <c r="AT24" s="81">
        <v>0</v>
      </c>
      <c r="AU24" s="81"/>
      <c r="AV24" s="81"/>
      <c r="AW24" s="81"/>
      <c r="AX24" s="81"/>
      <c r="AY24" s="81"/>
      <c r="AZ24" s="81"/>
      <c r="BA24" s="81"/>
      <c r="BB24" s="81"/>
      <c r="BC24" s="78">
        <v>1</v>
      </c>
      <c r="BD24" s="80" t="str">
        <f>REPLACE(INDEX(GroupVertices[Group],MATCH(Edges37[[#This Row],[Vertex 1]],GroupVertices[Vertex],0)),1,1,"")</f>
        <v>1</v>
      </c>
      <c r="BE24" s="80" t="str">
        <f>REPLACE(INDEX(GroupVertices[Group],MATCH(Edges37[[#This Row],[Vertex 2]],GroupVertices[Vertex],0)),1,1,"")</f>
        <v>2</v>
      </c>
      <c r="BF24" s="49">
        <v>0</v>
      </c>
      <c r="BG24" s="50">
        <v>0</v>
      </c>
      <c r="BH24" s="49">
        <v>1</v>
      </c>
      <c r="BI24" s="50">
        <v>4.166666666666667</v>
      </c>
      <c r="BJ24" s="49">
        <v>0</v>
      </c>
      <c r="BK24" s="50">
        <v>0</v>
      </c>
      <c r="BL24" s="49">
        <v>23</v>
      </c>
      <c r="BM24" s="50">
        <v>95.83333333333333</v>
      </c>
      <c r="BN24" s="49">
        <v>24</v>
      </c>
    </row>
    <row r="25" spans="1:66" ht="15">
      <c r="A25" s="65" t="s">
        <v>581</v>
      </c>
      <c r="B25" s="65" t="s">
        <v>594</v>
      </c>
      <c r="C25" s="66"/>
      <c r="D25" s="67"/>
      <c r="E25" s="66"/>
      <c r="F25" s="69"/>
      <c r="G25" s="66"/>
      <c r="H25" s="70"/>
      <c r="I25" s="71"/>
      <c r="J25" s="71"/>
      <c r="K25" s="35" t="s">
        <v>65</v>
      </c>
      <c r="L25" s="72">
        <v>25</v>
      </c>
      <c r="M25" s="72"/>
      <c r="N25" s="73"/>
      <c r="O25" s="81" t="s">
        <v>260</v>
      </c>
      <c r="P25" s="83">
        <v>44694.224131944444</v>
      </c>
      <c r="Q25" s="81" t="s">
        <v>612</v>
      </c>
      <c r="R25" s="81"/>
      <c r="S25" s="81"/>
      <c r="T25" s="81"/>
      <c r="U25" s="81"/>
      <c r="V25" s="84" t="str">
        <f>HYPERLINK("https://pbs.twimg.com/profile_images/1509686418662068230/6_KXm14m_normal.jpg")</f>
        <v>https://pbs.twimg.com/profile_images/1509686418662068230/6_KXm14m_normal.jpg</v>
      </c>
      <c r="W25" s="83">
        <v>44694.224131944444</v>
      </c>
      <c r="X25" s="88">
        <v>44694</v>
      </c>
      <c r="Y25" s="86" t="s">
        <v>658</v>
      </c>
      <c r="Z25" s="84" t="str">
        <f>HYPERLINK("https://twitter.com/jennykaynz/status/1524983462850990080")</f>
        <v>https://twitter.com/jennykaynz/status/1524983462850990080</v>
      </c>
      <c r="AA25" s="81"/>
      <c r="AB25" s="81"/>
      <c r="AC25" s="86" t="s">
        <v>687</v>
      </c>
      <c r="AD25" s="86" t="s">
        <v>701</v>
      </c>
      <c r="AE25" s="81" t="b">
        <v>0</v>
      </c>
      <c r="AF25" s="81">
        <v>2</v>
      </c>
      <c r="AG25" s="86" t="s">
        <v>707</v>
      </c>
      <c r="AH25" s="81" t="b">
        <v>0</v>
      </c>
      <c r="AI25" s="81" t="s">
        <v>268</v>
      </c>
      <c r="AJ25" s="81"/>
      <c r="AK25" s="86" t="s">
        <v>266</v>
      </c>
      <c r="AL25" s="81" t="b">
        <v>0</v>
      </c>
      <c r="AM25" s="81">
        <v>0</v>
      </c>
      <c r="AN25" s="86" t="s">
        <v>266</v>
      </c>
      <c r="AO25" s="86" t="s">
        <v>269</v>
      </c>
      <c r="AP25" s="81" t="b">
        <v>0</v>
      </c>
      <c r="AQ25" s="86" t="s">
        <v>701</v>
      </c>
      <c r="AR25" s="81" t="s">
        <v>218</v>
      </c>
      <c r="AS25" s="81">
        <v>0</v>
      </c>
      <c r="AT25" s="81">
        <v>0</v>
      </c>
      <c r="AU25" s="81"/>
      <c r="AV25" s="81"/>
      <c r="AW25" s="81"/>
      <c r="AX25" s="81"/>
      <c r="AY25" s="81"/>
      <c r="AZ25" s="81"/>
      <c r="BA25" s="81"/>
      <c r="BB25" s="81"/>
      <c r="BC25" s="78">
        <v>1</v>
      </c>
      <c r="BD25" s="80" t="str">
        <f>REPLACE(INDEX(GroupVertices[Group],MATCH(Edges37[[#This Row],[Vertex 1]],GroupVertices[Vertex],0)),1,1,"")</f>
        <v>1</v>
      </c>
      <c r="BE25" s="80" t="str">
        <f>REPLACE(INDEX(GroupVertices[Group],MATCH(Edges37[[#This Row],[Vertex 2]],GroupVertices[Vertex],0)),1,1,"")</f>
        <v>1</v>
      </c>
      <c r="BF25" s="49">
        <v>2</v>
      </c>
      <c r="BG25" s="50">
        <v>4.444444444444445</v>
      </c>
      <c r="BH25" s="49">
        <v>3</v>
      </c>
      <c r="BI25" s="50">
        <v>6.666666666666667</v>
      </c>
      <c r="BJ25" s="49">
        <v>0</v>
      </c>
      <c r="BK25" s="50">
        <v>0</v>
      </c>
      <c r="BL25" s="49">
        <v>40</v>
      </c>
      <c r="BM25" s="50">
        <v>88.88888888888889</v>
      </c>
      <c r="BN25" s="49">
        <v>45</v>
      </c>
    </row>
    <row r="26" spans="1:66" ht="15">
      <c r="A26" s="65" t="s">
        <v>580</v>
      </c>
      <c r="B26" s="65" t="s">
        <v>582</v>
      </c>
      <c r="C26" s="66"/>
      <c r="D26" s="67"/>
      <c r="E26" s="66"/>
      <c r="F26" s="69"/>
      <c r="G26" s="66"/>
      <c r="H26" s="70"/>
      <c r="I26" s="71"/>
      <c r="J26" s="71"/>
      <c r="K26" s="35" t="s">
        <v>66</v>
      </c>
      <c r="L26" s="72">
        <v>26</v>
      </c>
      <c r="M26" s="72"/>
      <c r="N26" s="73"/>
      <c r="O26" s="81" t="s">
        <v>262</v>
      </c>
      <c r="P26" s="83">
        <v>44691.13585648148</v>
      </c>
      <c r="Q26" s="81" t="s">
        <v>609</v>
      </c>
      <c r="R26" s="84" t="str">
        <f>HYPERLINK("https://www.stuff.co.nz/national/immigration/300580917/woman-who-has-overstayed-in-nz-for-16-years-granted-residence-due-to-family-ties")</f>
        <v>https://www.stuff.co.nz/national/immigration/300580917/woman-who-has-overstayed-in-nz-for-16-years-granted-residence-due-to-family-ties</v>
      </c>
      <c r="S26" s="81" t="s">
        <v>264</v>
      </c>
      <c r="T26" s="86" t="s">
        <v>582</v>
      </c>
      <c r="U26" s="81"/>
      <c r="V26" s="84" t="str">
        <f>HYPERLINK("https://pbs.twimg.com/profile_images/1521083114046758913/ia08w9bB_normal.jpg")</f>
        <v>https://pbs.twimg.com/profile_images/1521083114046758913/ia08w9bB_normal.jpg</v>
      </c>
      <c r="W26" s="83">
        <v>44691.13585648148</v>
      </c>
      <c r="X26" s="88">
        <v>44691</v>
      </c>
      <c r="Y26" s="86" t="s">
        <v>653</v>
      </c>
      <c r="Z26" s="84" t="str">
        <f>HYPERLINK("https://twitter.com/ariannagail1/status/1523864310879223809")</f>
        <v>https://twitter.com/ariannagail1/status/1523864310879223809</v>
      </c>
      <c r="AA26" s="81"/>
      <c r="AB26" s="81"/>
      <c r="AC26" s="86" t="s">
        <v>682</v>
      </c>
      <c r="AD26" s="81"/>
      <c r="AE26" s="81" t="b">
        <v>0</v>
      </c>
      <c r="AF26" s="81">
        <v>0</v>
      </c>
      <c r="AG26" s="86" t="s">
        <v>266</v>
      </c>
      <c r="AH26" s="81" t="b">
        <v>0</v>
      </c>
      <c r="AI26" s="81" t="s">
        <v>268</v>
      </c>
      <c r="AJ26" s="81"/>
      <c r="AK26" s="86" t="s">
        <v>266</v>
      </c>
      <c r="AL26" s="81" t="b">
        <v>0</v>
      </c>
      <c r="AM26" s="81">
        <v>1</v>
      </c>
      <c r="AN26" s="86" t="s">
        <v>683</v>
      </c>
      <c r="AO26" s="86" t="s">
        <v>270</v>
      </c>
      <c r="AP26" s="81" t="b">
        <v>0</v>
      </c>
      <c r="AQ26" s="86" t="s">
        <v>683</v>
      </c>
      <c r="AR26" s="81" t="s">
        <v>218</v>
      </c>
      <c r="AS26" s="81">
        <v>0</v>
      </c>
      <c r="AT26" s="81">
        <v>0</v>
      </c>
      <c r="AU26" s="81"/>
      <c r="AV26" s="81"/>
      <c r="AW26" s="81"/>
      <c r="AX26" s="81"/>
      <c r="AY26" s="81"/>
      <c r="AZ26" s="81"/>
      <c r="BA26" s="81"/>
      <c r="BB26" s="81"/>
      <c r="BC26" s="78">
        <v>2</v>
      </c>
      <c r="BD26" s="80" t="str">
        <f>REPLACE(INDEX(GroupVertices[Group],MATCH(Edges37[[#This Row],[Vertex 1]],GroupVertices[Vertex],0)),1,1,"")</f>
        <v>2</v>
      </c>
      <c r="BE26" s="80" t="str">
        <f>REPLACE(INDEX(GroupVertices[Group],MATCH(Edges37[[#This Row],[Vertex 2]],GroupVertices[Vertex],0)),1,1,"")</f>
        <v>1</v>
      </c>
      <c r="BF26" s="49"/>
      <c r="BG26" s="50"/>
      <c r="BH26" s="49"/>
      <c r="BI26" s="50"/>
      <c r="BJ26" s="49"/>
      <c r="BK26" s="50"/>
      <c r="BL26" s="49"/>
      <c r="BM26" s="50"/>
      <c r="BN26" s="49"/>
    </row>
    <row r="27" spans="1:66" ht="15">
      <c r="A27" s="65" t="s">
        <v>580</v>
      </c>
      <c r="B27" s="65" t="s">
        <v>595</v>
      </c>
      <c r="C27" s="66"/>
      <c r="D27" s="67"/>
      <c r="E27" s="66"/>
      <c r="F27" s="69"/>
      <c r="G27" s="66"/>
      <c r="H27" s="70"/>
      <c r="I27" s="71"/>
      <c r="J27" s="71"/>
      <c r="K27" s="35" t="s">
        <v>65</v>
      </c>
      <c r="L27" s="72">
        <v>27</v>
      </c>
      <c r="M27" s="72"/>
      <c r="N27" s="73"/>
      <c r="O27" s="81" t="s">
        <v>262</v>
      </c>
      <c r="P27" s="83">
        <v>44691.13585648148</v>
      </c>
      <c r="Q27" s="81" t="s">
        <v>609</v>
      </c>
      <c r="R27" s="84" t="str">
        <f>HYPERLINK("https://www.stuff.co.nz/national/immigration/300580917/woman-who-has-overstayed-in-nz-for-16-years-granted-residence-due-to-family-ties")</f>
        <v>https://www.stuff.co.nz/national/immigration/300580917/woman-who-has-overstayed-in-nz-for-16-years-granted-residence-due-to-family-ties</v>
      </c>
      <c r="S27" s="81" t="s">
        <v>264</v>
      </c>
      <c r="T27" s="86" t="s">
        <v>582</v>
      </c>
      <c r="U27" s="81"/>
      <c r="V27" s="84" t="str">
        <f>HYPERLINK("https://pbs.twimg.com/profile_images/1521083114046758913/ia08w9bB_normal.jpg")</f>
        <v>https://pbs.twimg.com/profile_images/1521083114046758913/ia08w9bB_normal.jpg</v>
      </c>
      <c r="W27" s="83">
        <v>44691.13585648148</v>
      </c>
      <c r="X27" s="88">
        <v>44691</v>
      </c>
      <c r="Y27" s="86" t="s">
        <v>653</v>
      </c>
      <c r="Z27" s="84" t="str">
        <f>HYPERLINK("https://twitter.com/ariannagail1/status/1523864310879223809")</f>
        <v>https://twitter.com/ariannagail1/status/1523864310879223809</v>
      </c>
      <c r="AA27" s="81"/>
      <c r="AB27" s="81"/>
      <c r="AC27" s="86" t="s">
        <v>682</v>
      </c>
      <c r="AD27" s="81"/>
      <c r="AE27" s="81" t="b">
        <v>0</v>
      </c>
      <c r="AF27" s="81">
        <v>0</v>
      </c>
      <c r="AG27" s="86" t="s">
        <v>266</v>
      </c>
      <c r="AH27" s="81" t="b">
        <v>0</v>
      </c>
      <c r="AI27" s="81" t="s">
        <v>268</v>
      </c>
      <c r="AJ27" s="81"/>
      <c r="AK27" s="86" t="s">
        <v>266</v>
      </c>
      <c r="AL27" s="81" t="b">
        <v>0</v>
      </c>
      <c r="AM27" s="81">
        <v>1</v>
      </c>
      <c r="AN27" s="86" t="s">
        <v>683</v>
      </c>
      <c r="AO27" s="86" t="s">
        <v>270</v>
      </c>
      <c r="AP27" s="81" t="b">
        <v>0</v>
      </c>
      <c r="AQ27" s="86" t="s">
        <v>683</v>
      </c>
      <c r="AR27" s="81" t="s">
        <v>218</v>
      </c>
      <c r="AS27" s="81">
        <v>0</v>
      </c>
      <c r="AT27" s="81">
        <v>0</v>
      </c>
      <c r="AU27" s="81"/>
      <c r="AV27" s="81"/>
      <c r="AW27" s="81"/>
      <c r="AX27" s="81"/>
      <c r="AY27" s="81"/>
      <c r="AZ27" s="81"/>
      <c r="BA27" s="81"/>
      <c r="BB27" s="81"/>
      <c r="BC27" s="78">
        <v>2</v>
      </c>
      <c r="BD27" s="80" t="str">
        <f>REPLACE(INDEX(GroupVertices[Group],MATCH(Edges37[[#This Row],[Vertex 1]],GroupVertices[Vertex],0)),1,1,"")</f>
        <v>2</v>
      </c>
      <c r="BE27" s="80" t="str">
        <f>REPLACE(INDEX(GroupVertices[Group],MATCH(Edges37[[#This Row],[Vertex 2]],GroupVertices[Vertex],0)),1,1,"")</f>
        <v>2</v>
      </c>
      <c r="BF27" s="49">
        <v>1</v>
      </c>
      <c r="BG27" s="50">
        <v>3.5714285714285716</v>
      </c>
      <c r="BH27" s="49">
        <v>0</v>
      </c>
      <c r="BI27" s="50">
        <v>0</v>
      </c>
      <c r="BJ27" s="49">
        <v>0</v>
      </c>
      <c r="BK27" s="50">
        <v>0</v>
      </c>
      <c r="BL27" s="49">
        <v>27</v>
      </c>
      <c r="BM27" s="50">
        <v>96.42857142857143</v>
      </c>
      <c r="BN27" s="49">
        <v>28</v>
      </c>
    </row>
    <row r="28" spans="1:66" ht="15">
      <c r="A28" s="65" t="s">
        <v>580</v>
      </c>
      <c r="B28" s="65" t="s">
        <v>587</v>
      </c>
      <c r="C28" s="66"/>
      <c r="D28" s="67"/>
      <c r="E28" s="66"/>
      <c r="F28" s="69"/>
      <c r="G28" s="66"/>
      <c r="H28" s="70"/>
      <c r="I28" s="71"/>
      <c r="J28" s="71"/>
      <c r="K28" s="35" t="s">
        <v>65</v>
      </c>
      <c r="L28" s="72">
        <v>28</v>
      </c>
      <c r="M28" s="72"/>
      <c r="N28" s="73"/>
      <c r="O28" s="81" t="s">
        <v>262</v>
      </c>
      <c r="P28" s="83">
        <v>44691.13585648148</v>
      </c>
      <c r="Q28" s="81" t="s">
        <v>609</v>
      </c>
      <c r="R28" s="84" t="str">
        <f>HYPERLINK("https://www.stuff.co.nz/national/immigration/300580917/woman-who-has-overstayed-in-nz-for-16-years-granted-residence-due-to-family-ties")</f>
        <v>https://www.stuff.co.nz/national/immigration/300580917/woman-who-has-overstayed-in-nz-for-16-years-granted-residence-due-to-family-ties</v>
      </c>
      <c r="S28" s="81" t="s">
        <v>264</v>
      </c>
      <c r="T28" s="86" t="s">
        <v>582</v>
      </c>
      <c r="U28" s="81"/>
      <c r="V28" s="84" t="str">
        <f>HYPERLINK("https://pbs.twimg.com/profile_images/1521083114046758913/ia08w9bB_normal.jpg")</f>
        <v>https://pbs.twimg.com/profile_images/1521083114046758913/ia08w9bB_normal.jpg</v>
      </c>
      <c r="W28" s="83">
        <v>44691.13585648148</v>
      </c>
      <c r="X28" s="88">
        <v>44691</v>
      </c>
      <c r="Y28" s="86" t="s">
        <v>653</v>
      </c>
      <c r="Z28" s="84" t="str">
        <f>HYPERLINK("https://twitter.com/ariannagail1/status/1523864310879223809")</f>
        <v>https://twitter.com/ariannagail1/status/1523864310879223809</v>
      </c>
      <c r="AA28" s="81"/>
      <c r="AB28" s="81"/>
      <c r="AC28" s="86" t="s">
        <v>682</v>
      </c>
      <c r="AD28" s="81"/>
      <c r="AE28" s="81" t="b">
        <v>0</v>
      </c>
      <c r="AF28" s="81">
        <v>0</v>
      </c>
      <c r="AG28" s="86" t="s">
        <v>266</v>
      </c>
      <c r="AH28" s="81" t="b">
        <v>0</v>
      </c>
      <c r="AI28" s="81" t="s">
        <v>268</v>
      </c>
      <c r="AJ28" s="81"/>
      <c r="AK28" s="86" t="s">
        <v>266</v>
      </c>
      <c r="AL28" s="81" t="b">
        <v>0</v>
      </c>
      <c r="AM28" s="81">
        <v>1</v>
      </c>
      <c r="AN28" s="86" t="s">
        <v>683</v>
      </c>
      <c r="AO28" s="86" t="s">
        <v>270</v>
      </c>
      <c r="AP28" s="81" t="b">
        <v>0</v>
      </c>
      <c r="AQ28" s="86" t="s">
        <v>683</v>
      </c>
      <c r="AR28" s="81" t="s">
        <v>218</v>
      </c>
      <c r="AS28" s="81">
        <v>0</v>
      </c>
      <c r="AT28" s="81">
        <v>0</v>
      </c>
      <c r="AU28" s="81"/>
      <c r="AV28" s="81"/>
      <c r="AW28" s="81"/>
      <c r="AX28" s="81"/>
      <c r="AY28" s="81"/>
      <c r="AZ28" s="81"/>
      <c r="BA28" s="81"/>
      <c r="BB28" s="81"/>
      <c r="BC28" s="78">
        <v>2</v>
      </c>
      <c r="BD28" s="80" t="str">
        <f>REPLACE(INDEX(GroupVertices[Group],MATCH(Edges37[[#This Row],[Vertex 1]],GroupVertices[Vertex],0)),1,1,"")</f>
        <v>2</v>
      </c>
      <c r="BE28" s="80" t="str">
        <f>REPLACE(INDEX(GroupVertices[Group],MATCH(Edges37[[#This Row],[Vertex 2]],GroupVertices[Vertex],0)),1,1,"")</f>
        <v>4</v>
      </c>
      <c r="BF28" s="49"/>
      <c r="BG28" s="50"/>
      <c r="BH28" s="49"/>
      <c r="BI28" s="50"/>
      <c r="BJ28" s="49"/>
      <c r="BK28" s="50"/>
      <c r="BL28" s="49"/>
      <c r="BM28" s="50"/>
      <c r="BN28" s="49"/>
    </row>
    <row r="29" spans="1:66" ht="15">
      <c r="A29" s="65" t="s">
        <v>580</v>
      </c>
      <c r="B29" s="65" t="s">
        <v>581</v>
      </c>
      <c r="C29" s="66"/>
      <c r="D29" s="67"/>
      <c r="E29" s="66"/>
      <c r="F29" s="69"/>
      <c r="G29" s="66"/>
      <c r="H29" s="70"/>
      <c r="I29" s="71"/>
      <c r="J29" s="71"/>
      <c r="K29" s="35" t="s">
        <v>66</v>
      </c>
      <c r="L29" s="72">
        <v>29</v>
      </c>
      <c r="M29" s="72"/>
      <c r="N29" s="73"/>
      <c r="O29" s="81" t="s">
        <v>261</v>
      </c>
      <c r="P29" s="83">
        <v>44691.13585648148</v>
      </c>
      <c r="Q29" s="81" t="s">
        <v>609</v>
      </c>
      <c r="R29" s="84" t="str">
        <f>HYPERLINK("https://www.stuff.co.nz/national/immigration/300580917/woman-who-has-overstayed-in-nz-for-16-years-granted-residence-due-to-family-ties")</f>
        <v>https://www.stuff.co.nz/national/immigration/300580917/woman-who-has-overstayed-in-nz-for-16-years-granted-residence-due-to-family-ties</v>
      </c>
      <c r="S29" s="81" t="s">
        <v>264</v>
      </c>
      <c r="T29" s="86" t="s">
        <v>582</v>
      </c>
      <c r="U29" s="81"/>
      <c r="V29" s="84" t="str">
        <f>HYPERLINK("https://pbs.twimg.com/profile_images/1521083114046758913/ia08w9bB_normal.jpg")</f>
        <v>https://pbs.twimg.com/profile_images/1521083114046758913/ia08w9bB_normal.jpg</v>
      </c>
      <c r="W29" s="83">
        <v>44691.13585648148</v>
      </c>
      <c r="X29" s="88">
        <v>44691</v>
      </c>
      <c r="Y29" s="86" t="s">
        <v>653</v>
      </c>
      <c r="Z29" s="84" t="str">
        <f>HYPERLINK("https://twitter.com/ariannagail1/status/1523864310879223809")</f>
        <v>https://twitter.com/ariannagail1/status/1523864310879223809</v>
      </c>
      <c r="AA29" s="81"/>
      <c r="AB29" s="81"/>
      <c r="AC29" s="86" t="s">
        <v>682</v>
      </c>
      <c r="AD29" s="81"/>
      <c r="AE29" s="81" t="b">
        <v>0</v>
      </c>
      <c r="AF29" s="81">
        <v>0</v>
      </c>
      <c r="AG29" s="86" t="s">
        <v>266</v>
      </c>
      <c r="AH29" s="81" t="b">
        <v>0</v>
      </c>
      <c r="AI29" s="81" t="s">
        <v>268</v>
      </c>
      <c r="AJ29" s="81"/>
      <c r="AK29" s="86" t="s">
        <v>266</v>
      </c>
      <c r="AL29" s="81" t="b">
        <v>0</v>
      </c>
      <c r="AM29" s="81">
        <v>1</v>
      </c>
      <c r="AN29" s="86" t="s">
        <v>683</v>
      </c>
      <c r="AO29" s="86" t="s">
        <v>270</v>
      </c>
      <c r="AP29" s="81" t="b">
        <v>0</v>
      </c>
      <c r="AQ29" s="86" t="s">
        <v>683</v>
      </c>
      <c r="AR29" s="81" t="s">
        <v>218</v>
      </c>
      <c r="AS29" s="81">
        <v>0</v>
      </c>
      <c r="AT29" s="81">
        <v>0</v>
      </c>
      <c r="AU29" s="81"/>
      <c r="AV29" s="81"/>
      <c r="AW29" s="81"/>
      <c r="AX29" s="81"/>
      <c r="AY29" s="81"/>
      <c r="AZ29" s="81"/>
      <c r="BA29" s="81"/>
      <c r="BB29" s="81"/>
      <c r="BC29" s="78">
        <v>3</v>
      </c>
      <c r="BD29" s="80" t="str">
        <f>REPLACE(INDEX(GroupVertices[Group],MATCH(Edges37[[#This Row],[Vertex 1]],GroupVertices[Vertex],0)),1,1,"")</f>
        <v>2</v>
      </c>
      <c r="BE29" s="80" t="str">
        <f>REPLACE(INDEX(GroupVertices[Group],MATCH(Edges37[[#This Row],[Vertex 2]],GroupVertices[Vertex],0)),1,1,"")</f>
        <v>1</v>
      </c>
      <c r="BF29" s="49"/>
      <c r="BG29" s="50"/>
      <c r="BH29" s="49"/>
      <c r="BI29" s="50"/>
      <c r="BJ29" s="49"/>
      <c r="BK29" s="50"/>
      <c r="BL29" s="49"/>
      <c r="BM29" s="50"/>
      <c r="BN29" s="49"/>
    </row>
    <row r="30" spans="1:66" ht="15">
      <c r="A30" s="65" t="s">
        <v>580</v>
      </c>
      <c r="B30" s="65" t="s">
        <v>581</v>
      </c>
      <c r="C30" s="66"/>
      <c r="D30" s="67"/>
      <c r="E30" s="66"/>
      <c r="F30" s="69"/>
      <c r="G30" s="66"/>
      <c r="H30" s="70"/>
      <c r="I30" s="71"/>
      <c r="J30" s="71"/>
      <c r="K30" s="35" t="s">
        <v>66</v>
      </c>
      <c r="L30" s="72">
        <v>30</v>
      </c>
      <c r="M30" s="72"/>
      <c r="N30" s="73"/>
      <c r="O30" s="81" t="s">
        <v>261</v>
      </c>
      <c r="P30" s="83">
        <v>44692.27914351852</v>
      </c>
      <c r="Q30" s="81" t="s">
        <v>611</v>
      </c>
      <c r="R30" s="81" t="s">
        <v>620</v>
      </c>
      <c r="S30" s="81" t="s">
        <v>483</v>
      </c>
      <c r="T30" s="86" t="s">
        <v>633</v>
      </c>
      <c r="U30" s="81"/>
      <c r="V30" s="84" t="str">
        <f>HYPERLINK("https://pbs.twimg.com/profile_images/1521083114046758913/ia08w9bB_normal.jpg")</f>
        <v>https://pbs.twimg.com/profile_images/1521083114046758913/ia08w9bB_normal.jpg</v>
      </c>
      <c r="W30" s="83">
        <v>44692.27914351852</v>
      </c>
      <c r="X30" s="88">
        <v>44692</v>
      </c>
      <c r="Y30" s="86" t="s">
        <v>656</v>
      </c>
      <c r="Z30" s="84" t="str">
        <f>HYPERLINK("https://twitter.com/ariannagail1/status/1524278622798102529")</f>
        <v>https://twitter.com/ariannagail1/status/1524278622798102529</v>
      </c>
      <c r="AA30" s="81"/>
      <c r="AB30" s="81"/>
      <c r="AC30" s="86" t="s">
        <v>685</v>
      </c>
      <c r="AD30" s="81"/>
      <c r="AE30" s="81" t="b">
        <v>0</v>
      </c>
      <c r="AF30" s="81">
        <v>0</v>
      </c>
      <c r="AG30" s="86" t="s">
        <v>266</v>
      </c>
      <c r="AH30" s="81" t="b">
        <v>1</v>
      </c>
      <c r="AI30" s="81" t="s">
        <v>268</v>
      </c>
      <c r="AJ30" s="81"/>
      <c r="AK30" s="86" t="s">
        <v>689</v>
      </c>
      <c r="AL30" s="81" t="b">
        <v>0</v>
      </c>
      <c r="AM30" s="81">
        <v>1</v>
      </c>
      <c r="AN30" s="86" t="s">
        <v>686</v>
      </c>
      <c r="AO30" s="86" t="s">
        <v>270</v>
      </c>
      <c r="AP30" s="81" t="b">
        <v>0</v>
      </c>
      <c r="AQ30" s="86" t="s">
        <v>686</v>
      </c>
      <c r="AR30" s="81" t="s">
        <v>218</v>
      </c>
      <c r="AS30" s="81">
        <v>0</v>
      </c>
      <c r="AT30" s="81">
        <v>0</v>
      </c>
      <c r="AU30" s="81"/>
      <c r="AV30" s="81"/>
      <c r="AW30" s="81"/>
      <c r="AX30" s="81"/>
      <c r="AY30" s="81"/>
      <c r="AZ30" s="81"/>
      <c r="BA30" s="81"/>
      <c r="BB30" s="81"/>
      <c r="BC30" s="78">
        <v>3</v>
      </c>
      <c r="BD30" s="80" t="str">
        <f>REPLACE(INDEX(GroupVertices[Group],MATCH(Edges37[[#This Row],[Vertex 1]],GroupVertices[Vertex],0)),1,1,"")</f>
        <v>2</v>
      </c>
      <c r="BE30" s="80" t="str">
        <f>REPLACE(INDEX(GroupVertices[Group],MATCH(Edges37[[#This Row],[Vertex 2]],GroupVertices[Vertex],0)),1,1,"")</f>
        <v>1</v>
      </c>
      <c r="BF30" s="49"/>
      <c r="BG30" s="50"/>
      <c r="BH30" s="49"/>
      <c r="BI30" s="50"/>
      <c r="BJ30" s="49"/>
      <c r="BK30" s="50"/>
      <c r="BL30" s="49"/>
      <c r="BM30" s="50"/>
      <c r="BN30" s="49"/>
    </row>
    <row r="31" spans="1:66" ht="15">
      <c r="A31" s="65" t="s">
        <v>580</v>
      </c>
      <c r="B31" s="65" t="s">
        <v>582</v>
      </c>
      <c r="C31" s="66"/>
      <c r="D31" s="67"/>
      <c r="E31" s="66"/>
      <c r="F31" s="69"/>
      <c r="G31" s="66"/>
      <c r="H31" s="70"/>
      <c r="I31" s="71"/>
      <c r="J31" s="71"/>
      <c r="K31" s="35" t="s">
        <v>66</v>
      </c>
      <c r="L31" s="72">
        <v>31</v>
      </c>
      <c r="M31" s="72"/>
      <c r="N31" s="73"/>
      <c r="O31" s="81" t="s">
        <v>262</v>
      </c>
      <c r="P31" s="83">
        <v>44692.287673611114</v>
      </c>
      <c r="Q31" s="81" t="s">
        <v>613</v>
      </c>
      <c r="R31"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1" s="81" t="s">
        <v>264</v>
      </c>
      <c r="T31" s="86" t="s">
        <v>634</v>
      </c>
      <c r="U31" s="81"/>
      <c r="V31" s="84" t="str">
        <f>HYPERLINK("https://pbs.twimg.com/profile_images/1521083114046758913/ia08w9bB_normal.jpg")</f>
        <v>https://pbs.twimg.com/profile_images/1521083114046758913/ia08w9bB_normal.jpg</v>
      </c>
      <c r="W31" s="83">
        <v>44692.287673611114</v>
      </c>
      <c r="X31" s="88">
        <v>44692</v>
      </c>
      <c r="Y31" s="86" t="s">
        <v>659</v>
      </c>
      <c r="Z31" s="84" t="str">
        <f>HYPERLINK("https://twitter.com/ariannagail1/status/1524281715971457024")</f>
        <v>https://twitter.com/ariannagail1/status/1524281715971457024</v>
      </c>
      <c r="AA31" s="81"/>
      <c r="AB31" s="81"/>
      <c r="AC31" s="86" t="s">
        <v>688</v>
      </c>
      <c r="AD31" s="81"/>
      <c r="AE31" s="81" t="b">
        <v>0</v>
      </c>
      <c r="AF31" s="81">
        <v>0</v>
      </c>
      <c r="AG31" s="86" t="s">
        <v>266</v>
      </c>
      <c r="AH31" s="81" t="b">
        <v>0</v>
      </c>
      <c r="AI31" s="81" t="s">
        <v>268</v>
      </c>
      <c r="AJ31" s="81"/>
      <c r="AK31" s="86" t="s">
        <v>266</v>
      </c>
      <c r="AL31" s="81" t="b">
        <v>0</v>
      </c>
      <c r="AM31" s="81">
        <v>2</v>
      </c>
      <c r="AN31" s="86" t="s">
        <v>689</v>
      </c>
      <c r="AO31" s="86" t="s">
        <v>270</v>
      </c>
      <c r="AP31" s="81" t="b">
        <v>0</v>
      </c>
      <c r="AQ31" s="86" t="s">
        <v>689</v>
      </c>
      <c r="AR31" s="81" t="s">
        <v>218</v>
      </c>
      <c r="AS31" s="81">
        <v>0</v>
      </c>
      <c r="AT31" s="81">
        <v>0</v>
      </c>
      <c r="AU31" s="81"/>
      <c r="AV31" s="81"/>
      <c r="AW31" s="81"/>
      <c r="AX31" s="81"/>
      <c r="AY31" s="81"/>
      <c r="AZ31" s="81"/>
      <c r="BA31" s="81"/>
      <c r="BB31" s="81"/>
      <c r="BC31" s="78">
        <v>2</v>
      </c>
      <c r="BD31" s="80" t="str">
        <f>REPLACE(INDEX(GroupVertices[Group],MATCH(Edges37[[#This Row],[Vertex 1]],GroupVertices[Vertex],0)),1,1,"")</f>
        <v>2</v>
      </c>
      <c r="BE31" s="80" t="str">
        <f>REPLACE(INDEX(GroupVertices[Group],MATCH(Edges37[[#This Row],[Vertex 2]],GroupVertices[Vertex],0)),1,1,"")</f>
        <v>1</v>
      </c>
      <c r="BF31" s="49"/>
      <c r="BG31" s="50"/>
      <c r="BH31" s="49"/>
      <c r="BI31" s="50"/>
      <c r="BJ31" s="49"/>
      <c r="BK31" s="50"/>
      <c r="BL31" s="49"/>
      <c r="BM31" s="50"/>
      <c r="BN31" s="49"/>
    </row>
    <row r="32" spans="1:66" ht="15">
      <c r="A32" s="65" t="s">
        <v>580</v>
      </c>
      <c r="B32" s="65" t="s">
        <v>595</v>
      </c>
      <c r="C32" s="66"/>
      <c r="D32" s="67"/>
      <c r="E32" s="66"/>
      <c r="F32" s="69"/>
      <c r="G32" s="66"/>
      <c r="H32" s="70"/>
      <c r="I32" s="71"/>
      <c r="J32" s="71"/>
      <c r="K32" s="35" t="s">
        <v>65</v>
      </c>
      <c r="L32" s="72">
        <v>32</v>
      </c>
      <c r="M32" s="72"/>
      <c r="N32" s="73"/>
      <c r="O32" s="81" t="s">
        <v>262</v>
      </c>
      <c r="P32" s="83">
        <v>44692.287673611114</v>
      </c>
      <c r="Q32" s="81" t="s">
        <v>613</v>
      </c>
      <c r="R32"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2" s="81" t="s">
        <v>264</v>
      </c>
      <c r="T32" s="86" t="s">
        <v>634</v>
      </c>
      <c r="U32" s="81"/>
      <c r="V32" s="84" t="str">
        <f>HYPERLINK("https://pbs.twimg.com/profile_images/1521083114046758913/ia08w9bB_normal.jpg")</f>
        <v>https://pbs.twimg.com/profile_images/1521083114046758913/ia08w9bB_normal.jpg</v>
      </c>
      <c r="W32" s="83">
        <v>44692.287673611114</v>
      </c>
      <c r="X32" s="88">
        <v>44692</v>
      </c>
      <c r="Y32" s="86" t="s">
        <v>659</v>
      </c>
      <c r="Z32" s="84" t="str">
        <f>HYPERLINK("https://twitter.com/ariannagail1/status/1524281715971457024")</f>
        <v>https://twitter.com/ariannagail1/status/1524281715971457024</v>
      </c>
      <c r="AA32" s="81"/>
      <c r="AB32" s="81"/>
      <c r="AC32" s="86" t="s">
        <v>688</v>
      </c>
      <c r="AD32" s="81"/>
      <c r="AE32" s="81" t="b">
        <v>0</v>
      </c>
      <c r="AF32" s="81">
        <v>0</v>
      </c>
      <c r="AG32" s="86" t="s">
        <v>266</v>
      </c>
      <c r="AH32" s="81" t="b">
        <v>0</v>
      </c>
      <c r="AI32" s="81" t="s">
        <v>268</v>
      </c>
      <c r="AJ32" s="81"/>
      <c r="AK32" s="86" t="s">
        <v>266</v>
      </c>
      <c r="AL32" s="81" t="b">
        <v>0</v>
      </c>
      <c r="AM32" s="81">
        <v>2</v>
      </c>
      <c r="AN32" s="86" t="s">
        <v>689</v>
      </c>
      <c r="AO32" s="86" t="s">
        <v>270</v>
      </c>
      <c r="AP32" s="81" t="b">
        <v>0</v>
      </c>
      <c r="AQ32" s="86" t="s">
        <v>689</v>
      </c>
      <c r="AR32" s="81" t="s">
        <v>218</v>
      </c>
      <c r="AS32" s="81">
        <v>0</v>
      </c>
      <c r="AT32" s="81">
        <v>0</v>
      </c>
      <c r="AU32" s="81"/>
      <c r="AV32" s="81"/>
      <c r="AW32" s="81"/>
      <c r="AX32" s="81"/>
      <c r="AY32" s="81"/>
      <c r="AZ32" s="81"/>
      <c r="BA32" s="81"/>
      <c r="BB32" s="81"/>
      <c r="BC32" s="78">
        <v>2</v>
      </c>
      <c r="BD32" s="80" t="str">
        <f>REPLACE(INDEX(GroupVertices[Group],MATCH(Edges37[[#This Row],[Vertex 1]],GroupVertices[Vertex],0)),1,1,"")</f>
        <v>2</v>
      </c>
      <c r="BE32" s="80" t="str">
        <f>REPLACE(INDEX(GroupVertices[Group],MATCH(Edges37[[#This Row],[Vertex 2]],GroupVertices[Vertex],0)),1,1,"")</f>
        <v>2</v>
      </c>
      <c r="BF32" s="49"/>
      <c r="BG32" s="50"/>
      <c r="BH32" s="49"/>
      <c r="BI32" s="50"/>
      <c r="BJ32" s="49"/>
      <c r="BK32" s="50"/>
      <c r="BL32" s="49"/>
      <c r="BM32" s="50"/>
      <c r="BN32" s="49"/>
    </row>
    <row r="33" spans="1:66" ht="15">
      <c r="A33" s="65" t="s">
        <v>580</v>
      </c>
      <c r="B33" s="65" t="s">
        <v>587</v>
      </c>
      <c r="C33" s="66"/>
      <c r="D33" s="67"/>
      <c r="E33" s="66"/>
      <c r="F33" s="69"/>
      <c r="G33" s="66"/>
      <c r="H33" s="70"/>
      <c r="I33" s="71"/>
      <c r="J33" s="71"/>
      <c r="K33" s="35" t="s">
        <v>65</v>
      </c>
      <c r="L33" s="72">
        <v>33</v>
      </c>
      <c r="M33" s="72"/>
      <c r="N33" s="73"/>
      <c r="O33" s="81" t="s">
        <v>262</v>
      </c>
      <c r="P33" s="83">
        <v>44692.287673611114</v>
      </c>
      <c r="Q33" s="81" t="s">
        <v>613</v>
      </c>
      <c r="R33"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3" s="81" t="s">
        <v>264</v>
      </c>
      <c r="T33" s="86" t="s">
        <v>634</v>
      </c>
      <c r="U33" s="81"/>
      <c r="V33" s="84" t="str">
        <f>HYPERLINK("https://pbs.twimg.com/profile_images/1521083114046758913/ia08w9bB_normal.jpg")</f>
        <v>https://pbs.twimg.com/profile_images/1521083114046758913/ia08w9bB_normal.jpg</v>
      </c>
      <c r="W33" s="83">
        <v>44692.287673611114</v>
      </c>
      <c r="X33" s="88">
        <v>44692</v>
      </c>
      <c r="Y33" s="86" t="s">
        <v>659</v>
      </c>
      <c r="Z33" s="84" t="str">
        <f>HYPERLINK("https://twitter.com/ariannagail1/status/1524281715971457024")</f>
        <v>https://twitter.com/ariannagail1/status/1524281715971457024</v>
      </c>
      <c r="AA33" s="81"/>
      <c r="AB33" s="81"/>
      <c r="AC33" s="86" t="s">
        <v>688</v>
      </c>
      <c r="AD33" s="81"/>
      <c r="AE33" s="81" t="b">
        <v>0</v>
      </c>
      <c r="AF33" s="81">
        <v>0</v>
      </c>
      <c r="AG33" s="86" t="s">
        <v>266</v>
      </c>
      <c r="AH33" s="81" t="b">
        <v>0</v>
      </c>
      <c r="AI33" s="81" t="s">
        <v>268</v>
      </c>
      <c r="AJ33" s="81"/>
      <c r="AK33" s="86" t="s">
        <v>266</v>
      </c>
      <c r="AL33" s="81" t="b">
        <v>0</v>
      </c>
      <c r="AM33" s="81">
        <v>2</v>
      </c>
      <c r="AN33" s="86" t="s">
        <v>689</v>
      </c>
      <c r="AO33" s="86" t="s">
        <v>270</v>
      </c>
      <c r="AP33" s="81" t="b">
        <v>0</v>
      </c>
      <c r="AQ33" s="86" t="s">
        <v>689</v>
      </c>
      <c r="AR33" s="81" t="s">
        <v>218</v>
      </c>
      <c r="AS33" s="81">
        <v>0</v>
      </c>
      <c r="AT33" s="81">
        <v>0</v>
      </c>
      <c r="AU33" s="81"/>
      <c r="AV33" s="81"/>
      <c r="AW33" s="81"/>
      <c r="AX33" s="81"/>
      <c r="AY33" s="81"/>
      <c r="AZ33" s="81"/>
      <c r="BA33" s="81"/>
      <c r="BB33" s="81"/>
      <c r="BC33" s="78">
        <v>2</v>
      </c>
      <c r="BD33" s="80" t="str">
        <f>REPLACE(INDEX(GroupVertices[Group],MATCH(Edges37[[#This Row],[Vertex 1]],GroupVertices[Vertex],0)),1,1,"")</f>
        <v>2</v>
      </c>
      <c r="BE33" s="80" t="str">
        <f>REPLACE(INDEX(GroupVertices[Group],MATCH(Edges37[[#This Row],[Vertex 2]],GroupVertices[Vertex],0)),1,1,"")</f>
        <v>4</v>
      </c>
      <c r="BF33" s="49"/>
      <c r="BG33" s="50"/>
      <c r="BH33" s="49"/>
      <c r="BI33" s="50"/>
      <c r="BJ33" s="49"/>
      <c r="BK33" s="50"/>
      <c r="BL33" s="49"/>
      <c r="BM33" s="50"/>
      <c r="BN33" s="49"/>
    </row>
    <row r="34" spans="1:66" ht="15">
      <c r="A34" s="65" t="s">
        <v>580</v>
      </c>
      <c r="B34" s="65" t="s">
        <v>257</v>
      </c>
      <c r="C34" s="66"/>
      <c r="D34" s="67"/>
      <c r="E34" s="66"/>
      <c r="F34" s="69"/>
      <c r="G34" s="66"/>
      <c r="H34" s="70"/>
      <c r="I34" s="71"/>
      <c r="J34" s="71"/>
      <c r="K34" s="35" t="s">
        <v>65</v>
      </c>
      <c r="L34" s="72">
        <v>34</v>
      </c>
      <c r="M34" s="72"/>
      <c r="N34" s="73"/>
      <c r="O34" s="81" t="s">
        <v>262</v>
      </c>
      <c r="P34" s="83">
        <v>44692.287673611114</v>
      </c>
      <c r="Q34" s="81" t="s">
        <v>613</v>
      </c>
      <c r="R34"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4" s="81" t="s">
        <v>264</v>
      </c>
      <c r="T34" s="86" t="s">
        <v>634</v>
      </c>
      <c r="U34" s="81"/>
      <c r="V34" s="84" t="str">
        <f>HYPERLINK("https://pbs.twimg.com/profile_images/1521083114046758913/ia08w9bB_normal.jpg")</f>
        <v>https://pbs.twimg.com/profile_images/1521083114046758913/ia08w9bB_normal.jpg</v>
      </c>
      <c r="W34" s="83">
        <v>44692.287673611114</v>
      </c>
      <c r="X34" s="88">
        <v>44692</v>
      </c>
      <c r="Y34" s="86" t="s">
        <v>659</v>
      </c>
      <c r="Z34" s="84" t="str">
        <f>HYPERLINK("https://twitter.com/ariannagail1/status/1524281715971457024")</f>
        <v>https://twitter.com/ariannagail1/status/1524281715971457024</v>
      </c>
      <c r="AA34" s="81"/>
      <c r="AB34" s="81"/>
      <c r="AC34" s="86" t="s">
        <v>688</v>
      </c>
      <c r="AD34" s="81"/>
      <c r="AE34" s="81" t="b">
        <v>0</v>
      </c>
      <c r="AF34" s="81">
        <v>0</v>
      </c>
      <c r="AG34" s="86" t="s">
        <v>266</v>
      </c>
      <c r="AH34" s="81" t="b">
        <v>0</v>
      </c>
      <c r="AI34" s="81" t="s">
        <v>268</v>
      </c>
      <c r="AJ34" s="81"/>
      <c r="AK34" s="86" t="s">
        <v>266</v>
      </c>
      <c r="AL34" s="81" t="b">
        <v>0</v>
      </c>
      <c r="AM34" s="81">
        <v>2</v>
      </c>
      <c r="AN34" s="86" t="s">
        <v>689</v>
      </c>
      <c r="AO34" s="86" t="s">
        <v>270</v>
      </c>
      <c r="AP34" s="81" t="b">
        <v>0</v>
      </c>
      <c r="AQ34" s="86" t="s">
        <v>689</v>
      </c>
      <c r="AR34" s="81" t="s">
        <v>218</v>
      </c>
      <c r="AS34" s="81">
        <v>0</v>
      </c>
      <c r="AT34" s="81">
        <v>0</v>
      </c>
      <c r="AU34" s="81"/>
      <c r="AV34" s="81"/>
      <c r="AW34" s="81"/>
      <c r="AX34" s="81"/>
      <c r="AY34" s="81"/>
      <c r="AZ34" s="81"/>
      <c r="BA34" s="81"/>
      <c r="BB34" s="81"/>
      <c r="BC34" s="78">
        <v>1</v>
      </c>
      <c r="BD34" s="80" t="str">
        <f>REPLACE(INDEX(GroupVertices[Group],MATCH(Edges37[[#This Row],[Vertex 1]],GroupVertices[Vertex],0)),1,1,"")</f>
        <v>2</v>
      </c>
      <c r="BE34" s="80" t="str">
        <f>REPLACE(INDEX(GroupVertices[Group],MATCH(Edges37[[#This Row],[Vertex 2]],GroupVertices[Vertex],0)),1,1,"")</f>
        <v>1</v>
      </c>
      <c r="BF34" s="49">
        <v>2</v>
      </c>
      <c r="BG34" s="50">
        <v>5.555555555555555</v>
      </c>
      <c r="BH34" s="49">
        <v>1</v>
      </c>
      <c r="BI34" s="50">
        <v>2.7777777777777777</v>
      </c>
      <c r="BJ34" s="49">
        <v>0</v>
      </c>
      <c r="BK34" s="50">
        <v>0</v>
      </c>
      <c r="BL34" s="49">
        <v>33</v>
      </c>
      <c r="BM34" s="50">
        <v>91.66666666666667</v>
      </c>
      <c r="BN34" s="49">
        <v>36</v>
      </c>
    </row>
    <row r="35" spans="1:66" ht="15">
      <c r="A35" s="65" t="s">
        <v>580</v>
      </c>
      <c r="B35" s="65" t="s">
        <v>581</v>
      </c>
      <c r="C35" s="66"/>
      <c r="D35" s="67"/>
      <c r="E35" s="66"/>
      <c r="F35" s="69"/>
      <c r="G35" s="66"/>
      <c r="H35" s="70"/>
      <c r="I35" s="71"/>
      <c r="J35" s="71"/>
      <c r="K35" s="35" t="s">
        <v>66</v>
      </c>
      <c r="L35" s="72">
        <v>35</v>
      </c>
      <c r="M35" s="72"/>
      <c r="N35" s="73"/>
      <c r="O35" s="81" t="s">
        <v>261</v>
      </c>
      <c r="P35" s="83">
        <v>44692.287673611114</v>
      </c>
      <c r="Q35" s="81" t="s">
        <v>613</v>
      </c>
      <c r="R35"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5" s="81" t="s">
        <v>264</v>
      </c>
      <c r="T35" s="86" t="s">
        <v>634</v>
      </c>
      <c r="U35" s="81"/>
      <c r="V35" s="84" t="str">
        <f>HYPERLINK("https://pbs.twimg.com/profile_images/1521083114046758913/ia08w9bB_normal.jpg")</f>
        <v>https://pbs.twimg.com/profile_images/1521083114046758913/ia08w9bB_normal.jpg</v>
      </c>
      <c r="W35" s="83">
        <v>44692.287673611114</v>
      </c>
      <c r="X35" s="88">
        <v>44692</v>
      </c>
      <c r="Y35" s="86" t="s">
        <v>659</v>
      </c>
      <c r="Z35" s="84" t="str">
        <f>HYPERLINK("https://twitter.com/ariannagail1/status/1524281715971457024")</f>
        <v>https://twitter.com/ariannagail1/status/1524281715971457024</v>
      </c>
      <c r="AA35" s="81"/>
      <c r="AB35" s="81"/>
      <c r="AC35" s="86" t="s">
        <v>688</v>
      </c>
      <c r="AD35" s="81"/>
      <c r="AE35" s="81" t="b">
        <v>0</v>
      </c>
      <c r="AF35" s="81">
        <v>0</v>
      </c>
      <c r="AG35" s="86" t="s">
        <v>266</v>
      </c>
      <c r="AH35" s="81" t="b">
        <v>0</v>
      </c>
      <c r="AI35" s="81" t="s">
        <v>268</v>
      </c>
      <c r="AJ35" s="81"/>
      <c r="AK35" s="86" t="s">
        <v>266</v>
      </c>
      <c r="AL35" s="81" t="b">
        <v>0</v>
      </c>
      <c r="AM35" s="81">
        <v>2</v>
      </c>
      <c r="AN35" s="86" t="s">
        <v>689</v>
      </c>
      <c r="AO35" s="86" t="s">
        <v>270</v>
      </c>
      <c r="AP35" s="81" t="b">
        <v>0</v>
      </c>
      <c r="AQ35" s="86" t="s">
        <v>689</v>
      </c>
      <c r="AR35" s="81" t="s">
        <v>218</v>
      </c>
      <c r="AS35" s="81">
        <v>0</v>
      </c>
      <c r="AT35" s="81">
        <v>0</v>
      </c>
      <c r="AU35" s="81"/>
      <c r="AV35" s="81"/>
      <c r="AW35" s="81"/>
      <c r="AX35" s="81"/>
      <c r="AY35" s="81"/>
      <c r="AZ35" s="81"/>
      <c r="BA35" s="81"/>
      <c r="BB35" s="81"/>
      <c r="BC35" s="78">
        <v>3</v>
      </c>
      <c r="BD35" s="80" t="str">
        <f>REPLACE(INDEX(GroupVertices[Group],MATCH(Edges37[[#This Row],[Vertex 1]],GroupVertices[Vertex],0)),1,1,"")</f>
        <v>2</v>
      </c>
      <c r="BE35" s="80" t="str">
        <f>REPLACE(INDEX(GroupVertices[Group],MATCH(Edges37[[#This Row],[Vertex 2]],GroupVertices[Vertex],0)),1,1,"")</f>
        <v>1</v>
      </c>
      <c r="BF35" s="49"/>
      <c r="BG35" s="50"/>
      <c r="BH35" s="49"/>
      <c r="BI35" s="50"/>
      <c r="BJ35" s="49"/>
      <c r="BK35" s="50"/>
      <c r="BL35" s="49"/>
      <c r="BM35" s="50"/>
      <c r="BN35" s="49"/>
    </row>
    <row r="36" spans="1:66" ht="15">
      <c r="A36" s="65" t="s">
        <v>581</v>
      </c>
      <c r="B36" s="65" t="s">
        <v>580</v>
      </c>
      <c r="C36" s="66"/>
      <c r="D36" s="67"/>
      <c r="E36" s="66"/>
      <c r="F36" s="69"/>
      <c r="G36" s="66"/>
      <c r="H36" s="70"/>
      <c r="I36" s="71"/>
      <c r="J36" s="71"/>
      <c r="K36" s="35" t="s">
        <v>66</v>
      </c>
      <c r="L36" s="72">
        <v>36</v>
      </c>
      <c r="M36" s="72"/>
      <c r="N36" s="73"/>
      <c r="O36" s="81" t="s">
        <v>259</v>
      </c>
      <c r="P36" s="83">
        <v>44692.19975694444</v>
      </c>
      <c r="Q36" s="81" t="s">
        <v>613</v>
      </c>
      <c r="R36"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6" s="81" t="s">
        <v>264</v>
      </c>
      <c r="T36" s="86" t="s">
        <v>634</v>
      </c>
      <c r="U36" s="81"/>
      <c r="V36" s="84" t="str">
        <f>HYPERLINK("https://pbs.twimg.com/profile_images/1509686418662068230/6_KXm14m_normal.jpg")</f>
        <v>https://pbs.twimg.com/profile_images/1509686418662068230/6_KXm14m_normal.jpg</v>
      </c>
      <c r="W36" s="83">
        <v>44692.19975694444</v>
      </c>
      <c r="X36" s="88">
        <v>44692</v>
      </c>
      <c r="Y36" s="86" t="s">
        <v>660</v>
      </c>
      <c r="Z36" s="84" t="str">
        <f>HYPERLINK("https://twitter.com/jennykaynz/status/1524249856658747392")</f>
        <v>https://twitter.com/jennykaynz/status/1524249856658747392</v>
      </c>
      <c r="AA36" s="81"/>
      <c r="AB36" s="81"/>
      <c r="AC36" s="86" t="s">
        <v>689</v>
      </c>
      <c r="AD36" s="81"/>
      <c r="AE36" s="81" t="b">
        <v>0</v>
      </c>
      <c r="AF36" s="81">
        <v>3</v>
      </c>
      <c r="AG36" s="86" t="s">
        <v>266</v>
      </c>
      <c r="AH36" s="81" t="b">
        <v>0</v>
      </c>
      <c r="AI36" s="81" t="s">
        <v>268</v>
      </c>
      <c r="AJ36" s="81"/>
      <c r="AK36" s="86" t="s">
        <v>266</v>
      </c>
      <c r="AL36" s="81" t="b">
        <v>0</v>
      </c>
      <c r="AM36" s="81">
        <v>2</v>
      </c>
      <c r="AN36" s="86" t="s">
        <v>266</v>
      </c>
      <c r="AO36" s="86" t="s">
        <v>269</v>
      </c>
      <c r="AP36" s="81" t="b">
        <v>0</v>
      </c>
      <c r="AQ36" s="86" t="s">
        <v>689</v>
      </c>
      <c r="AR36" s="81" t="s">
        <v>218</v>
      </c>
      <c r="AS36" s="81">
        <v>0</v>
      </c>
      <c r="AT36" s="81">
        <v>0</v>
      </c>
      <c r="AU36" s="81"/>
      <c r="AV36" s="81"/>
      <c r="AW36" s="81"/>
      <c r="AX36" s="81"/>
      <c r="AY36" s="81"/>
      <c r="AZ36" s="81"/>
      <c r="BA36" s="81"/>
      <c r="BB36" s="81"/>
      <c r="BC36" s="78">
        <v>1</v>
      </c>
      <c r="BD36" s="80" t="str">
        <f>REPLACE(INDEX(GroupVertices[Group],MATCH(Edges37[[#This Row],[Vertex 1]],GroupVertices[Vertex],0)),1,1,"")</f>
        <v>1</v>
      </c>
      <c r="BE36" s="80" t="str">
        <f>REPLACE(INDEX(GroupVertices[Group],MATCH(Edges37[[#This Row],[Vertex 2]],GroupVertices[Vertex],0)),1,1,"")</f>
        <v>2</v>
      </c>
      <c r="BF36" s="49"/>
      <c r="BG36" s="50"/>
      <c r="BH36" s="49"/>
      <c r="BI36" s="50"/>
      <c r="BJ36" s="49"/>
      <c r="BK36" s="50"/>
      <c r="BL36" s="49"/>
      <c r="BM36" s="50"/>
      <c r="BN36" s="49"/>
    </row>
    <row r="37" spans="1:66" ht="15">
      <c r="A37" s="65" t="s">
        <v>582</v>
      </c>
      <c r="B37" s="65" t="s">
        <v>580</v>
      </c>
      <c r="C37" s="66"/>
      <c r="D37" s="67"/>
      <c r="E37" s="66"/>
      <c r="F37" s="69"/>
      <c r="G37" s="66"/>
      <c r="H37" s="70"/>
      <c r="I37" s="71"/>
      <c r="J37" s="71"/>
      <c r="K37" s="35" t="s">
        <v>66</v>
      </c>
      <c r="L37" s="72">
        <v>37</v>
      </c>
      <c r="M37" s="72"/>
      <c r="N37" s="73"/>
      <c r="O37" s="81" t="s">
        <v>262</v>
      </c>
      <c r="P37" s="83">
        <v>44692.302569444444</v>
      </c>
      <c r="Q37" s="81" t="s">
        <v>613</v>
      </c>
      <c r="R37"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7" s="81" t="s">
        <v>264</v>
      </c>
      <c r="T37" s="86" t="s">
        <v>634</v>
      </c>
      <c r="U37" s="81"/>
      <c r="V37" s="84" t="str">
        <f>HYPERLINK("https://pbs.twimg.com/profile_images/1505255366879293442/znVK6sDd_normal.jpg")</f>
        <v>https://pbs.twimg.com/profile_images/1505255366879293442/znVK6sDd_normal.jpg</v>
      </c>
      <c r="W37" s="83">
        <v>44692.302569444444</v>
      </c>
      <c r="X37" s="88">
        <v>44692</v>
      </c>
      <c r="Y37" s="86" t="s">
        <v>661</v>
      </c>
      <c r="Z37" s="84" t="str">
        <f>HYPERLINK("https://twitter.com/endashnow/status/1524287114099179521")</f>
        <v>https://twitter.com/endashnow/status/1524287114099179521</v>
      </c>
      <c r="AA37" s="81"/>
      <c r="AB37" s="81"/>
      <c r="AC37" s="86" t="s">
        <v>690</v>
      </c>
      <c r="AD37" s="81"/>
      <c r="AE37" s="81" t="b">
        <v>0</v>
      </c>
      <c r="AF37" s="81">
        <v>0</v>
      </c>
      <c r="AG37" s="86" t="s">
        <v>266</v>
      </c>
      <c r="AH37" s="81" t="b">
        <v>0</v>
      </c>
      <c r="AI37" s="81" t="s">
        <v>268</v>
      </c>
      <c r="AJ37" s="81"/>
      <c r="AK37" s="86" t="s">
        <v>266</v>
      </c>
      <c r="AL37" s="81" t="b">
        <v>0</v>
      </c>
      <c r="AM37" s="81">
        <v>2</v>
      </c>
      <c r="AN37" s="86" t="s">
        <v>689</v>
      </c>
      <c r="AO37" s="86" t="s">
        <v>270</v>
      </c>
      <c r="AP37" s="81" t="b">
        <v>0</v>
      </c>
      <c r="AQ37" s="86" t="s">
        <v>689</v>
      </c>
      <c r="AR37" s="81" t="s">
        <v>218</v>
      </c>
      <c r="AS37" s="81">
        <v>0</v>
      </c>
      <c r="AT37" s="81">
        <v>0</v>
      </c>
      <c r="AU37" s="81"/>
      <c r="AV37" s="81"/>
      <c r="AW37" s="81"/>
      <c r="AX37" s="81"/>
      <c r="AY37" s="81"/>
      <c r="AZ37" s="81"/>
      <c r="BA37" s="81"/>
      <c r="BB37" s="81"/>
      <c r="BC37" s="78">
        <v>1</v>
      </c>
      <c r="BD37" s="80" t="str">
        <f>REPLACE(INDEX(GroupVertices[Group],MATCH(Edges37[[#This Row],[Vertex 1]],GroupVertices[Vertex],0)),1,1,"")</f>
        <v>1</v>
      </c>
      <c r="BE37" s="80" t="str">
        <f>REPLACE(INDEX(GroupVertices[Group],MATCH(Edges37[[#This Row],[Vertex 2]],GroupVertices[Vertex],0)),1,1,"")</f>
        <v>2</v>
      </c>
      <c r="BF37" s="49"/>
      <c r="BG37" s="50"/>
      <c r="BH37" s="49"/>
      <c r="BI37" s="50"/>
      <c r="BJ37" s="49"/>
      <c r="BK37" s="50"/>
      <c r="BL37" s="49"/>
      <c r="BM37" s="50"/>
      <c r="BN37" s="49"/>
    </row>
    <row r="38" spans="1:66" ht="15">
      <c r="A38" s="65" t="s">
        <v>581</v>
      </c>
      <c r="B38" s="65" t="s">
        <v>595</v>
      </c>
      <c r="C38" s="66"/>
      <c r="D38" s="67"/>
      <c r="E38" s="66"/>
      <c r="F38" s="69"/>
      <c r="G38" s="66"/>
      <c r="H38" s="70"/>
      <c r="I38" s="71"/>
      <c r="J38" s="71"/>
      <c r="K38" s="35" t="s">
        <v>65</v>
      </c>
      <c r="L38" s="72">
        <v>38</v>
      </c>
      <c r="M38" s="72"/>
      <c r="N38" s="73"/>
      <c r="O38" s="81" t="s">
        <v>259</v>
      </c>
      <c r="P38" s="83">
        <v>44690.05778935185</v>
      </c>
      <c r="Q38" s="81" t="s">
        <v>609</v>
      </c>
      <c r="R38" s="84" t="str">
        <f>HYPERLINK("https://www.stuff.co.nz/national/immigration/300580917/woman-who-has-overstayed-in-nz-for-16-years-granted-residence-due-to-family-ties")</f>
        <v>https://www.stuff.co.nz/national/immigration/300580917/woman-who-has-overstayed-in-nz-for-16-years-granted-residence-due-to-family-ties</v>
      </c>
      <c r="S38" s="81" t="s">
        <v>264</v>
      </c>
      <c r="T38" s="86" t="s">
        <v>582</v>
      </c>
      <c r="U38" s="81"/>
      <c r="V38" s="84" t="str">
        <f>HYPERLINK("https://pbs.twimg.com/profile_images/1509686418662068230/6_KXm14m_normal.jpg")</f>
        <v>https://pbs.twimg.com/profile_images/1509686418662068230/6_KXm14m_normal.jpg</v>
      </c>
      <c r="W38" s="83">
        <v>44690.05778935185</v>
      </c>
      <c r="X38" s="88">
        <v>44690</v>
      </c>
      <c r="Y38" s="86" t="s">
        <v>654</v>
      </c>
      <c r="Z38" s="84" t="str">
        <f>HYPERLINK("https://twitter.com/jennykaynz/status/1523473630767706112")</f>
        <v>https://twitter.com/jennykaynz/status/1523473630767706112</v>
      </c>
      <c r="AA38" s="81"/>
      <c r="AB38" s="81"/>
      <c r="AC38" s="86" t="s">
        <v>683</v>
      </c>
      <c r="AD38" s="81"/>
      <c r="AE38" s="81" t="b">
        <v>0</v>
      </c>
      <c r="AF38" s="81">
        <v>3</v>
      </c>
      <c r="AG38" s="86" t="s">
        <v>266</v>
      </c>
      <c r="AH38" s="81" t="b">
        <v>0</v>
      </c>
      <c r="AI38" s="81" t="s">
        <v>268</v>
      </c>
      <c r="AJ38" s="81"/>
      <c r="AK38" s="86" t="s">
        <v>266</v>
      </c>
      <c r="AL38" s="81" t="b">
        <v>0</v>
      </c>
      <c r="AM38" s="81">
        <v>1</v>
      </c>
      <c r="AN38" s="86" t="s">
        <v>266</v>
      </c>
      <c r="AO38" s="86" t="s">
        <v>269</v>
      </c>
      <c r="AP38" s="81" t="b">
        <v>0</v>
      </c>
      <c r="AQ38" s="86" t="s">
        <v>683</v>
      </c>
      <c r="AR38" s="81" t="s">
        <v>218</v>
      </c>
      <c r="AS38" s="81">
        <v>0</v>
      </c>
      <c r="AT38" s="81">
        <v>0</v>
      </c>
      <c r="AU38" s="81"/>
      <c r="AV38" s="81"/>
      <c r="AW38" s="81"/>
      <c r="AX38" s="81"/>
      <c r="AY38" s="81"/>
      <c r="AZ38" s="81"/>
      <c r="BA38" s="81"/>
      <c r="BB38" s="81"/>
      <c r="BC38" s="78">
        <v>2</v>
      </c>
      <c r="BD38" s="80" t="str">
        <f>REPLACE(INDEX(GroupVertices[Group],MATCH(Edges37[[#This Row],[Vertex 1]],GroupVertices[Vertex],0)),1,1,"")</f>
        <v>1</v>
      </c>
      <c r="BE38" s="80" t="str">
        <f>REPLACE(INDEX(GroupVertices[Group],MATCH(Edges37[[#This Row],[Vertex 2]],GroupVertices[Vertex],0)),1,1,"")</f>
        <v>2</v>
      </c>
      <c r="BF38" s="49">
        <v>1</v>
      </c>
      <c r="BG38" s="50">
        <v>3.5714285714285716</v>
      </c>
      <c r="BH38" s="49">
        <v>0</v>
      </c>
      <c r="BI38" s="50">
        <v>0</v>
      </c>
      <c r="BJ38" s="49">
        <v>0</v>
      </c>
      <c r="BK38" s="50">
        <v>0</v>
      </c>
      <c r="BL38" s="49">
        <v>27</v>
      </c>
      <c r="BM38" s="50">
        <v>96.42857142857143</v>
      </c>
      <c r="BN38" s="49">
        <v>28</v>
      </c>
    </row>
    <row r="39" spans="1:66" ht="15">
      <c r="A39" s="65" t="s">
        <v>581</v>
      </c>
      <c r="B39" s="65" t="s">
        <v>595</v>
      </c>
      <c r="C39" s="66"/>
      <c r="D39" s="67"/>
      <c r="E39" s="66"/>
      <c r="F39" s="69"/>
      <c r="G39" s="66"/>
      <c r="H39" s="70"/>
      <c r="I39" s="71"/>
      <c r="J39" s="71"/>
      <c r="K39" s="35" t="s">
        <v>65</v>
      </c>
      <c r="L39" s="72">
        <v>39</v>
      </c>
      <c r="M39" s="72"/>
      <c r="N39" s="73"/>
      <c r="O39" s="81" t="s">
        <v>259</v>
      </c>
      <c r="P39" s="83">
        <v>44692.19975694444</v>
      </c>
      <c r="Q39" s="81" t="s">
        <v>613</v>
      </c>
      <c r="R39"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39" s="81" t="s">
        <v>264</v>
      </c>
      <c r="T39" s="86" t="s">
        <v>634</v>
      </c>
      <c r="U39" s="81"/>
      <c r="V39" s="84" t="str">
        <f>HYPERLINK("https://pbs.twimg.com/profile_images/1509686418662068230/6_KXm14m_normal.jpg")</f>
        <v>https://pbs.twimg.com/profile_images/1509686418662068230/6_KXm14m_normal.jpg</v>
      </c>
      <c r="W39" s="83">
        <v>44692.19975694444</v>
      </c>
      <c r="X39" s="88">
        <v>44692</v>
      </c>
      <c r="Y39" s="86" t="s">
        <v>660</v>
      </c>
      <c r="Z39" s="84" t="str">
        <f>HYPERLINK("https://twitter.com/jennykaynz/status/1524249856658747392")</f>
        <v>https://twitter.com/jennykaynz/status/1524249856658747392</v>
      </c>
      <c r="AA39" s="81"/>
      <c r="AB39" s="81"/>
      <c r="AC39" s="86" t="s">
        <v>689</v>
      </c>
      <c r="AD39" s="81"/>
      <c r="AE39" s="81" t="b">
        <v>0</v>
      </c>
      <c r="AF39" s="81">
        <v>3</v>
      </c>
      <c r="AG39" s="86" t="s">
        <v>266</v>
      </c>
      <c r="AH39" s="81" t="b">
        <v>0</v>
      </c>
      <c r="AI39" s="81" t="s">
        <v>268</v>
      </c>
      <c r="AJ39" s="81"/>
      <c r="AK39" s="86" t="s">
        <v>266</v>
      </c>
      <c r="AL39" s="81" t="b">
        <v>0</v>
      </c>
      <c r="AM39" s="81">
        <v>2</v>
      </c>
      <c r="AN39" s="86" t="s">
        <v>266</v>
      </c>
      <c r="AO39" s="86" t="s">
        <v>269</v>
      </c>
      <c r="AP39" s="81" t="b">
        <v>0</v>
      </c>
      <c r="AQ39" s="86" t="s">
        <v>689</v>
      </c>
      <c r="AR39" s="81" t="s">
        <v>218</v>
      </c>
      <c r="AS39" s="81">
        <v>0</v>
      </c>
      <c r="AT39" s="81">
        <v>0</v>
      </c>
      <c r="AU39" s="81"/>
      <c r="AV39" s="81"/>
      <c r="AW39" s="81"/>
      <c r="AX39" s="81"/>
      <c r="AY39" s="81"/>
      <c r="AZ39" s="81"/>
      <c r="BA39" s="81"/>
      <c r="BB39" s="81"/>
      <c r="BC39" s="78">
        <v>2</v>
      </c>
      <c r="BD39" s="80" t="str">
        <f>REPLACE(INDEX(GroupVertices[Group],MATCH(Edges37[[#This Row],[Vertex 1]],GroupVertices[Vertex],0)),1,1,"")</f>
        <v>1</v>
      </c>
      <c r="BE39" s="80" t="str">
        <f>REPLACE(INDEX(GroupVertices[Group],MATCH(Edges37[[#This Row],[Vertex 2]],GroupVertices[Vertex],0)),1,1,"")</f>
        <v>2</v>
      </c>
      <c r="BF39" s="49"/>
      <c r="BG39" s="50"/>
      <c r="BH39" s="49"/>
      <c r="BI39" s="50"/>
      <c r="BJ39" s="49"/>
      <c r="BK39" s="50"/>
      <c r="BL39" s="49"/>
      <c r="BM39" s="50"/>
      <c r="BN39" s="49"/>
    </row>
    <row r="40" spans="1:66" ht="15">
      <c r="A40" s="65" t="s">
        <v>582</v>
      </c>
      <c r="B40" s="65" t="s">
        <v>595</v>
      </c>
      <c r="C40" s="66"/>
      <c r="D40" s="67"/>
      <c r="E40" s="66"/>
      <c r="F40" s="69"/>
      <c r="G40" s="66"/>
      <c r="H40" s="70"/>
      <c r="I40" s="71"/>
      <c r="J40" s="71"/>
      <c r="K40" s="35" t="s">
        <v>65</v>
      </c>
      <c r="L40" s="72">
        <v>40</v>
      </c>
      <c r="M40" s="72"/>
      <c r="N40" s="73"/>
      <c r="O40" s="81" t="s">
        <v>262</v>
      </c>
      <c r="P40" s="83">
        <v>44692.302569444444</v>
      </c>
      <c r="Q40" s="81" t="s">
        <v>613</v>
      </c>
      <c r="R40"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40" s="81" t="s">
        <v>264</v>
      </c>
      <c r="T40" s="86" t="s">
        <v>634</v>
      </c>
      <c r="U40" s="81"/>
      <c r="V40" s="84" t="str">
        <f>HYPERLINK("https://pbs.twimg.com/profile_images/1505255366879293442/znVK6sDd_normal.jpg")</f>
        <v>https://pbs.twimg.com/profile_images/1505255366879293442/znVK6sDd_normal.jpg</v>
      </c>
      <c r="W40" s="83">
        <v>44692.302569444444</v>
      </c>
      <c r="X40" s="88">
        <v>44692</v>
      </c>
      <c r="Y40" s="86" t="s">
        <v>661</v>
      </c>
      <c r="Z40" s="84" t="str">
        <f>HYPERLINK("https://twitter.com/endashnow/status/1524287114099179521")</f>
        <v>https://twitter.com/endashnow/status/1524287114099179521</v>
      </c>
      <c r="AA40" s="81"/>
      <c r="AB40" s="81"/>
      <c r="AC40" s="86" t="s">
        <v>690</v>
      </c>
      <c r="AD40" s="81"/>
      <c r="AE40" s="81" t="b">
        <v>0</v>
      </c>
      <c r="AF40" s="81">
        <v>0</v>
      </c>
      <c r="AG40" s="86" t="s">
        <v>266</v>
      </c>
      <c r="AH40" s="81" t="b">
        <v>0</v>
      </c>
      <c r="AI40" s="81" t="s">
        <v>268</v>
      </c>
      <c r="AJ40" s="81"/>
      <c r="AK40" s="86" t="s">
        <v>266</v>
      </c>
      <c r="AL40" s="81" t="b">
        <v>0</v>
      </c>
      <c r="AM40" s="81">
        <v>2</v>
      </c>
      <c r="AN40" s="86" t="s">
        <v>689</v>
      </c>
      <c r="AO40" s="86" t="s">
        <v>270</v>
      </c>
      <c r="AP40" s="81" t="b">
        <v>0</v>
      </c>
      <c r="AQ40" s="86" t="s">
        <v>689</v>
      </c>
      <c r="AR40" s="81" t="s">
        <v>218</v>
      </c>
      <c r="AS40" s="81">
        <v>0</v>
      </c>
      <c r="AT40" s="81">
        <v>0</v>
      </c>
      <c r="AU40" s="81"/>
      <c r="AV40" s="81"/>
      <c r="AW40" s="81"/>
      <c r="AX40" s="81"/>
      <c r="AY40" s="81"/>
      <c r="AZ40" s="81"/>
      <c r="BA40" s="81"/>
      <c r="BB40" s="81"/>
      <c r="BC40" s="78">
        <v>1</v>
      </c>
      <c r="BD40" s="80" t="str">
        <f>REPLACE(INDEX(GroupVertices[Group],MATCH(Edges37[[#This Row],[Vertex 1]],GroupVertices[Vertex],0)),1,1,"")</f>
        <v>1</v>
      </c>
      <c r="BE40" s="80" t="str">
        <f>REPLACE(INDEX(GroupVertices[Group],MATCH(Edges37[[#This Row],[Vertex 2]],GroupVertices[Vertex],0)),1,1,"")</f>
        <v>2</v>
      </c>
      <c r="BF40" s="49"/>
      <c r="BG40" s="50"/>
      <c r="BH40" s="49"/>
      <c r="BI40" s="50"/>
      <c r="BJ40" s="49"/>
      <c r="BK40" s="50"/>
      <c r="BL40" s="49"/>
      <c r="BM40" s="50"/>
      <c r="BN40" s="49"/>
    </row>
    <row r="41" spans="1:66" ht="15">
      <c r="A41" s="65" t="s">
        <v>581</v>
      </c>
      <c r="B41" s="65" t="s">
        <v>257</v>
      </c>
      <c r="C41" s="66"/>
      <c r="D41" s="67"/>
      <c r="E41" s="66"/>
      <c r="F41" s="69"/>
      <c r="G41" s="66"/>
      <c r="H41" s="70"/>
      <c r="I41" s="71"/>
      <c r="J41" s="71"/>
      <c r="K41" s="35" t="s">
        <v>65</v>
      </c>
      <c r="L41" s="72">
        <v>41</v>
      </c>
      <c r="M41" s="72"/>
      <c r="N41" s="73"/>
      <c r="O41" s="81" t="s">
        <v>259</v>
      </c>
      <c r="P41" s="83">
        <v>44692.19975694444</v>
      </c>
      <c r="Q41" s="81" t="s">
        <v>613</v>
      </c>
      <c r="R41"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41" s="81" t="s">
        <v>264</v>
      </c>
      <c r="T41" s="86" t="s">
        <v>634</v>
      </c>
      <c r="U41" s="81"/>
      <c r="V41" s="84" t="str">
        <f>HYPERLINK("https://pbs.twimg.com/profile_images/1509686418662068230/6_KXm14m_normal.jpg")</f>
        <v>https://pbs.twimg.com/profile_images/1509686418662068230/6_KXm14m_normal.jpg</v>
      </c>
      <c r="W41" s="83">
        <v>44692.19975694444</v>
      </c>
      <c r="X41" s="88">
        <v>44692</v>
      </c>
      <c r="Y41" s="86" t="s">
        <v>660</v>
      </c>
      <c r="Z41" s="84" t="str">
        <f>HYPERLINK("https://twitter.com/jennykaynz/status/1524249856658747392")</f>
        <v>https://twitter.com/jennykaynz/status/1524249856658747392</v>
      </c>
      <c r="AA41" s="81"/>
      <c r="AB41" s="81"/>
      <c r="AC41" s="86" t="s">
        <v>689</v>
      </c>
      <c r="AD41" s="81"/>
      <c r="AE41" s="81" t="b">
        <v>0</v>
      </c>
      <c r="AF41" s="81">
        <v>3</v>
      </c>
      <c r="AG41" s="86" t="s">
        <v>266</v>
      </c>
      <c r="AH41" s="81" t="b">
        <v>0</v>
      </c>
      <c r="AI41" s="81" t="s">
        <v>268</v>
      </c>
      <c r="AJ41" s="81"/>
      <c r="AK41" s="86" t="s">
        <v>266</v>
      </c>
      <c r="AL41" s="81" t="b">
        <v>0</v>
      </c>
      <c r="AM41" s="81">
        <v>2</v>
      </c>
      <c r="AN41" s="86" t="s">
        <v>266</v>
      </c>
      <c r="AO41" s="86" t="s">
        <v>269</v>
      </c>
      <c r="AP41" s="81" t="b">
        <v>0</v>
      </c>
      <c r="AQ41" s="86" t="s">
        <v>689</v>
      </c>
      <c r="AR41" s="81" t="s">
        <v>218</v>
      </c>
      <c r="AS41" s="81">
        <v>0</v>
      </c>
      <c r="AT41" s="81">
        <v>0</v>
      </c>
      <c r="AU41" s="81"/>
      <c r="AV41" s="81"/>
      <c r="AW41" s="81"/>
      <c r="AX41" s="81"/>
      <c r="AY41" s="81"/>
      <c r="AZ41" s="81"/>
      <c r="BA41" s="81"/>
      <c r="BB41" s="81"/>
      <c r="BC41" s="78">
        <v>1</v>
      </c>
      <c r="BD41" s="80" t="str">
        <f>REPLACE(INDEX(GroupVertices[Group],MATCH(Edges37[[#This Row],[Vertex 1]],GroupVertices[Vertex],0)),1,1,"")</f>
        <v>1</v>
      </c>
      <c r="BE41" s="80" t="str">
        <f>REPLACE(INDEX(GroupVertices[Group],MATCH(Edges37[[#This Row],[Vertex 2]],GroupVertices[Vertex],0)),1,1,"")</f>
        <v>1</v>
      </c>
      <c r="BF41" s="49">
        <v>2</v>
      </c>
      <c r="BG41" s="50">
        <v>5.555555555555555</v>
      </c>
      <c r="BH41" s="49">
        <v>1</v>
      </c>
      <c r="BI41" s="50">
        <v>2.7777777777777777</v>
      </c>
      <c r="BJ41" s="49">
        <v>0</v>
      </c>
      <c r="BK41" s="50">
        <v>0</v>
      </c>
      <c r="BL41" s="49">
        <v>33</v>
      </c>
      <c r="BM41" s="50">
        <v>91.66666666666667</v>
      </c>
      <c r="BN41" s="49">
        <v>36</v>
      </c>
    </row>
    <row r="42" spans="1:66" ht="15">
      <c r="A42" s="65" t="s">
        <v>582</v>
      </c>
      <c r="B42" s="65" t="s">
        <v>257</v>
      </c>
      <c r="C42" s="66"/>
      <c r="D42" s="67"/>
      <c r="E42" s="66"/>
      <c r="F42" s="69"/>
      <c r="G42" s="66"/>
      <c r="H42" s="70"/>
      <c r="I42" s="71"/>
      <c r="J42" s="71"/>
      <c r="K42" s="35" t="s">
        <v>65</v>
      </c>
      <c r="L42" s="72">
        <v>42</v>
      </c>
      <c r="M42" s="72"/>
      <c r="N42" s="73"/>
      <c r="O42" s="81" t="s">
        <v>262</v>
      </c>
      <c r="P42" s="83">
        <v>44692.302569444444</v>
      </c>
      <c r="Q42" s="81" t="s">
        <v>613</v>
      </c>
      <c r="R42"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42" s="81" t="s">
        <v>264</v>
      </c>
      <c r="T42" s="86" t="s">
        <v>634</v>
      </c>
      <c r="U42" s="81"/>
      <c r="V42" s="84" t="str">
        <f>HYPERLINK("https://pbs.twimg.com/profile_images/1505255366879293442/znVK6sDd_normal.jpg")</f>
        <v>https://pbs.twimg.com/profile_images/1505255366879293442/znVK6sDd_normal.jpg</v>
      </c>
      <c r="W42" s="83">
        <v>44692.302569444444</v>
      </c>
      <c r="X42" s="88">
        <v>44692</v>
      </c>
      <c r="Y42" s="86" t="s">
        <v>661</v>
      </c>
      <c r="Z42" s="84" t="str">
        <f>HYPERLINK("https://twitter.com/endashnow/status/1524287114099179521")</f>
        <v>https://twitter.com/endashnow/status/1524287114099179521</v>
      </c>
      <c r="AA42" s="81"/>
      <c r="AB42" s="81"/>
      <c r="AC42" s="86" t="s">
        <v>690</v>
      </c>
      <c r="AD42" s="81"/>
      <c r="AE42" s="81" t="b">
        <v>0</v>
      </c>
      <c r="AF42" s="81">
        <v>0</v>
      </c>
      <c r="AG42" s="86" t="s">
        <v>266</v>
      </c>
      <c r="AH42" s="81" t="b">
        <v>0</v>
      </c>
      <c r="AI42" s="81" t="s">
        <v>268</v>
      </c>
      <c r="AJ42" s="81"/>
      <c r="AK42" s="86" t="s">
        <v>266</v>
      </c>
      <c r="AL42" s="81" t="b">
        <v>0</v>
      </c>
      <c r="AM42" s="81">
        <v>2</v>
      </c>
      <c r="AN42" s="86" t="s">
        <v>689</v>
      </c>
      <c r="AO42" s="86" t="s">
        <v>270</v>
      </c>
      <c r="AP42" s="81" t="b">
        <v>0</v>
      </c>
      <c r="AQ42" s="86" t="s">
        <v>689</v>
      </c>
      <c r="AR42" s="81" t="s">
        <v>218</v>
      </c>
      <c r="AS42" s="81">
        <v>0</v>
      </c>
      <c r="AT42" s="81">
        <v>0</v>
      </c>
      <c r="AU42" s="81"/>
      <c r="AV42" s="81"/>
      <c r="AW42" s="81"/>
      <c r="AX42" s="81"/>
      <c r="AY42" s="81"/>
      <c r="AZ42" s="81"/>
      <c r="BA42" s="81"/>
      <c r="BB42" s="81"/>
      <c r="BC42" s="78">
        <v>1</v>
      </c>
      <c r="BD42" s="80" t="str">
        <f>REPLACE(INDEX(GroupVertices[Group],MATCH(Edges37[[#This Row],[Vertex 1]],GroupVertices[Vertex],0)),1,1,"")</f>
        <v>1</v>
      </c>
      <c r="BE42" s="80" t="str">
        <f>REPLACE(INDEX(GroupVertices[Group],MATCH(Edges37[[#This Row],[Vertex 2]],GroupVertices[Vertex],0)),1,1,"")</f>
        <v>1</v>
      </c>
      <c r="BF42" s="49">
        <v>2</v>
      </c>
      <c r="BG42" s="50">
        <v>5.555555555555555</v>
      </c>
      <c r="BH42" s="49">
        <v>1</v>
      </c>
      <c r="BI42" s="50">
        <v>2.7777777777777777</v>
      </c>
      <c r="BJ42" s="49">
        <v>0</v>
      </c>
      <c r="BK42" s="50">
        <v>0</v>
      </c>
      <c r="BL42" s="49">
        <v>33</v>
      </c>
      <c r="BM42" s="50">
        <v>91.66666666666667</v>
      </c>
      <c r="BN42" s="49">
        <v>36</v>
      </c>
    </row>
    <row r="43" spans="1:66" ht="15">
      <c r="A43" s="65" t="s">
        <v>581</v>
      </c>
      <c r="B43" s="65" t="s">
        <v>596</v>
      </c>
      <c r="C43" s="66"/>
      <c r="D43" s="67"/>
      <c r="E43" s="66"/>
      <c r="F43" s="69"/>
      <c r="G43" s="66"/>
      <c r="H43" s="70"/>
      <c r="I43" s="71"/>
      <c r="J43" s="71"/>
      <c r="K43" s="35" t="s">
        <v>65</v>
      </c>
      <c r="L43" s="72">
        <v>43</v>
      </c>
      <c r="M43" s="72"/>
      <c r="N43" s="73"/>
      <c r="O43" s="81" t="s">
        <v>259</v>
      </c>
      <c r="P43" s="83">
        <v>44695.98631944445</v>
      </c>
      <c r="Q43" s="81" t="s">
        <v>614</v>
      </c>
      <c r="R43" s="81"/>
      <c r="S43" s="81"/>
      <c r="T43" s="86" t="s">
        <v>635</v>
      </c>
      <c r="U43" s="81"/>
      <c r="V43" s="84" t="str">
        <f>HYPERLINK("https://pbs.twimg.com/profile_images/1509686418662068230/6_KXm14m_normal.jpg")</f>
        <v>https://pbs.twimg.com/profile_images/1509686418662068230/6_KXm14m_normal.jpg</v>
      </c>
      <c r="W43" s="83">
        <v>44695.98631944445</v>
      </c>
      <c r="X43" s="88">
        <v>44695</v>
      </c>
      <c r="Y43" s="86" t="s">
        <v>662</v>
      </c>
      <c r="Z43" s="84" t="str">
        <f>HYPERLINK("https://twitter.com/jennykaynz/status/1525622058943582208")</f>
        <v>https://twitter.com/jennykaynz/status/1525622058943582208</v>
      </c>
      <c r="AA43" s="81"/>
      <c r="AB43" s="81"/>
      <c r="AC43" s="86" t="s">
        <v>691</v>
      </c>
      <c r="AD43" s="81"/>
      <c r="AE43" s="81" t="b">
        <v>0</v>
      </c>
      <c r="AF43" s="81">
        <v>6</v>
      </c>
      <c r="AG43" s="86" t="s">
        <v>266</v>
      </c>
      <c r="AH43" s="81" t="b">
        <v>0</v>
      </c>
      <c r="AI43" s="81" t="s">
        <v>268</v>
      </c>
      <c r="AJ43" s="81"/>
      <c r="AK43" s="86" t="s">
        <v>266</v>
      </c>
      <c r="AL43" s="81" t="b">
        <v>0</v>
      </c>
      <c r="AM43" s="81">
        <v>1</v>
      </c>
      <c r="AN43" s="86" t="s">
        <v>266</v>
      </c>
      <c r="AO43" s="86" t="s">
        <v>269</v>
      </c>
      <c r="AP43" s="81" t="b">
        <v>0</v>
      </c>
      <c r="AQ43" s="86" t="s">
        <v>691</v>
      </c>
      <c r="AR43" s="81" t="s">
        <v>218</v>
      </c>
      <c r="AS43" s="81">
        <v>0</v>
      </c>
      <c r="AT43" s="81">
        <v>0</v>
      </c>
      <c r="AU43" s="81"/>
      <c r="AV43" s="81"/>
      <c r="AW43" s="81"/>
      <c r="AX43" s="81"/>
      <c r="AY43" s="81"/>
      <c r="AZ43" s="81"/>
      <c r="BA43" s="81"/>
      <c r="BB43" s="81"/>
      <c r="BC43" s="78">
        <v>1</v>
      </c>
      <c r="BD43" s="80" t="str">
        <f>REPLACE(INDEX(GroupVertices[Group],MATCH(Edges37[[#This Row],[Vertex 1]],GroupVertices[Vertex],0)),1,1,"")</f>
        <v>1</v>
      </c>
      <c r="BE43" s="80" t="str">
        <f>REPLACE(INDEX(GroupVertices[Group],MATCH(Edges37[[#This Row],[Vertex 2]],GroupVertices[Vertex],0)),1,1,"")</f>
        <v>1</v>
      </c>
      <c r="BF43" s="49"/>
      <c r="BG43" s="50"/>
      <c r="BH43" s="49"/>
      <c r="BI43" s="50"/>
      <c r="BJ43" s="49"/>
      <c r="BK43" s="50"/>
      <c r="BL43" s="49"/>
      <c r="BM43" s="50"/>
      <c r="BN43" s="49"/>
    </row>
    <row r="44" spans="1:66" ht="15">
      <c r="A44" s="65" t="s">
        <v>582</v>
      </c>
      <c r="B44" s="65" t="s">
        <v>596</v>
      </c>
      <c r="C44" s="66"/>
      <c r="D44" s="67"/>
      <c r="E44" s="66"/>
      <c r="F44" s="69"/>
      <c r="G44" s="66"/>
      <c r="H44" s="70"/>
      <c r="I44" s="71"/>
      <c r="J44" s="71"/>
      <c r="K44" s="35" t="s">
        <v>65</v>
      </c>
      <c r="L44" s="72">
        <v>44</v>
      </c>
      <c r="M44" s="72"/>
      <c r="N44" s="73"/>
      <c r="O44" s="81" t="s">
        <v>262</v>
      </c>
      <c r="P44" s="83">
        <v>44696.12002314815</v>
      </c>
      <c r="Q44" s="81" t="s">
        <v>614</v>
      </c>
      <c r="R44" s="81"/>
      <c r="S44" s="81"/>
      <c r="T44" s="86" t="s">
        <v>635</v>
      </c>
      <c r="U44" s="81"/>
      <c r="V44" s="84" t="str">
        <f>HYPERLINK("https://pbs.twimg.com/profile_images/1505255366879293442/znVK6sDd_normal.jpg")</f>
        <v>https://pbs.twimg.com/profile_images/1505255366879293442/znVK6sDd_normal.jpg</v>
      </c>
      <c r="W44" s="83">
        <v>44696.12002314815</v>
      </c>
      <c r="X44" s="88">
        <v>44696</v>
      </c>
      <c r="Y44" s="86" t="s">
        <v>663</v>
      </c>
      <c r="Z44" s="84" t="str">
        <f>HYPERLINK("https://twitter.com/endashnow/status/1525670511443083264")</f>
        <v>https://twitter.com/endashnow/status/1525670511443083264</v>
      </c>
      <c r="AA44" s="81"/>
      <c r="AB44" s="81"/>
      <c r="AC44" s="86" t="s">
        <v>692</v>
      </c>
      <c r="AD44" s="81"/>
      <c r="AE44" s="81" t="b">
        <v>0</v>
      </c>
      <c r="AF44" s="81">
        <v>0</v>
      </c>
      <c r="AG44" s="86" t="s">
        <v>266</v>
      </c>
      <c r="AH44" s="81" t="b">
        <v>0</v>
      </c>
      <c r="AI44" s="81" t="s">
        <v>268</v>
      </c>
      <c r="AJ44" s="81"/>
      <c r="AK44" s="86" t="s">
        <v>266</v>
      </c>
      <c r="AL44" s="81" t="b">
        <v>0</v>
      </c>
      <c r="AM44" s="81">
        <v>1</v>
      </c>
      <c r="AN44" s="86" t="s">
        <v>691</v>
      </c>
      <c r="AO44" s="86" t="s">
        <v>272</v>
      </c>
      <c r="AP44" s="81" t="b">
        <v>0</v>
      </c>
      <c r="AQ44" s="86" t="s">
        <v>691</v>
      </c>
      <c r="AR44" s="81" t="s">
        <v>218</v>
      </c>
      <c r="AS44" s="81">
        <v>0</v>
      </c>
      <c r="AT44" s="81">
        <v>0</v>
      </c>
      <c r="AU44" s="81"/>
      <c r="AV44" s="81"/>
      <c r="AW44" s="81"/>
      <c r="AX44" s="81"/>
      <c r="AY44" s="81"/>
      <c r="AZ44" s="81"/>
      <c r="BA44" s="81"/>
      <c r="BB44" s="81"/>
      <c r="BC44" s="78">
        <v>1</v>
      </c>
      <c r="BD44" s="80" t="str">
        <f>REPLACE(INDEX(GroupVertices[Group],MATCH(Edges37[[#This Row],[Vertex 1]],GroupVertices[Vertex],0)),1,1,"")</f>
        <v>1</v>
      </c>
      <c r="BE44" s="80" t="str">
        <f>REPLACE(INDEX(GroupVertices[Group],MATCH(Edges37[[#This Row],[Vertex 2]],GroupVertices[Vertex],0)),1,1,"")</f>
        <v>1</v>
      </c>
      <c r="BF44" s="49"/>
      <c r="BG44" s="50"/>
      <c r="BH44" s="49"/>
      <c r="BI44" s="50"/>
      <c r="BJ44" s="49"/>
      <c r="BK44" s="50"/>
      <c r="BL44" s="49"/>
      <c r="BM44" s="50"/>
      <c r="BN44" s="49"/>
    </row>
    <row r="45" spans="1:66" ht="15">
      <c r="A45" s="65" t="s">
        <v>581</v>
      </c>
      <c r="B45" s="65" t="s">
        <v>597</v>
      </c>
      <c r="C45" s="66"/>
      <c r="D45" s="67"/>
      <c r="E45" s="66"/>
      <c r="F45" s="69"/>
      <c r="G45" s="66"/>
      <c r="H45" s="70"/>
      <c r="I45" s="71"/>
      <c r="J45" s="71"/>
      <c r="K45" s="35" t="s">
        <v>65</v>
      </c>
      <c r="L45" s="72">
        <v>45</v>
      </c>
      <c r="M45" s="72"/>
      <c r="N45" s="73"/>
      <c r="O45" s="81" t="s">
        <v>259</v>
      </c>
      <c r="P45" s="83">
        <v>44695.98631944445</v>
      </c>
      <c r="Q45" s="81" t="s">
        <v>614</v>
      </c>
      <c r="R45" s="81"/>
      <c r="S45" s="81"/>
      <c r="T45" s="86" t="s">
        <v>635</v>
      </c>
      <c r="U45" s="81"/>
      <c r="V45" s="84" t="str">
        <f>HYPERLINK("https://pbs.twimg.com/profile_images/1509686418662068230/6_KXm14m_normal.jpg")</f>
        <v>https://pbs.twimg.com/profile_images/1509686418662068230/6_KXm14m_normal.jpg</v>
      </c>
      <c r="W45" s="83">
        <v>44695.98631944445</v>
      </c>
      <c r="X45" s="88">
        <v>44695</v>
      </c>
      <c r="Y45" s="86" t="s">
        <v>662</v>
      </c>
      <c r="Z45" s="84" t="str">
        <f>HYPERLINK("https://twitter.com/jennykaynz/status/1525622058943582208")</f>
        <v>https://twitter.com/jennykaynz/status/1525622058943582208</v>
      </c>
      <c r="AA45" s="81"/>
      <c r="AB45" s="81"/>
      <c r="AC45" s="86" t="s">
        <v>691</v>
      </c>
      <c r="AD45" s="81"/>
      <c r="AE45" s="81" t="b">
        <v>0</v>
      </c>
      <c r="AF45" s="81">
        <v>6</v>
      </c>
      <c r="AG45" s="86" t="s">
        <v>266</v>
      </c>
      <c r="AH45" s="81" t="b">
        <v>0</v>
      </c>
      <c r="AI45" s="81" t="s">
        <v>268</v>
      </c>
      <c r="AJ45" s="81"/>
      <c r="AK45" s="86" t="s">
        <v>266</v>
      </c>
      <c r="AL45" s="81" t="b">
        <v>0</v>
      </c>
      <c r="AM45" s="81">
        <v>1</v>
      </c>
      <c r="AN45" s="86" t="s">
        <v>266</v>
      </c>
      <c r="AO45" s="86" t="s">
        <v>269</v>
      </c>
      <c r="AP45" s="81" t="b">
        <v>0</v>
      </c>
      <c r="AQ45" s="86" t="s">
        <v>691</v>
      </c>
      <c r="AR45" s="81" t="s">
        <v>218</v>
      </c>
      <c r="AS45" s="81">
        <v>0</v>
      </c>
      <c r="AT45" s="81">
        <v>0</v>
      </c>
      <c r="AU45" s="81"/>
      <c r="AV45" s="81"/>
      <c r="AW45" s="81"/>
      <c r="AX45" s="81"/>
      <c r="AY45" s="81"/>
      <c r="AZ45" s="81"/>
      <c r="BA45" s="81"/>
      <c r="BB45" s="81"/>
      <c r="BC45" s="78">
        <v>1</v>
      </c>
      <c r="BD45" s="80" t="str">
        <f>REPLACE(INDEX(GroupVertices[Group],MATCH(Edges37[[#This Row],[Vertex 1]],GroupVertices[Vertex],0)),1,1,"")</f>
        <v>1</v>
      </c>
      <c r="BE45" s="80" t="str">
        <f>REPLACE(INDEX(GroupVertices[Group],MATCH(Edges37[[#This Row],[Vertex 2]],GroupVertices[Vertex],0)),1,1,"")</f>
        <v>1</v>
      </c>
      <c r="BF45" s="49">
        <v>0</v>
      </c>
      <c r="BG45" s="50">
        <v>0</v>
      </c>
      <c r="BH45" s="49">
        <v>2</v>
      </c>
      <c r="BI45" s="50">
        <v>4.761904761904762</v>
      </c>
      <c r="BJ45" s="49">
        <v>0</v>
      </c>
      <c r="BK45" s="50">
        <v>0</v>
      </c>
      <c r="BL45" s="49">
        <v>40</v>
      </c>
      <c r="BM45" s="50">
        <v>95.23809523809524</v>
      </c>
      <c r="BN45" s="49">
        <v>42</v>
      </c>
    </row>
    <row r="46" spans="1:66" ht="15">
      <c r="A46" s="65" t="s">
        <v>582</v>
      </c>
      <c r="B46" s="65" t="s">
        <v>597</v>
      </c>
      <c r="C46" s="66"/>
      <c r="D46" s="67"/>
      <c r="E46" s="66"/>
      <c r="F46" s="69"/>
      <c r="G46" s="66"/>
      <c r="H46" s="70"/>
      <c r="I46" s="71"/>
      <c r="J46" s="71"/>
      <c r="K46" s="35" t="s">
        <v>65</v>
      </c>
      <c r="L46" s="72">
        <v>46</v>
      </c>
      <c r="M46" s="72"/>
      <c r="N46" s="73"/>
      <c r="O46" s="81" t="s">
        <v>262</v>
      </c>
      <c r="P46" s="83">
        <v>44696.12002314815</v>
      </c>
      <c r="Q46" s="81" t="s">
        <v>614</v>
      </c>
      <c r="R46" s="81"/>
      <c r="S46" s="81"/>
      <c r="T46" s="86" t="s">
        <v>635</v>
      </c>
      <c r="U46" s="81"/>
      <c r="V46" s="84" t="str">
        <f>HYPERLINK("https://pbs.twimg.com/profile_images/1505255366879293442/znVK6sDd_normal.jpg")</f>
        <v>https://pbs.twimg.com/profile_images/1505255366879293442/znVK6sDd_normal.jpg</v>
      </c>
      <c r="W46" s="83">
        <v>44696.12002314815</v>
      </c>
      <c r="X46" s="88">
        <v>44696</v>
      </c>
      <c r="Y46" s="86" t="s">
        <v>663</v>
      </c>
      <c r="Z46" s="84" t="str">
        <f>HYPERLINK("https://twitter.com/endashnow/status/1525670511443083264")</f>
        <v>https://twitter.com/endashnow/status/1525670511443083264</v>
      </c>
      <c r="AA46" s="81"/>
      <c r="AB46" s="81"/>
      <c r="AC46" s="86" t="s">
        <v>692</v>
      </c>
      <c r="AD46" s="81"/>
      <c r="AE46" s="81" t="b">
        <v>0</v>
      </c>
      <c r="AF46" s="81">
        <v>0</v>
      </c>
      <c r="AG46" s="86" t="s">
        <v>266</v>
      </c>
      <c r="AH46" s="81" t="b">
        <v>0</v>
      </c>
      <c r="AI46" s="81" t="s">
        <v>268</v>
      </c>
      <c r="AJ46" s="81"/>
      <c r="AK46" s="86" t="s">
        <v>266</v>
      </c>
      <c r="AL46" s="81" t="b">
        <v>0</v>
      </c>
      <c r="AM46" s="81">
        <v>1</v>
      </c>
      <c r="AN46" s="86" t="s">
        <v>691</v>
      </c>
      <c r="AO46" s="86" t="s">
        <v>272</v>
      </c>
      <c r="AP46" s="81" t="b">
        <v>0</v>
      </c>
      <c r="AQ46" s="86" t="s">
        <v>691</v>
      </c>
      <c r="AR46" s="81" t="s">
        <v>218</v>
      </c>
      <c r="AS46" s="81">
        <v>0</v>
      </c>
      <c r="AT46" s="81">
        <v>0</v>
      </c>
      <c r="AU46" s="81"/>
      <c r="AV46" s="81"/>
      <c r="AW46" s="81"/>
      <c r="AX46" s="81"/>
      <c r="AY46" s="81"/>
      <c r="AZ46" s="81"/>
      <c r="BA46" s="81"/>
      <c r="BB46" s="81"/>
      <c r="BC46" s="78">
        <v>1</v>
      </c>
      <c r="BD46" s="80" t="str">
        <f>REPLACE(INDEX(GroupVertices[Group],MATCH(Edges37[[#This Row],[Vertex 1]],GroupVertices[Vertex],0)),1,1,"")</f>
        <v>1</v>
      </c>
      <c r="BE46" s="80" t="str">
        <f>REPLACE(INDEX(GroupVertices[Group],MATCH(Edges37[[#This Row],[Vertex 2]],GroupVertices[Vertex],0)),1,1,"")</f>
        <v>1</v>
      </c>
      <c r="BF46" s="49">
        <v>0</v>
      </c>
      <c r="BG46" s="50">
        <v>0</v>
      </c>
      <c r="BH46" s="49">
        <v>2</v>
      </c>
      <c r="BI46" s="50">
        <v>4.761904761904762</v>
      </c>
      <c r="BJ46" s="49">
        <v>0</v>
      </c>
      <c r="BK46" s="50">
        <v>0</v>
      </c>
      <c r="BL46" s="49">
        <v>40</v>
      </c>
      <c r="BM46" s="50">
        <v>95.23809523809524</v>
      </c>
      <c r="BN46" s="49">
        <v>42</v>
      </c>
    </row>
    <row r="47" spans="1:66" ht="15">
      <c r="A47" s="65" t="s">
        <v>581</v>
      </c>
      <c r="B47" s="65" t="s">
        <v>587</v>
      </c>
      <c r="C47" s="66"/>
      <c r="D47" s="67"/>
      <c r="E47" s="66"/>
      <c r="F47" s="69"/>
      <c r="G47" s="66"/>
      <c r="H47" s="70"/>
      <c r="I47" s="71"/>
      <c r="J47" s="71"/>
      <c r="K47" s="35" t="s">
        <v>65</v>
      </c>
      <c r="L47" s="72">
        <v>47</v>
      </c>
      <c r="M47" s="72"/>
      <c r="N47" s="73"/>
      <c r="O47" s="81" t="s">
        <v>259</v>
      </c>
      <c r="P47" s="83">
        <v>44690.05778935185</v>
      </c>
      <c r="Q47" s="81" t="s">
        <v>609</v>
      </c>
      <c r="R47" s="84" t="str">
        <f>HYPERLINK("https://www.stuff.co.nz/national/immigration/300580917/woman-who-has-overstayed-in-nz-for-16-years-granted-residence-due-to-family-ties")</f>
        <v>https://www.stuff.co.nz/national/immigration/300580917/woman-who-has-overstayed-in-nz-for-16-years-granted-residence-due-to-family-ties</v>
      </c>
      <c r="S47" s="81" t="s">
        <v>264</v>
      </c>
      <c r="T47" s="86" t="s">
        <v>582</v>
      </c>
      <c r="U47" s="81"/>
      <c r="V47" s="84" t="str">
        <f>HYPERLINK("https://pbs.twimg.com/profile_images/1509686418662068230/6_KXm14m_normal.jpg")</f>
        <v>https://pbs.twimg.com/profile_images/1509686418662068230/6_KXm14m_normal.jpg</v>
      </c>
      <c r="W47" s="83">
        <v>44690.05778935185</v>
      </c>
      <c r="X47" s="88">
        <v>44690</v>
      </c>
      <c r="Y47" s="86" t="s">
        <v>654</v>
      </c>
      <c r="Z47" s="84" t="str">
        <f>HYPERLINK("https://twitter.com/jennykaynz/status/1523473630767706112")</f>
        <v>https://twitter.com/jennykaynz/status/1523473630767706112</v>
      </c>
      <c r="AA47" s="81"/>
      <c r="AB47" s="81"/>
      <c r="AC47" s="86" t="s">
        <v>683</v>
      </c>
      <c r="AD47" s="81"/>
      <c r="AE47" s="81" t="b">
        <v>0</v>
      </c>
      <c r="AF47" s="81">
        <v>3</v>
      </c>
      <c r="AG47" s="86" t="s">
        <v>266</v>
      </c>
      <c r="AH47" s="81" t="b">
        <v>0</v>
      </c>
      <c r="AI47" s="81" t="s">
        <v>268</v>
      </c>
      <c r="AJ47" s="81"/>
      <c r="AK47" s="86" t="s">
        <v>266</v>
      </c>
      <c r="AL47" s="81" t="b">
        <v>0</v>
      </c>
      <c r="AM47" s="81">
        <v>1</v>
      </c>
      <c r="AN47" s="86" t="s">
        <v>266</v>
      </c>
      <c r="AO47" s="86" t="s">
        <v>269</v>
      </c>
      <c r="AP47" s="81" t="b">
        <v>0</v>
      </c>
      <c r="AQ47" s="86" t="s">
        <v>683</v>
      </c>
      <c r="AR47" s="81" t="s">
        <v>218</v>
      </c>
      <c r="AS47" s="81">
        <v>0</v>
      </c>
      <c r="AT47" s="81">
        <v>0</v>
      </c>
      <c r="AU47" s="81"/>
      <c r="AV47" s="81"/>
      <c r="AW47" s="81"/>
      <c r="AX47" s="81"/>
      <c r="AY47" s="81"/>
      <c r="AZ47" s="81"/>
      <c r="BA47" s="81"/>
      <c r="BB47" s="81"/>
      <c r="BC47" s="78">
        <v>3</v>
      </c>
      <c r="BD47" s="80" t="str">
        <f>REPLACE(INDEX(GroupVertices[Group],MATCH(Edges37[[#This Row],[Vertex 1]],GroupVertices[Vertex],0)),1,1,"")</f>
        <v>1</v>
      </c>
      <c r="BE47" s="80" t="str">
        <f>REPLACE(INDEX(GroupVertices[Group],MATCH(Edges37[[#This Row],[Vertex 2]],GroupVertices[Vertex],0)),1,1,"")</f>
        <v>4</v>
      </c>
      <c r="BF47" s="49"/>
      <c r="BG47" s="50"/>
      <c r="BH47" s="49"/>
      <c r="BI47" s="50"/>
      <c r="BJ47" s="49"/>
      <c r="BK47" s="50"/>
      <c r="BL47" s="49"/>
      <c r="BM47" s="50"/>
      <c r="BN47" s="49"/>
    </row>
    <row r="48" spans="1:66" ht="15">
      <c r="A48" s="65" t="s">
        <v>581</v>
      </c>
      <c r="B48" s="65" t="s">
        <v>587</v>
      </c>
      <c r="C48" s="66"/>
      <c r="D48" s="67"/>
      <c r="E48" s="66"/>
      <c r="F48" s="69"/>
      <c r="G48" s="66"/>
      <c r="H48" s="70"/>
      <c r="I48" s="71"/>
      <c r="J48" s="71"/>
      <c r="K48" s="35" t="s">
        <v>65</v>
      </c>
      <c r="L48" s="72">
        <v>48</v>
      </c>
      <c r="M48" s="72"/>
      <c r="N48" s="73"/>
      <c r="O48" s="81" t="s">
        <v>259</v>
      </c>
      <c r="P48" s="83">
        <v>44692.19975694444</v>
      </c>
      <c r="Q48" s="81" t="s">
        <v>613</v>
      </c>
      <c r="R48"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48" s="81" t="s">
        <v>264</v>
      </c>
      <c r="T48" s="86" t="s">
        <v>634</v>
      </c>
      <c r="U48" s="81"/>
      <c r="V48" s="84" t="str">
        <f>HYPERLINK("https://pbs.twimg.com/profile_images/1509686418662068230/6_KXm14m_normal.jpg")</f>
        <v>https://pbs.twimg.com/profile_images/1509686418662068230/6_KXm14m_normal.jpg</v>
      </c>
      <c r="W48" s="83">
        <v>44692.19975694444</v>
      </c>
      <c r="X48" s="88">
        <v>44692</v>
      </c>
      <c r="Y48" s="86" t="s">
        <v>660</v>
      </c>
      <c r="Z48" s="84" t="str">
        <f>HYPERLINK("https://twitter.com/jennykaynz/status/1524249856658747392")</f>
        <v>https://twitter.com/jennykaynz/status/1524249856658747392</v>
      </c>
      <c r="AA48" s="81"/>
      <c r="AB48" s="81"/>
      <c r="AC48" s="86" t="s">
        <v>689</v>
      </c>
      <c r="AD48" s="81"/>
      <c r="AE48" s="81" t="b">
        <v>0</v>
      </c>
      <c r="AF48" s="81">
        <v>3</v>
      </c>
      <c r="AG48" s="86" t="s">
        <v>266</v>
      </c>
      <c r="AH48" s="81" t="b">
        <v>0</v>
      </c>
      <c r="AI48" s="81" t="s">
        <v>268</v>
      </c>
      <c r="AJ48" s="81"/>
      <c r="AK48" s="86" t="s">
        <v>266</v>
      </c>
      <c r="AL48" s="81" t="b">
        <v>0</v>
      </c>
      <c r="AM48" s="81">
        <v>2</v>
      </c>
      <c r="AN48" s="86" t="s">
        <v>266</v>
      </c>
      <c r="AO48" s="86" t="s">
        <v>269</v>
      </c>
      <c r="AP48" s="81" t="b">
        <v>0</v>
      </c>
      <c r="AQ48" s="86" t="s">
        <v>689</v>
      </c>
      <c r="AR48" s="81" t="s">
        <v>218</v>
      </c>
      <c r="AS48" s="81">
        <v>0</v>
      </c>
      <c r="AT48" s="81">
        <v>0</v>
      </c>
      <c r="AU48" s="81"/>
      <c r="AV48" s="81"/>
      <c r="AW48" s="81"/>
      <c r="AX48" s="81"/>
      <c r="AY48" s="81"/>
      <c r="AZ48" s="81"/>
      <c r="BA48" s="81"/>
      <c r="BB48" s="81"/>
      <c r="BC48" s="78">
        <v>3</v>
      </c>
      <c r="BD48" s="80" t="str">
        <f>REPLACE(INDEX(GroupVertices[Group],MATCH(Edges37[[#This Row],[Vertex 1]],GroupVertices[Vertex],0)),1,1,"")</f>
        <v>1</v>
      </c>
      <c r="BE48" s="80" t="str">
        <f>REPLACE(INDEX(GroupVertices[Group],MATCH(Edges37[[#This Row],[Vertex 2]],GroupVertices[Vertex],0)),1,1,"")</f>
        <v>4</v>
      </c>
      <c r="BF48" s="49"/>
      <c r="BG48" s="50"/>
      <c r="BH48" s="49"/>
      <c r="BI48" s="50"/>
      <c r="BJ48" s="49"/>
      <c r="BK48" s="50"/>
      <c r="BL48" s="49"/>
      <c r="BM48" s="50"/>
      <c r="BN48" s="49"/>
    </row>
    <row r="49" spans="1:66" ht="15">
      <c r="A49" s="65" t="s">
        <v>581</v>
      </c>
      <c r="B49" s="65" t="s">
        <v>587</v>
      </c>
      <c r="C49" s="66"/>
      <c r="D49" s="67"/>
      <c r="E49" s="66"/>
      <c r="F49" s="69"/>
      <c r="G49" s="66"/>
      <c r="H49" s="70"/>
      <c r="I49" s="71"/>
      <c r="J49" s="71"/>
      <c r="K49" s="35" t="s">
        <v>65</v>
      </c>
      <c r="L49" s="72">
        <v>49</v>
      </c>
      <c r="M49" s="72"/>
      <c r="N49" s="73"/>
      <c r="O49" s="81" t="s">
        <v>259</v>
      </c>
      <c r="P49" s="83">
        <v>44695.98631944445</v>
      </c>
      <c r="Q49" s="81" t="s">
        <v>614</v>
      </c>
      <c r="R49" s="81"/>
      <c r="S49" s="81"/>
      <c r="T49" s="86" t="s">
        <v>635</v>
      </c>
      <c r="U49" s="81"/>
      <c r="V49" s="84" t="str">
        <f>HYPERLINK("https://pbs.twimg.com/profile_images/1509686418662068230/6_KXm14m_normal.jpg")</f>
        <v>https://pbs.twimg.com/profile_images/1509686418662068230/6_KXm14m_normal.jpg</v>
      </c>
      <c r="W49" s="83">
        <v>44695.98631944445</v>
      </c>
      <c r="X49" s="88">
        <v>44695</v>
      </c>
      <c r="Y49" s="86" t="s">
        <v>662</v>
      </c>
      <c r="Z49" s="84" t="str">
        <f>HYPERLINK("https://twitter.com/jennykaynz/status/1525622058943582208")</f>
        <v>https://twitter.com/jennykaynz/status/1525622058943582208</v>
      </c>
      <c r="AA49" s="81"/>
      <c r="AB49" s="81"/>
      <c r="AC49" s="86" t="s">
        <v>691</v>
      </c>
      <c r="AD49" s="81"/>
      <c r="AE49" s="81" t="b">
        <v>0</v>
      </c>
      <c r="AF49" s="81">
        <v>6</v>
      </c>
      <c r="AG49" s="86" t="s">
        <v>266</v>
      </c>
      <c r="AH49" s="81" t="b">
        <v>0</v>
      </c>
      <c r="AI49" s="81" t="s">
        <v>268</v>
      </c>
      <c r="AJ49" s="81"/>
      <c r="AK49" s="86" t="s">
        <v>266</v>
      </c>
      <c r="AL49" s="81" t="b">
        <v>0</v>
      </c>
      <c r="AM49" s="81">
        <v>1</v>
      </c>
      <c r="AN49" s="86" t="s">
        <v>266</v>
      </c>
      <c r="AO49" s="86" t="s">
        <v>269</v>
      </c>
      <c r="AP49" s="81" t="b">
        <v>0</v>
      </c>
      <c r="AQ49" s="86" t="s">
        <v>691</v>
      </c>
      <c r="AR49" s="81" t="s">
        <v>218</v>
      </c>
      <c r="AS49" s="81">
        <v>0</v>
      </c>
      <c r="AT49" s="81">
        <v>0</v>
      </c>
      <c r="AU49" s="81"/>
      <c r="AV49" s="81"/>
      <c r="AW49" s="81"/>
      <c r="AX49" s="81"/>
      <c r="AY49" s="81"/>
      <c r="AZ49" s="81"/>
      <c r="BA49" s="81"/>
      <c r="BB49" s="81"/>
      <c r="BC49" s="78">
        <v>3</v>
      </c>
      <c r="BD49" s="80" t="str">
        <f>REPLACE(INDEX(GroupVertices[Group],MATCH(Edges37[[#This Row],[Vertex 1]],GroupVertices[Vertex],0)),1,1,"")</f>
        <v>1</v>
      </c>
      <c r="BE49" s="80" t="str">
        <f>REPLACE(INDEX(GroupVertices[Group],MATCH(Edges37[[#This Row],[Vertex 2]],GroupVertices[Vertex],0)),1,1,"")</f>
        <v>4</v>
      </c>
      <c r="BF49" s="49"/>
      <c r="BG49" s="50"/>
      <c r="BH49" s="49"/>
      <c r="BI49" s="50"/>
      <c r="BJ49" s="49"/>
      <c r="BK49" s="50"/>
      <c r="BL49" s="49"/>
      <c r="BM49" s="50"/>
      <c r="BN49" s="49"/>
    </row>
    <row r="50" spans="1:66" ht="15">
      <c r="A50" s="65" t="s">
        <v>582</v>
      </c>
      <c r="B50" s="65" t="s">
        <v>587</v>
      </c>
      <c r="C50" s="66"/>
      <c r="D50" s="67"/>
      <c r="E50" s="66"/>
      <c r="F50" s="69"/>
      <c r="G50" s="66"/>
      <c r="H50" s="70"/>
      <c r="I50" s="71"/>
      <c r="J50" s="71"/>
      <c r="K50" s="35" t="s">
        <v>65</v>
      </c>
      <c r="L50" s="72">
        <v>50</v>
      </c>
      <c r="M50" s="72"/>
      <c r="N50" s="73"/>
      <c r="O50" s="81" t="s">
        <v>262</v>
      </c>
      <c r="P50" s="83">
        <v>44692.302569444444</v>
      </c>
      <c r="Q50" s="81" t="s">
        <v>613</v>
      </c>
      <c r="R50"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50" s="81" t="s">
        <v>264</v>
      </c>
      <c r="T50" s="86" t="s">
        <v>634</v>
      </c>
      <c r="U50" s="81"/>
      <c r="V50" s="84" t="str">
        <f>HYPERLINK("https://pbs.twimg.com/profile_images/1505255366879293442/znVK6sDd_normal.jpg")</f>
        <v>https://pbs.twimg.com/profile_images/1505255366879293442/znVK6sDd_normal.jpg</v>
      </c>
      <c r="W50" s="83">
        <v>44692.302569444444</v>
      </c>
      <c r="X50" s="88">
        <v>44692</v>
      </c>
      <c r="Y50" s="86" t="s">
        <v>661</v>
      </c>
      <c r="Z50" s="84" t="str">
        <f>HYPERLINK("https://twitter.com/endashnow/status/1524287114099179521")</f>
        <v>https://twitter.com/endashnow/status/1524287114099179521</v>
      </c>
      <c r="AA50" s="81"/>
      <c r="AB50" s="81"/>
      <c r="AC50" s="86" t="s">
        <v>690</v>
      </c>
      <c r="AD50" s="81"/>
      <c r="AE50" s="81" t="b">
        <v>0</v>
      </c>
      <c r="AF50" s="81">
        <v>0</v>
      </c>
      <c r="AG50" s="86" t="s">
        <v>266</v>
      </c>
      <c r="AH50" s="81" t="b">
        <v>0</v>
      </c>
      <c r="AI50" s="81" t="s">
        <v>268</v>
      </c>
      <c r="AJ50" s="81"/>
      <c r="AK50" s="86" t="s">
        <v>266</v>
      </c>
      <c r="AL50" s="81" t="b">
        <v>0</v>
      </c>
      <c r="AM50" s="81">
        <v>2</v>
      </c>
      <c r="AN50" s="86" t="s">
        <v>689</v>
      </c>
      <c r="AO50" s="86" t="s">
        <v>270</v>
      </c>
      <c r="AP50" s="81" t="b">
        <v>0</v>
      </c>
      <c r="AQ50" s="86" t="s">
        <v>689</v>
      </c>
      <c r="AR50" s="81" t="s">
        <v>218</v>
      </c>
      <c r="AS50" s="81">
        <v>0</v>
      </c>
      <c r="AT50" s="81">
        <v>0</v>
      </c>
      <c r="AU50" s="81"/>
      <c r="AV50" s="81"/>
      <c r="AW50" s="81"/>
      <c r="AX50" s="81"/>
      <c r="AY50" s="81"/>
      <c r="AZ50" s="81"/>
      <c r="BA50" s="81"/>
      <c r="BB50" s="81"/>
      <c r="BC50" s="78">
        <v>2</v>
      </c>
      <c r="BD50" s="80" t="str">
        <f>REPLACE(INDEX(GroupVertices[Group],MATCH(Edges37[[#This Row],[Vertex 1]],GroupVertices[Vertex],0)),1,1,"")</f>
        <v>1</v>
      </c>
      <c r="BE50" s="80" t="str">
        <f>REPLACE(INDEX(GroupVertices[Group],MATCH(Edges37[[#This Row],[Vertex 2]],GroupVertices[Vertex],0)),1,1,"")</f>
        <v>4</v>
      </c>
      <c r="BF50" s="49"/>
      <c r="BG50" s="50"/>
      <c r="BH50" s="49"/>
      <c r="BI50" s="50"/>
      <c r="BJ50" s="49"/>
      <c r="BK50" s="50"/>
      <c r="BL50" s="49"/>
      <c r="BM50" s="50"/>
      <c r="BN50" s="49"/>
    </row>
    <row r="51" spans="1:66" ht="15">
      <c r="A51" s="65" t="s">
        <v>582</v>
      </c>
      <c r="B51" s="65" t="s">
        <v>587</v>
      </c>
      <c r="C51" s="66"/>
      <c r="D51" s="67"/>
      <c r="E51" s="66"/>
      <c r="F51" s="69"/>
      <c r="G51" s="66"/>
      <c r="H51" s="70"/>
      <c r="I51" s="71"/>
      <c r="J51" s="71"/>
      <c r="K51" s="35" t="s">
        <v>65</v>
      </c>
      <c r="L51" s="72">
        <v>51</v>
      </c>
      <c r="M51" s="72"/>
      <c r="N51" s="73"/>
      <c r="O51" s="81" t="s">
        <v>262</v>
      </c>
      <c r="P51" s="83">
        <v>44696.12002314815</v>
      </c>
      <c r="Q51" s="81" t="s">
        <v>614</v>
      </c>
      <c r="R51" s="81"/>
      <c r="S51" s="81"/>
      <c r="T51" s="86" t="s">
        <v>635</v>
      </c>
      <c r="U51" s="81"/>
      <c r="V51" s="84" t="str">
        <f>HYPERLINK("https://pbs.twimg.com/profile_images/1505255366879293442/znVK6sDd_normal.jpg")</f>
        <v>https://pbs.twimg.com/profile_images/1505255366879293442/znVK6sDd_normal.jpg</v>
      </c>
      <c r="W51" s="83">
        <v>44696.12002314815</v>
      </c>
      <c r="X51" s="88">
        <v>44696</v>
      </c>
      <c r="Y51" s="86" t="s">
        <v>663</v>
      </c>
      <c r="Z51" s="84" t="str">
        <f>HYPERLINK("https://twitter.com/endashnow/status/1525670511443083264")</f>
        <v>https://twitter.com/endashnow/status/1525670511443083264</v>
      </c>
      <c r="AA51" s="81"/>
      <c r="AB51" s="81"/>
      <c r="AC51" s="86" t="s">
        <v>692</v>
      </c>
      <c r="AD51" s="81"/>
      <c r="AE51" s="81" t="b">
        <v>0</v>
      </c>
      <c r="AF51" s="81">
        <v>0</v>
      </c>
      <c r="AG51" s="86" t="s">
        <v>266</v>
      </c>
      <c r="AH51" s="81" t="b">
        <v>0</v>
      </c>
      <c r="AI51" s="81" t="s">
        <v>268</v>
      </c>
      <c r="AJ51" s="81"/>
      <c r="AK51" s="86" t="s">
        <v>266</v>
      </c>
      <c r="AL51" s="81" t="b">
        <v>0</v>
      </c>
      <c r="AM51" s="81">
        <v>1</v>
      </c>
      <c r="AN51" s="86" t="s">
        <v>691</v>
      </c>
      <c r="AO51" s="86" t="s">
        <v>272</v>
      </c>
      <c r="AP51" s="81" t="b">
        <v>0</v>
      </c>
      <c r="AQ51" s="86" t="s">
        <v>691</v>
      </c>
      <c r="AR51" s="81" t="s">
        <v>218</v>
      </c>
      <c r="AS51" s="81">
        <v>0</v>
      </c>
      <c r="AT51" s="81">
        <v>0</v>
      </c>
      <c r="AU51" s="81"/>
      <c r="AV51" s="81"/>
      <c r="AW51" s="81"/>
      <c r="AX51" s="81"/>
      <c r="AY51" s="81"/>
      <c r="AZ51" s="81"/>
      <c r="BA51" s="81"/>
      <c r="BB51" s="81"/>
      <c r="BC51" s="78">
        <v>2</v>
      </c>
      <c r="BD51" s="80" t="str">
        <f>REPLACE(INDEX(GroupVertices[Group],MATCH(Edges37[[#This Row],[Vertex 1]],GroupVertices[Vertex],0)),1,1,"")</f>
        <v>1</v>
      </c>
      <c r="BE51" s="80" t="str">
        <f>REPLACE(INDEX(GroupVertices[Group],MATCH(Edges37[[#This Row],[Vertex 2]],GroupVertices[Vertex],0)),1,1,"")</f>
        <v>4</v>
      </c>
      <c r="BF51" s="49"/>
      <c r="BG51" s="50"/>
      <c r="BH51" s="49"/>
      <c r="BI51" s="50"/>
      <c r="BJ51" s="49"/>
      <c r="BK51" s="50"/>
      <c r="BL51" s="49"/>
      <c r="BM51" s="50"/>
      <c r="BN51" s="49"/>
    </row>
    <row r="52" spans="1:66" ht="15">
      <c r="A52" s="65" t="s">
        <v>581</v>
      </c>
      <c r="B52" s="65" t="s">
        <v>582</v>
      </c>
      <c r="C52" s="66"/>
      <c r="D52" s="67"/>
      <c r="E52" s="66"/>
      <c r="F52" s="69"/>
      <c r="G52" s="66"/>
      <c r="H52" s="70"/>
      <c r="I52" s="71"/>
      <c r="J52" s="71"/>
      <c r="K52" s="35" t="s">
        <v>66</v>
      </c>
      <c r="L52" s="72">
        <v>52</v>
      </c>
      <c r="M52" s="72"/>
      <c r="N52" s="73"/>
      <c r="O52" s="81" t="s">
        <v>259</v>
      </c>
      <c r="P52" s="83">
        <v>44690.05778935185</v>
      </c>
      <c r="Q52" s="81" t="s">
        <v>609</v>
      </c>
      <c r="R52" s="84" t="str">
        <f>HYPERLINK("https://www.stuff.co.nz/national/immigration/300580917/woman-who-has-overstayed-in-nz-for-16-years-granted-residence-due-to-family-ties")</f>
        <v>https://www.stuff.co.nz/national/immigration/300580917/woman-who-has-overstayed-in-nz-for-16-years-granted-residence-due-to-family-ties</v>
      </c>
      <c r="S52" s="81" t="s">
        <v>264</v>
      </c>
      <c r="T52" s="86" t="s">
        <v>582</v>
      </c>
      <c r="U52" s="81"/>
      <c r="V52" s="84" t="str">
        <f>HYPERLINK("https://pbs.twimg.com/profile_images/1509686418662068230/6_KXm14m_normal.jpg")</f>
        <v>https://pbs.twimg.com/profile_images/1509686418662068230/6_KXm14m_normal.jpg</v>
      </c>
      <c r="W52" s="83">
        <v>44690.05778935185</v>
      </c>
      <c r="X52" s="88">
        <v>44690</v>
      </c>
      <c r="Y52" s="86" t="s">
        <v>654</v>
      </c>
      <c r="Z52" s="84" t="str">
        <f>HYPERLINK("https://twitter.com/jennykaynz/status/1523473630767706112")</f>
        <v>https://twitter.com/jennykaynz/status/1523473630767706112</v>
      </c>
      <c r="AA52" s="81"/>
      <c r="AB52" s="81"/>
      <c r="AC52" s="86" t="s">
        <v>683</v>
      </c>
      <c r="AD52" s="81"/>
      <c r="AE52" s="81" t="b">
        <v>0</v>
      </c>
      <c r="AF52" s="81">
        <v>3</v>
      </c>
      <c r="AG52" s="86" t="s">
        <v>266</v>
      </c>
      <c r="AH52" s="81" t="b">
        <v>0</v>
      </c>
      <c r="AI52" s="81" t="s">
        <v>268</v>
      </c>
      <c r="AJ52" s="81"/>
      <c r="AK52" s="86" t="s">
        <v>266</v>
      </c>
      <c r="AL52" s="81" t="b">
        <v>0</v>
      </c>
      <c r="AM52" s="81">
        <v>1</v>
      </c>
      <c r="AN52" s="86" t="s">
        <v>266</v>
      </c>
      <c r="AO52" s="86" t="s">
        <v>269</v>
      </c>
      <c r="AP52" s="81" t="b">
        <v>0</v>
      </c>
      <c r="AQ52" s="86" t="s">
        <v>683</v>
      </c>
      <c r="AR52" s="81" t="s">
        <v>218</v>
      </c>
      <c r="AS52" s="81">
        <v>0</v>
      </c>
      <c r="AT52" s="81">
        <v>0</v>
      </c>
      <c r="AU52" s="81"/>
      <c r="AV52" s="81"/>
      <c r="AW52" s="81"/>
      <c r="AX52" s="81"/>
      <c r="AY52" s="81"/>
      <c r="AZ52" s="81"/>
      <c r="BA52" s="81"/>
      <c r="BB52" s="81"/>
      <c r="BC52" s="78">
        <v>2</v>
      </c>
      <c r="BD52" s="80" t="str">
        <f>REPLACE(INDEX(GroupVertices[Group],MATCH(Edges37[[#This Row],[Vertex 1]],GroupVertices[Vertex],0)),1,1,"")</f>
        <v>1</v>
      </c>
      <c r="BE52" s="80" t="str">
        <f>REPLACE(INDEX(GroupVertices[Group],MATCH(Edges37[[#This Row],[Vertex 2]],GroupVertices[Vertex],0)),1,1,"")</f>
        <v>1</v>
      </c>
      <c r="BF52" s="49"/>
      <c r="BG52" s="50"/>
      <c r="BH52" s="49"/>
      <c r="BI52" s="50"/>
      <c r="BJ52" s="49"/>
      <c r="BK52" s="50"/>
      <c r="BL52" s="49"/>
      <c r="BM52" s="50"/>
      <c r="BN52" s="49"/>
    </row>
    <row r="53" spans="1:66" ht="15">
      <c r="A53" s="65" t="s">
        <v>581</v>
      </c>
      <c r="B53" s="65" t="s">
        <v>582</v>
      </c>
      <c r="C53" s="66"/>
      <c r="D53" s="67"/>
      <c r="E53" s="66"/>
      <c r="F53" s="69"/>
      <c r="G53" s="66"/>
      <c r="H53" s="70"/>
      <c r="I53" s="71"/>
      <c r="J53" s="71"/>
      <c r="K53" s="35" t="s">
        <v>66</v>
      </c>
      <c r="L53" s="72">
        <v>53</v>
      </c>
      <c r="M53" s="72"/>
      <c r="N53" s="73"/>
      <c r="O53" s="81" t="s">
        <v>259</v>
      </c>
      <c r="P53" s="83">
        <v>44692.19975694444</v>
      </c>
      <c r="Q53" s="81" t="s">
        <v>613</v>
      </c>
      <c r="R53"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53" s="81" t="s">
        <v>264</v>
      </c>
      <c r="T53" s="86" t="s">
        <v>634</v>
      </c>
      <c r="U53" s="81"/>
      <c r="V53" s="84" t="str">
        <f>HYPERLINK("https://pbs.twimg.com/profile_images/1509686418662068230/6_KXm14m_normal.jpg")</f>
        <v>https://pbs.twimg.com/profile_images/1509686418662068230/6_KXm14m_normal.jpg</v>
      </c>
      <c r="W53" s="83">
        <v>44692.19975694444</v>
      </c>
      <c r="X53" s="88">
        <v>44692</v>
      </c>
      <c r="Y53" s="86" t="s">
        <v>660</v>
      </c>
      <c r="Z53" s="84" t="str">
        <f>HYPERLINK("https://twitter.com/jennykaynz/status/1524249856658747392")</f>
        <v>https://twitter.com/jennykaynz/status/1524249856658747392</v>
      </c>
      <c r="AA53" s="81"/>
      <c r="AB53" s="81"/>
      <c r="AC53" s="86" t="s">
        <v>689</v>
      </c>
      <c r="AD53" s="81"/>
      <c r="AE53" s="81" t="b">
        <v>0</v>
      </c>
      <c r="AF53" s="81">
        <v>3</v>
      </c>
      <c r="AG53" s="86" t="s">
        <v>266</v>
      </c>
      <c r="AH53" s="81" t="b">
        <v>0</v>
      </c>
      <c r="AI53" s="81" t="s">
        <v>268</v>
      </c>
      <c r="AJ53" s="81"/>
      <c r="AK53" s="86" t="s">
        <v>266</v>
      </c>
      <c r="AL53" s="81" t="b">
        <v>0</v>
      </c>
      <c r="AM53" s="81">
        <v>2</v>
      </c>
      <c r="AN53" s="86" t="s">
        <v>266</v>
      </c>
      <c r="AO53" s="86" t="s">
        <v>269</v>
      </c>
      <c r="AP53" s="81" t="b">
        <v>0</v>
      </c>
      <c r="AQ53" s="86" t="s">
        <v>689</v>
      </c>
      <c r="AR53" s="81" t="s">
        <v>218</v>
      </c>
      <c r="AS53" s="81">
        <v>0</v>
      </c>
      <c r="AT53" s="81">
        <v>0</v>
      </c>
      <c r="AU53" s="81"/>
      <c r="AV53" s="81"/>
      <c r="AW53" s="81"/>
      <c r="AX53" s="81"/>
      <c r="AY53" s="81"/>
      <c r="AZ53" s="81"/>
      <c r="BA53" s="81"/>
      <c r="BB53" s="81"/>
      <c r="BC53" s="78">
        <v>2</v>
      </c>
      <c r="BD53" s="80" t="str">
        <f>REPLACE(INDEX(GroupVertices[Group],MATCH(Edges37[[#This Row],[Vertex 1]],GroupVertices[Vertex],0)),1,1,"")</f>
        <v>1</v>
      </c>
      <c r="BE53" s="80" t="str">
        <f>REPLACE(INDEX(GroupVertices[Group],MATCH(Edges37[[#This Row],[Vertex 2]],GroupVertices[Vertex],0)),1,1,"")</f>
        <v>1</v>
      </c>
      <c r="BF53" s="49"/>
      <c r="BG53" s="50"/>
      <c r="BH53" s="49"/>
      <c r="BI53" s="50"/>
      <c r="BJ53" s="49"/>
      <c r="BK53" s="50"/>
      <c r="BL53" s="49"/>
      <c r="BM53" s="50"/>
      <c r="BN53" s="49"/>
    </row>
    <row r="54" spans="1:66" ht="15">
      <c r="A54" s="65" t="s">
        <v>582</v>
      </c>
      <c r="B54" s="65" t="s">
        <v>581</v>
      </c>
      <c r="C54" s="66"/>
      <c r="D54" s="67"/>
      <c r="E54" s="66"/>
      <c r="F54" s="69"/>
      <c r="G54" s="66"/>
      <c r="H54" s="70"/>
      <c r="I54" s="71"/>
      <c r="J54" s="71"/>
      <c r="K54" s="35" t="s">
        <v>66</v>
      </c>
      <c r="L54" s="72">
        <v>54</v>
      </c>
      <c r="M54" s="72"/>
      <c r="N54" s="73"/>
      <c r="O54" s="81" t="s">
        <v>261</v>
      </c>
      <c r="P54" s="83">
        <v>44692.302569444444</v>
      </c>
      <c r="Q54" s="81" t="s">
        <v>613</v>
      </c>
      <c r="R54" s="84" t="str">
        <f>HYPERLINK("https://www.stuff.co.nz/national/politics/300585646/immigration-overhaul-government-introduces-fasttrack-to-residency-for-some-migrants--but-with-hefty-pay-requirement")</f>
        <v>https://www.stuff.co.nz/national/politics/300585646/immigration-overhaul-government-introduces-fasttrack-to-residency-for-some-migrants--but-with-hefty-pay-requirement</v>
      </c>
      <c r="S54" s="81" t="s">
        <v>264</v>
      </c>
      <c r="T54" s="86" t="s">
        <v>634</v>
      </c>
      <c r="U54" s="81"/>
      <c r="V54" s="84" t="str">
        <f>HYPERLINK("https://pbs.twimg.com/profile_images/1505255366879293442/znVK6sDd_normal.jpg")</f>
        <v>https://pbs.twimg.com/profile_images/1505255366879293442/znVK6sDd_normal.jpg</v>
      </c>
      <c r="W54" s="83">
        <v>44692.302569444444</v>
      </c>
      <c r="X54" s="88">
        <v>44692</v>
      </c>
      <c r="Y54" s="86" t="s">
        <v>661</v>
      </c>
      <c r="Z54" s="84" t="str">
        <f>HYPERLINK("https://twitter.com/endashnow/status/1524287114099179521")</f>
        <v>https://twitter.com/endashnow/status/1524287114099179521</v>
      </c>
      <c r="AA54" s="81"/>
      <c r="AB54" s="81"/>
      <c r="AC54" s="86" t="s">
        <v>690</v>
      </c>
      <c r="AD54" s="81"/>
      <c r="AE54" s="81" t="b">
        <v>0</v>
      </c>
      <c r="AF54" s="81">
        <v>0</v>
      </c>
      <c r="AG54" s="86" t="s">
        <v>266</v>
      </c>
      <c r="AH54" s="81" t="b">
        <v>0</v>
      </c>
      <c r="AI54" s="81" t="s">
        <v>268</v>
      </c>
      <c r="AJ54" s="81"/>
      <c r="AK54" s="86" t="s">
        <v>266</v>
      </c>
      <c r="AL54" s="81" t="b">
        <v>0</v>
      </c>
      <c r="AM54" s="81">
        <v>2</v>
      </c>
      <c r="AN54" s="86" t="s">
        <v>689</v>
      </c>
      <c r="AO54" s="86" t="s">
        <v>270</v>
      </c>
      <c r="AP54" s="81" t="b">
        <v>0</v>
      </c>
      <c r="AQ54" s="86" t="s">
        <v>689</v>
      </c>
      <c r="AR54" s="81" t="s">
        <v>218</v>
      </c>
      <c r="AS54" s="81">
        <v>0</v>
      </c>
      <c r="AT54" s="81">
        <v>0</v>
      </c>
      <c r="AU54" s="81"/>
      <c r="AV54" s="81"/>
      <c r="AW54" s="81"/>
      <c r="AX54" s="81"/>
      <c r="AY54" s="81"/>
      <c r="AZ54" s="81"/>
      <c r="BA54" s="81"/>
      <c r="BB54" s="81"/>
      <c r="BC54" s="78">
        <v>2</v>
      </c>
      <c r="BD54" s="80" t="str">
        <f>REPLACE(INDEX(GroupVertices[Group],MATCH(Edges37[[#This Row],[Vertex 1]],GroupVertices[Vertex],0)),1,1,"")</f>
        <v>1</v>
      </c>
      <c r="BE54" s="80" t="str">
        <f>REPLACE(INDEX(GroupVertices[Group],MATCH(Edges37[[#This Row],[Vertex 2]],GroupVertices[Vertex],0)),1,1,"")</f>
        <v>1</v>
      </c>
      <c r="BF54" s="49"/>
      <c r="BG54" s="50"/>
      <c r="BH54" s="49"/>
      <c r="BI54" s="50"/>
      <c r="BJ54" s="49"/>
      <c r="BK54" s="50"/>
      <c r="BL54" s="49"/>
      <c r="BM54" s="50"/>
      <c r="BN54" s="49"/>
    </row>
    <row r="55" spans="1:66" ht="15">
      <c r="A55" s="65" t="s">
        <v>582</v>
      </c>
      <c r="B55" s="65" t="s">
        <v>581</v>
      </c>
      <c r="C55" s="66"/>
      <c r="D55" s="67"/>
      <c r="E55" s="66"/>
      <c r="F55" s="69"/>
      <c r="G55" s="66"/>
      <c r="H55" s="70"/>
      <c r="I55" s="71"/>
      <c r="J55" s="71"/>
      <c r="K55" s="35" t="s">
        <v>66</v>
      </c>
      <c r="L55" s="72">
        <v>55</v>
      </c>
      <c r="M55" s="72"/>
      <c r="N55" s="73"/>
      <c r="O55" s="81" t="s">
        <v>261</v>
      </c>
      <c r="P55" s="83">
        <v>44696.12002314815</v>
      </c>
      <c r="Q55" s="81" t="s">
        <v>614</v>
      </c>
      <c r="R55" s="81"/>
      <c r="S55" s="81"/>
      <c r="T55" s="86" t="s">
        <v>635</v>
      </c>
      <c r="U55" s="81"/>
      <c r="V55" s="84" t="str">
        <f>HYPERLINK("https://pbs.twimg.com/profile_images/1505255366879293442/znVK6sDd_normal.jpg")</f>
        <v>https://pbs.twimg.com/profile_images/1505255366879293442/znVK6sDd_normal.jpg</v>
      </c>
      <c r="W55" s="83">
        <v>44696.12002314815</v>
      </c>
      <c r="X55" s="88">
        <v>44696</v>
      </c>
      <c r="Y55" s="86" t="s">
        <v>663</v>
      </c>
      <c r="Z55" s="84" t="str">
        <f>HYPERLINK("https://twitter.com/endashnow/status/1525670511443083264")</f>
        <v>https://twitter.com/endashnow/status/1525670511443083264</v>
      </c>
      <c r="AA55" s="81"/>
      <c r="AB55" s="81"/>
      <c r="AC55" s="86" t="s">
        <v>692</v>
      </c>
      <c r="AD55" s="81"/>
      <c r="AE55" s="81" t="b">
        <v>0</v>
      </c>
      <c r="AF55" s="81">
        <v>0</v>
      </c>
      <c r="AG55" s="86" t="s">
        <v>266</v>
      </c>
      <c r="AH55" s="81" t="b">
        <v>0</v>
      </c>
      <c r="AI55" s="81" t="s">
        <v>268</v>
      </c>
      <c r="AJ55" s="81"/>
      <c r="AK55" s="86" t="s">
        <v>266</v>
      </c>
      <c r="AL55" s="81" t="b">
        <v>0</v>
      </c>
      <c r="AM55" s="81">
        <v>1</v>
      </c>
      <c r="AN55" s="86" t="s">
        <v>691</v>
      </c>
      <c r="AO55" s="86" t="s">
        <v>272</v>
      </c>
      <c r="AP55" s="81" t="b">
        <v>0</v>
      </c>
      <c r="AQ55" s="86" t="s">
        <v>691</v>
      </c>
      <c r="AR55" s="81" t="s">
        <v>218</v>
      </c>
      <c r="AS55" s="81">
        <v>0</v>
      </c>
      <c r="AT55" s="81">
        <v>0</v>
      </c>
      <c r="AU55" s="81"/>
      <c r="AV55" s="81"/>
      <c r="AW55" s="81"/>
      <c r="AX55" s="81"/>
      <c r="AY55" s="81"/>
      <c r="AZ55" s="81"/>
      <c r="BA55" s="81"/>
      <c r="BB55" s="81"/>
      <c r="BC55" s="78">
        <v>2</v>
      </c>
      <c r="BD55" s="80" t="str">
        <f>REPLACE(INDEX(GroupVertices[Group],MATCH(Edges37[[#This Row],[Vertex 1]],GroupVertices[Vertex],0)),1,1,"")</f>
        <v>1</v>
      </c>
      <c r="BE55" s="80" t="str">
        <f>REPLACE(INDEX(GroupVertices[Group],MATCH(Edges37[[#This Row],[Vertex 2]],GroupVertices[Vertex],0)),1,1,"")</f>
        <v>1</v>
      </c>
      <c r="BF55" s="49"/>
      <c r="BG55" s="50"/>
      <c r="BH55" s="49"/>
      <c r="BI55" s="50"/>
      <c r="BJ55" s="49"/>
      <c r="BK55" s="50"/>
      <c r="BL55" s="49"/>
      <c r="BM55" s="50"/>
      <c r="BN55" s="49"/>
    </row>
    <row r="56" spans="1:66" ht="15">
      <c r="A56" s="65" t="s">
        <v>583</v>
      </c>
      <c r="B56" s="65" t="s">
        <v>583</v>
      </c>
      <c r="C56" s="66"/>
      <c r="D56" s="67"/>
      <c r="E56" s="66"/>
      <c r="F56" s="69"/>
      <c r="G56" s="66"/>
      <c r="H56" s="70"/>
      <c r="I56" s="71"/>
      <c r="J56" s="71"/>
      <c r="K56" s="35" t="s">
        <v>65</v>
      </c>
      <c r="L56" s="72">
        <v>56</v>
      </c>
      <c r="M56" s="72"/>
      <c r="N56" s="73"/>
      <c r="O56" s="81" t="s">
        <v>218</v>
      </c>
      <c r="P56" s="83">
        <v>44693.23936342593</v>
      </c>
      <c r="Q56" s="81" t="s">
        <v>615</v>
      </c>
      <c r="R56" s="84" t="str">
        <f>HYPERLINK("https://nzimmigration.info/")</f>
        <v>https://nzimmigration.info/</v>
      </c>
      <c r="S56" s="81" t="s">
        <v>622</v>
      </c>
      <c r="T56" s="86" t="s">
        <v>636</v>
      </c>
      <c r="U56" s="84" t="str">
        <f>HYPERLINK("https://pbs.twimg.com/media/FSiPNTKaUAA70vY.png")</f>
        <v>https://pbs.twimg.com/media/FSiPNTKaUAA70vY.png</v>
      </c>
      <c r="V56" s="84" t="str">
        <f>HYPERLINK("https://pbs.twimg.com/media/FSiPNTKaUAA70vY.png")</f>
        <v>https://pbs.twimg.com/media/FSiPNTKaUAA70vY.png</v>
      </c>
      <c r="W56" s="83">
        <v>44693.23936342593</v>
      </c>
      <c r="X56" s="88">
        <v>44693</v>
      </c>
      <c r="Y56" s="86" t="s">
        <v>664</v>
      </c>
      <c r="Z56" s="84" t="str">
        <f>HYPERLINK("https://twitter.com/jackfra34133784/status/1524626596770226176")</f>
        <v>https://twitter.com/jackfra34133784/status/1524626596770226176</v>
      </c>
      <c r="AA56" s="81"/>
      <c r="AB56" s="81"/>
      <c r="AC56" s="86" t="s">
        <v>693</v>
      </c>
      <c r="AD56" s="81"/>
      <c r="AE56" s="81" t="b">
        <v>0</v>
      </c>
      <c r="AF56" s="81">
        <v>0</v>
      </c>
      <c r="AG56" s="86" t="s">
        <v>266</v>
      </c>
      <c r="AH56" s="81" t="b">
        <v>0</v>
      </c>
      <c r="AI56" s="81" t="s">
        <v>268</v>
      </c>
      <c r="AJ56" s="81"/>
      <c r="AK56" s="86" t="s">
        <v>266</v>
      </c>
      <c r="AL56" s="81" t="b">
        <v>0</v>
      </c>
      <c r="AM56" s="81">
        <v>0</v>
      </c>
      <c r="AN56" s="86" t="s">
        <v>266</v>
      </c>
      <c r="AO56" s="86" t="s">
        <v>269</v>
      </c>
      <c r="AP56" s="81" t="b">
        <v>0</v>
      </c>
      <c r="AQ56" s="86" t="s">
        <v>693</v>
      </c>
      <c r="AR56" s="81" t="s">
        <v>218</v>
      </c>
      <c r="AS56" s="81">
        <v>0</v>
      </c>
      <c r="AT56" s="81">
        <v>0</v>
      </c>
      <c r="AU56" s="81"/>
      <c r="AV56" s="81"/>
      <c r="AW56" s="81"/>
      <c r="AX56" s="81"/>
      <c r="AY56" s="81"/>
      <c r="AZ56" s="81"/>
      <c r="BA56" s="81"/>
      <c r="BB56" s="81"/>
      <c r="BC56" s="78">
        <v>2</v>
      </c>
      <c r="BD56" s="80" t="str">
        <f>REPLACE(INDEX(GroupVertices[Group],MATCH(Edges37[[#This Row],[Vertex 1]],GroupVertices[Vertex],0)),1,1,"")</f>
        <v>8</v>
      </c>
      <c r="BE56" s="80" t="str">
        <f>REPLACE(INDEX(GroupVertices[Group],MATCH(Edges37[[#This Row],[Vertex 2]],GroupVertices[Vertex],0)),1,1,"")</f>
        <v>8</v>
      </c>
      <c r="BF56" s="49">
        <v>1</v>
      </c>
      <c r="BG56" s="50">
        <v>2.9411764705882355</v>
      </c>
      <c r="BH56" s="49">
        <v>0</v>
      </c>
      <c r="BI56" s="50">
        <v>0</v>
      </c>
      <c r="BJ56" s="49">
        <v>0</v>
      </c>
      <c r="BK56" s="50">
        <v>0</v>
      </c>
      <c r="BL56" s="49">
        <v>33</v>
      </c>
      <c r="BM56" s="50">
        <v>97.05882352941177</v>
      </c>
      <c r="BN56" s="49">
        <v>34</v>
      </c>
    </row>
    <row r="57" spans="1:66" ht="15">
      <c r="A57" s="65" t="s">
        <v>583</v>
      </c>
      <c r="B57" s="65" t="s">
        <v>583</v>
      </c>
      <c r="C57" s="66"/>
      <c r="D57" s="67"/>
      <c r="E57" s="66"/>
      <c r="F57" s="69"/>
      <c r="G57" s="66"/>
      <c r="H57" s="70"/>
      <c r="I57" s="71"/>
      <c r="J57" s="71"/>
      <c r="K57" s="35" t="s">
        <v>65</v>
      </c>
      <c r="L57" s="72">
        <v>57</v>
      </c>
      <c r="M57" s="72"/>
      <c r="N57" s="73"/>
      <c r="O57" s="81" t="s">
        <v>218</v>
      </c>
      <c r="P57" s="83">
        <v>44697.24696759259</v>
      </c>
      <c r="Q57" s="81" t="s">
        <v>616</v>
      </c>
      <c r="R57" s="84" t="str">
        <f>HYPERLINK("https://nzimmigration.info/")</f>
        <v>https://nzimmigration.info/</v>
      </c>
      <c r="S57" s="81" t="s">
        <v>622</v>
      </c>
      <c r="T57" s="86" t="s">
        <v>636</v>
      </c>
      <c r="U57" s="84" t="str">
        <f>HYPERLINK("https://pbs.twimg.com/media/FS23OTmacAAlqE6.png")</f>
        <v>https://pbs.twimg.com/media/FS23OTmacAAlqE6.png</v>
      </c>
      <c r="V57" s="84" t="str">
        <f>HYPERLINK("https://pbs.twimg.com/media/FS23OTmacAAlqE6.png")</f>
        <v>https://pbs.twimg.com/media/FS23OTmacAAlqE6.png</v>
      </c>
      <c r="W57" s="83">
        <v>44697.24696759259</v>
      </c>
      <c r="X57" s="88">
        <v>44697</v>
      </c>
      <c r="Y57" s="86" t="s">
        <v>665</v>
      </c>
      <c r="Z57" s="84" t="str">
        <f>HYPERLINK("https://twitter.com/jackfra34133784/status/1526078903378661376")</f>
        <v>https://twitter.com/jackfra34133784/status/1526078903378661376</v>
      </c>
      <c r="AA57" s="81"/>
      <c r="AB57" s="81"/>
      <c r="AC57" s="86" t="s">
        <v>694</v>
      </c>
      <c r="AD57" s="81"/>
      <c r="AE57" s="81" t="b">
        <v>0</v>
      </c>
      <c r="AF57" s="81">
        <v>0</v>
      </c>
      <c r="AG57" s="86" t="s">
        <v>266</v>
      </c>
      <c r="AH57" s="81" t="b">
        <v>0</v>
      </c>
      <c r="AI57" s="81" t="s">
        <v>268</v>
      </c>
      <c r="AJ57" s="81"/>
      <c r="AK57" s="86" t="s">
        <v>266</v>
      </c>
      <c r="AL57" s="81" t="b">
        <v>0</v>
      </c>
      <c r="AM57" s="81">
        <v>0</v>
      </c>
      <c r="AN57" s="86" t="s">
        <v>266</v>
      </c>
      <c r="AO57" s="86" t="s">
        <v>269</v>
      </c>
      <c r="AP57" s="81" t="b">
        <v>0</v>
      </c>
      <c r="AQ57" s="86" t="s">
        <v>694</v>
      </c>
      <c r="AR57" s="81" t="s">
        <v>218</v>
      </c>
      <c r="AS57" s="81">
        <v>0</v>
      </c>
      <c r="AT57" s="81">
        <v>0</v>
      </c>
      <c r="AU57" s="81"/>
      <c r="AV57" s="81"/>
      <c r="AW57" s="81"/>
      <c r="AX57" s="81"/>
      <c r="AY57" s="81"/>
      <c r="AZ57" s="81"/>
      <c r="BA57" s="81"/>
      <c r="BB57" s="81"/>
      <c r="BC57" s="78">
        <v>2</v>
      </c>
      <c r="BD57" s="80" t="str">
        <f>REPLACE(INDEX(GroupVertices[Group],MATCH(Edges37[[#This Row],[Vertex 1]],GroupVertices[Vertex],0)),1,1,"")</f>
        <v>8</v>
      </c>
      <c r="BE57" s="80" t="str">
        <f>REPLACE(INDEX(GroupVertices[Group],MATCH(Edges37[[#This Row],[Vertex 2]],GroupVertices[Vertex],0)),1,1,"")</f>
        <v>8</v>
      </c>
      <c r="BF57" s="49">
        <v>1</v>
      </c>
      <c r="BG57" s="50">
        <v>2.9411764705882355</v>
      </c>
      <c r="BH57" s="49">
        <v>0</v>
      </c>
      <c r="BI57" s="50">
        <v>0</v>
      </c>
      <c r="BJ57" s="49">
        <v>0</v>
      </c>
      <c r="BK57" s="50">
        <v>0</v>
      </c>
      <c r="BL57" s="49">
        <v>33</v>
      </c>
      <c r="BM57" s="50">
        <v>97.05882352941177</v>
      </c>
      <c r="BN57" s="49">
        <v>34</v>
      </c>
    </row>
    <row r="58" spans="1:66" ht="15">
      <c r="A58" s="65" t="s">
        <v>584</v>
      </c>
      <c r="B58" s="65" t="s">
        <v>584</v>
      </c>
      <c r="C58" s="66"/>
      <c r="D58" s="67"/>
      <c r="E58" s="66"/>
      <c r="F58" s="69"/>
      <c r="G58" s="66"/>
      <c r="H58" s="70"/>
      <c r="I58" s="71"/>
      <c r="J58" s="71"/>
      <c r="K58" s="35" t="s">
        <v>65</v>
      </c>
      <c r="L58" s="72">
        <v>58</v>
      </c>
      <c r="M58" s="72"/>
      <c r="N58" s="73"/>
      <c r="O58" s="81" t="s">
        <v>218</v>
      </c>
      <c r="P58" s="83">
        <v>44687.87509259259</v>
      </c>
      <c r="Q58" s="81" t="s">
        <v>617</v>
      </c>
      <c r="R58" s="84" t="str">
        <f>HYPERLINK("https://nzimmigration.info/visa-query-form/?utm_source=Social+Media&amp;utm_medium=FB&amp;utm_campaign=Branding+SJ+7+May+2022")</f>
        <v>https://nzimmigration.info/visa-query-form/?utm_source=Social+Media&amp;utm_medium=FB&amp;utm_campaign=Branding+SJ+7+May+2022</v>
      </c>
      <c r="S58" s="81" t="s">
        <v>622</v>
      </c>
      <c r="T58" s="86" t="s">
        <v>637</v>
      </c>
      <c r="U58" s="84" t="str">
        <f>HYPERLINK("https://pbs.twimg.com/media/FSGnzTyXwAIV4vx.jpg")</f>
        <v>https://pbs.twimg.com/media/FSGnzTyXwAIV4vx.jpg</v>
      </c>
      <c r="V58" s="84" t="str">
        <f>HYPERLINK("https://pbs.twimg.com/media/FSGnzTyXwAIV4vx.jpg")</f>
        <v>https://pbs.twimg.com/media/FSGnzTyXwAIV4vx.jpg</v>
      </c>
      <c r="W58" s="83">
        <v>44687.87509259259</v>
      </c>
      <c r="X58" s="88">
        <v>44687</v>
      </c>
      <c r="Y58" s="86" t="s">
        <v>666</v>
      </c>
      <c r="Z58" s="84" t="str">
        <f>HYPERLINK("https://twitter.com/nz_visa_adviser/status/1522682651693535233")</f>
        <v>https://twitter.com/nz_visa_adviser/status/1522682651693535233</v>
      </c>
      <c r="AA58" s="81"/>
      <c r="AB58" s="81"/>
      <c r="AC58" s="86" t="s">
        <v>695</v>
      </c>
      <c r="AD58" s="81"/>
      <c r="AE58" s="81" t="b">
        <v>0</v>
      </c>
      <c r="AF58" s="81">
        <v>1</v>
      </c>
      <c r="AG58" s="86" t="s">
        <v>266</v>
      </c>
      <c r="AH58" s="81" t="b">
        <v>0</v>
      </c>
      <c r="AI58" s="81" t="s">
        <v>268</v>
      </c>
      <c r="AJ58" s="81"/>
      <c r="AK58" s="86" t="s">
        <v>266</v>
      </c>
      <c r="AL58" s="81" t="b">
        <v>0</v>
      </c>
      <c r="AM58" s="81">
        <v>1</v>
      </c>
      <c r="AN58" s="86" t="s">
        <v>266</v>
      </c>
      <c r="AO58" s="86" t="s">
        <v>708</v>
      </c>
      <c r="AP58" s="81" t="b">
        <v>0</v>
      </c>
      <c r="AQ58" s="86" t="s">
        <v>695</v>
      </c>
      <c r="AR58" s="81" t="s">
        <v>261</v>
      </c>
      <c r="AS58" s="81">
        <v>0</v>
      </c>
      <c r="AT58" s="81">
        <v>0</v>
      </c>
      <c r="AU58" s="81"/>
      <c r="AV58" s="81"/>
      <c r="AW58" s="81"/>
      <c r="AX58" s="81"/>
      <c r="AY58" s="81"/>
      <c r="AZ58" s="81"/>
      <c r="BA58" s="81"/>
      <c r="BB58" s="81"/>
      <c r="BC58" s="78">
        <v>2</v>
      </c>
      <c r="BD58" s="80" t="str">
        <f>REPLACE(INDEX(GroupVertices[Group],MATCH(Edges37[[#This Row],[Vertex 1]],GroupVertices[Vertex],0)),1,1,"")</f>
        <v>3</v>
      </c>
      <c r="BE58" s="80" t="str">
        <f>REPLACE(INDEX(GroupVertices[Group],MATCH(Edges37[[#This Row],[Vertex 2]],GroupVertices[Vertex],0)),1,1,"")</f>
        <v>3</v>
      </c>
      <c r="BF58" s="49">
        <v>0</v>
      </c>
      <c r="BG58" s="50">
        <v>0</v>
      </c>
      <c r="BH58" s="49">
        <v>0</v>
      </c>
      <c r="BI58" s="50">
        <v>0</v>
      </c>
      <c r="BJ58" s="49">
        <v>0</v>
      </c>
      <c r="BK58" s="50">
        <v>0</v>
      </c>
      <c r="BL58" s="49">
        <v>21</v>
      </c>
      <c r="BM58" s="50">
        <v>100</v>
      </c>
      <c r="BN58" s="49">
        <v>21</v>
      </c>
    </row>
    <row r="59" spans="1:66" ht="15">
      <c r="A59" s="65" t="s">
        <v>584</v>
      </c>
      <c r="B59" s="65" t="s">
        <v>584</v>
      </c>
      <c r="C59" s="66"/>
      <c r="D59" s="67"/>
      <c r="E59" s="66"/>
      <c r="F59" s="69"/>
      <c r="G59" s="66"/>
      <c r="H59" s="70"/>
      <c r="I59" s="71"/>
      <c r="J59" s="71"/>
      <c r="K59" s="35" t="s">
        <v>65</v>
      </c>
      <c r="L59" s="72">
        <v>59</v>
      </c>
      <c r="M59" s="72"/>
      <c r="N59" s="73"/>
      <c r="O59" s="81" t="s">
        <v>218</v>
      </c>
      <c r="P59" s="83">
        <v>44690.8753125</v>
      </c>
      <c r="Q59" s="81" t="s">
        <v>618</v>
      </c>
      <c r="R59" s="84" t="str">
        <f>HYPERLINK("https://nzimmigration.info/visa-application-why-must-you-always-declare-your-previous-visa-refusals/?utm_source=Social+Media&amp;utm_medium=FB&amp;utm_campaign=+Study+Blog+SJ++10+May+2022")</f>
        <v>https://nzimmigration.info/visa-application-why-must-you-always-declare-your-previous-visa-refusals/?utm_source=Social+Media&amp;utm_medium=FB&amp;utm_campaign=+Study+Blog+SJ++10+May+2022</v>
      </c>
      <c r="S59" s="81" t="s">
        <v>622</v>
      </c>
      <c r="T59" s="86" t="s">
        <v>638</v>
      </c>
      <c r="U59" s="81"/>
      <c r="V59" s="84" t="str">
        <f>HYPERLINK("https://pbs.twimg.com/profile_images/1275711829466066944/9_DECb_s_normal.jpg")</f>
        <v>https://pbs.twimg.com/profile_images/1275711829466066944/9_DECb_s_normal.jpg</v>
      </c>
      <c r="W59" s="83">
        <v>44690.8753125</v>
      </c>
      <c r="X59" s="88">
        <v>44690</v>
      </c>
      <c r="Y59" s="86" t="s">
        <v>265</v>
      </c>
      <c r="Z59" s="84" t="str">
        <f>HYPERLINK("https://twitter.com/nz_visa_adviser/status/1523769891697926146")</f>
        <v>https://twitter.com/nz_visa_adviser/status/1523769891697926146</v>
      </c>
      <c r="AA59" s="81"/>
      <c r="AB59" s="81"/>
      <c r="AC59" s="86" t="s">
        <v>696</v>
      </c>
      <c r="AD59" s="81"/>
      <c r="AE59" s="81" t="b">
        <v>0</v>
      </c>
      <c r="AF59" s="81">
        <v>1</v>
      </c>
      <c r="AG59" s="86" t="s">
        <v>266</v>
      </c>
      <c r="AH59" s="81" t="b">
        <v>0</v>
      </c>
      <c r="AI59" s="81" t="s">
        <v>268</v>
      </c>
      <c r="AJ59" s="81"/>
      <c r="AK59" s="86" t="s">
        <v>266</v>
      </c>
      <c r="AL59" s="81" t="b">
        <v>0</v>
      </c>
      <c r="AM59" s="81">
        <v>1</v>
      </c>
      <c r="AN59" s="86" t="s">
        <v>266</v>
      </c>
      <c r="AO59" s="86" t="s">
        <v>708</v>
      </c>
      <c r="AP59" s="81" t="b">
        <v>0</v>
      </c>
      <c r="AQ59" s="86" t="s">
        <v>696</v>
      </c>
      <c r="AR59" s="81" t="s">
        <v>218</v>
      </c>
      <c r="AS59" s="81">
        <v>0</v>
      </c>
      <c r="AT59" s="81">
        <v>0</v>
      </c>
      <c r="AU59" s="81"/>
      <c r="AV59" s="81"/>
      <c r="AW59" s="81"/>
      <c r="AX59" s="81"/>
      <c r="AY59" s="81"/>
      <c r="AZ59" s="81"/>
      <c r="BA59" s="81"/>
      <c r="BB59" s="81"/>
      <c r="BC59" s="78">
        <v>2</v>
      </c>
      <c r="BD59" s="80" t="str">
        <f>REPLACE(INDEX(GroupVertices[Group],MATCH(Edges37[[#This Row],[Vertex 1]],GroupVertices[Vertex],0)),1,1,"")</f>
        <v>3</v>
      </c>
      <c r="BE59" s="80" t="str">
        <f>REPLACE(INDEX(GroupVertices[Group],MATCH(Edges37[[#This Row],[Vertex 2]],GroupVertices[Vertex],0)),1,1,"")</f>
        <v>3</v>
      </c>
      <c r="BF59" s="49">
        <v>1</v>
      </c>
      <c r="BG59" s="50">
        <v>3.8461538461538463</v>
      </c>
      <c r="BH59" s="49">
        <v>0</v>
      </c>
      <c r="BI59" s="50">
        <v>0</v>
      </c>
      <c r="BJ59" s="49">
        <v>0</v>
      </c>
      <c r="BK59" s="50">
        <v>0</v>
      </c>
      <c r="BL59" s="49">
        <v>25</v>
      </c>
      <c r="BM59" s="50">
        <v>96.15384615384616</v>
      </c>
      <c r="BN59" s="49">
        <v>26</v>
      </c>
    </row>
    <row r="60" spans="1:66" ht="15">
      <c r="A60" s="65" t="s">
        <v>585</v>
      </c>
      <c r="B60" s="65" t="s">
        <v>584</v>
      </c>
      <c r="C60" s="66"/>
      <c r="D60" s="67"/>
      <c r="E60" s="66"/>
      <c r="F60" s="69"/>
      <c r="G60" s="66"/>
      <c r="H60" s="70"/>
      <c r="I60" s="71"/>
      <c r="J60" s="71"/>
      <c r="K60" s="35" t="s">
        <v>65</v>
      </c>
      <c r="L60" s="72">
        <v>60</v>
      </c>
      <c r="M60" s="72"/>
      <c r="N60" s="73"/>
      <c r="O60" s="81" t="s">
        <v>261</v>
      </c>
      <c r="P60" s="83">
        <v>44697.27134259259</v>
      </c>
      <c r="Q60" s="81" t="s">
        <v>617</v>
      </c>
      <c r="R60" s="84" t="str">
        <f>HYPERLINK("https://nzimmigration.info/visa-query-form/?utm_source=Social+Media&amp;utm_medium=FB&amp;utm_campaign=Branding+SJ+7+May+2022")</f>
        <v>https://nzimmigration.info/visa-query-form/?utm_source=Social+Media&amp;utm_medium=FB&amp;utm_campaign=Branding+SJ+7+May+2022</v>
      </c>
      <c r="S60" s="81" t="s">
        <v>622</v>
      </c>
      <c r="T60" s="86" t="s">
        <v>639</v>
      </c>
      <c r="U60" s="84" t="str">
        <f>HYPERLINK("https://pbs.twimg.com/media/FSGnzTyXwAIV4vx.jpg")</f>
        <v>https://pbs.twimg.com/media/FSGnzTyXwAIV4vx.jpg</v>
      </c>
      <c r="V60" s="84" t="str">
        <f>HYPERLINK("https://pbs.twimg.com/media/FSGnzTyXwAIV4vx.jpg")</f>
        <v>https://pbs.twimg.com/media/FSGnzTyXwAIV4vx.jpg</v>
      </c>
      <c r="W60" s="83">
        <v>44697.27134259259</v>
      </c>
      <c r="X60" s="88">
        <v>44697</v>
      </c>
      <c r="Y60" s="86" t="s">
        <v>667</v>
      </c>
      <c r="Z60" s="84" t="str">
        <f>HYPERLINK("https://twitter.com/dhruvpa39231878/status/1526087738331521024")</f>
        <v>https://twitter.com/dhruvpa39231878/status/1526087738331521024</v>
      </c>
      <c r="AA60" s="81"/>
      <c r="AB60" s="81"/>
      <c r="AC60" s="86" t="s">
        <v>697</v>
      </c>
      <c r="AD60" s="81"/>
      <c r="AE60" s="81" t="b">
        <v>0</v>
      </c>
      <c r="AF60" s="81">
        <v>0</v>
      </c>
      <c r="AG60" s="86" t="s">
        <v>266</v>
      </c>
      <c r="AH60" s="81" t="b">
        <v>0</v>
      </c>
      <c r="AI60" s="81" t="s">
        <v>268</v>
      </c>
      <c r="AJ60" s="81"/>
      <c r="AK60" s="86" t="s">
        <v>266</v>
      </c>
      <c r="AL60" s="81" t="b">
        <v>0</v>
      </c>
      <c r="AM60" s="81">
        <v>1</v>
      </c>
      <c r="AN60" s="86" t="s">
        <v>695</v>
      </c>
      <c r="AO60" s="86" t="s">
        <v>271</v>
      </c>
      <c r="AP60" s="81" t="b">
        <v>0</v>
      </c>
      <c r="AQ60" s="86" t="s">
        <v>695</v>
      </c>
      <c r="AR60" s="81" t="s">
        <v>218</v>
      </c>
      <c r="AS60" s="81">
        <v>0</v>
      </c>
      <c r="AT60" s="81">
        <v>0</v>
      </c>
      <c r="AU60" s="81"/>
      <c r="AV60" s="81"/>
      <c r="AW60" s="81"/>
      <c r="AX60" s="81"/>
      <c r="AY60" s="81"/>
      <c r="AZ60" s="81"/>
      <c r="BA60" s="81"/>
      <c r="BB60" s="81"/>
      <c r="BC60" s="78">
        <v>1</v>
      </c>
      <c r="BD60" s="80" t="str">
        <f>REPLACE(INDEX(GroupVertices[Group],MATCH(Edges37[[#This Row],[Vertex 1]],GroupVertices[Vertex],0)),1,1,"")</f>
        <v>3</v>
      </c>
      <c r="BE60" s="80" t="str">
        <f>REPLACE(INDEX(GroupVertices[Group],MATCH(Edges37[[#This Row],[Vertex 2]],GroupVertices[Vertex],0)),1,1,"")</f>
        <v>3</v>
      </c>
      <c r="BF60" s="49">
        <v>0</v>
      </c>
      <c r="BG60" s="50">
        <v>0</v>
      </c>
      <c r="BH60" s="49">
        <v>0</v>
      </c>
      <c r="BI60" s="50">
        <v>0</v>
      </c>
      <c r="BJ60" s="49">
        <v>0</v>
      </c>
      <c r="BK60" s="50">
        <v>0</v>
      </c>
      <c r="BL60" s="49">
        <v>21</v>
      </c>
      <c r="BM60" s="50">
        <v>100</v>
      </c>
      <c r="BN60" s="49">
        <v>21</v>
      </c>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9E46-C5E3-4A12-805D-B0A71391B52E}">
  <dimension ref="A25:B38"/>
  <sheetViews>
    <sheetView tabSelected="1" workbookViewId="0" topLeftCell="A1"/>
  </sheetViews>
  <sheetFormatPr defaultColWidth="9.140625" defaultRowHeight="15"/>
  <cols>
    <col min="1" max="1" width="13.28125" style="0" bestFit="1" customWidth="1"/>
    <col min="2" max="2" width="29.140625" style="0" bestFit="1" customWidth="1"/>
  </cols>
  <sheetData>
    <row r="25" spans="1:2" ht="15">
      <c r="A25" s="100" t="s">
        <v>556</v>
      </c>
      <c r="B25" t="s">
        <v>555</v>
      </c>
    </row>
    <row r="26" spans="1:2" ht="15">
      <c r="A26" s="101" t="s">
        <v>384</v>
      </c>
      <c r="B26" s="3">
        <v>58</v>
      </c>
    </row>
    <row r="27" spans="1:2" ht="15">
      <c r="A27" s="102" t="s">
        <v>558</v>
      </c>
      <c r="B27" s="3">
        <v>58</v>
      </c>
    </row>
    <row r="28" spans="1:2" ht="15">
      <c r="A28" s="103" t="s">
        <v>1025</v>
      </c>
      <c r="B28" s="3">
        <v>1</v>
      </c>
    </row>
    <row r="29" spans="1:2" ht="15">
      <c r="A29" s="103" t="s">
        <v>559</v>
      </c>
      <c r="B29" s="3">
        <v>1</v>
      </c>
    </row>
    <row r="30" spans="1:2" ht="15">
      <c r="A30" s="103" t="s">
        <v>560</v>
      </c>
      <c r="B30" s="3">
        <v>8</v>
      </c>
    </row>
    <row r="31" spans="1:2" ht="15">
      <c r="A31" s="103" t="s">
        <v>561</v>
      </c>
      <c r="B31" s="3">
        <v>8</v>
      </c>
    </row>
    <row r="32" spans="1:2" ht="15">
      <c r="A32" s="103" t="s">
        <v>562</v>
      </c>
      <c r="B32" s="3">
        <v>21</v>
      </c>
    </row>
    <row r="33" spans="1:2" ht="15">
      <c r="A33" s="103" t="s">
        <v>563</v>
      </c>
      <c r="B33" s="3">
        <v>7</v>
      </c>
    </row>
    <row r="34" spans="1:2" ht="15">
      <c r="A34" s="103" t="s">
        <v>564</v>
      </c>
      <c r="B34" s="3">
        <v>3</v>
      </c>
    </row>
    <row r="35" spans="1:2" ht="15">
      <c r="A35" s="103" t="s">
        <v>565</v>
      </c>
      <c r="B35" s="3">
        <v>3</v>
      </c>
    </row>
    <row r="36" spans="1:2" ht="15">
      <c r="A36" s="103" t="s">
        <v>566</v>
      </c>
      <c r="B36" s="3">
        <v>4</v>
      </c>
    </row>
    <row r="37" spans="1:2" ht="15">
      <c r="A37" s="103" t="s">
        <v>567</v>
      </c>
      <c r="B37" s="3">
        <v>2</v>
      </c>
    </row>
    <row r="38" spans="1:2" ht="15">
      <c r="A38" s="101" t="s">
        <v>557</v>
      </c>
      <c r="B38" s="3">
        <v>58</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236</v>
      </c>
      <c r="AU2" s="13" t="s">
        <v>294</v>
      </c>
      <c r="AV2" s="13" t="s">
        <v>295</v>
      </c>
      <c r="AW2" s="13" t="s">
        <v>296</v>
      </c>
      <c r="AX2" s="13" t="s">
        <v>297</v>
      </c>
      <c r="AY2" s="13" t="s">
        <v>298</v>
      </c>
      <c r="AZ2" s="13" t="s">
        <v>299</v>
      </c>
      <c r="BA2" s="13" t="s">
        <v>330</v>
      </c>
      <c r="BB2" s="95" t="s">
        <v>408</v>
      </c>
      <c r="BC2" s="95" t="s">
        <v>409</v>
      </c>
      <c r="BD2" s="95" t="s">
        <v>410</v>
      </c>
      <c r="BE2" s="95" t="s">
        <v>411</v>
      </c>
      <c r="BF2" s="95" t="s">
        <v>412</v>
      </c>
      <c r="BG2" s="95" t="s">
        <v>413</v>
      </c>
      <c r="BH2" s="95" t="s">
        <v>414</v>
      </c>
      <c r="BI2" s="95" t="s">
        <v>415</v>
      </c>
      <c r="BJ2" s="95" t="s">
        <v>417</v>
      </c>
      <c r="BK2" s="95" t="s">
        <v>545</v>
      </c>
      <c r="BL2" s="95" t="s">
        <v>546</v>
      </c>
      <c r="BM2" s="95" t="s">
        <v>547</v>
      </c>
      <c r="BN2" s="95" t="s">
        <v>548</v>
      </c>
      <c r="BO2" s="95" t="s">
        <v>549</v>
      </c>
      <c r="BP2" s="95" t="s">
        <v>550</v>
      </c>
      <c r="BQ2" s="95" t="s">
        <v>551</v>
      </c>
      <c r="BR2" s="95" t="s">
        <v>552</v>
      </c>
      <c r="BS2" s="95" t="s">
        <v>553</v>
      </c>
      <c r="BT2" s="95" t="s">
        <v>554</v>
      </c>
      <c r="BU2" s="3"/>
      <c r="BV2" s="3"/>
    </row>
    <row r="3" spans="1:74" ht="15" customHeight="1">
      <c r="A3" s="65" t="s">
        <v>586</v>
      </c>
      <c r="B3" s="66"/>
      <c r="C3" s="66"/>
      <c r="D3" s="67">
        <v>100</v>
      </c>
      <c r="E3" s="69"/>
      <c r="F3" s="90" t="str">
        <f>HYPERLINK("https://pbs.twimg.com/profile_images/1293905861744582658/xKDTYoX__normal.jpg")</f>
        <v>https://pbs.twimg.com/profile_images/1293905861744582658/xKDTYoX__normal.jpg</v>
      </c>
      <c r="G3" s="66"/>
      <c r="H3" s="70" t="s">
        <v>586</v>
      </c>
      <c r="I3" s="71"/>
      <c r="J3" s="71"/>
      <c r="K3" s="70" t="s">
        <v>796</v>
      </c>
      <c r="L3" s="74">
        <v>1</v>
      </c>
      <c r="M3" s="75">
        <v>6130.33935546875</v>
      </c>
      <c r="N3" s="75">
        <v>1541.90185546875</v>
      </c>
      <c r="O3" s="76"/>
      <c r="P3" s="77"/>
      <c r="Q3" s="77"/>
      <c r="R3" s="49"/>
      <c r="S3" s="49">
        <v>0</v>
      </c>
      <c r="T3" s="49">
        <v>1</v>
      </c>
      <c r="U3" s="50">
        <v>0</v>
      </c>
      <c r="V3" s="50">
        <v>0.04</v>
      </c>
      <c r="W3" s="50">
        <v>0</v>
      </c>
      <c r="X3" s="50">
        <v>0.038462</v>
      </c>
      <c r="Y3" s="50">
        <v>0</v>
      </c>
      <c r="Z3" s="50">
        <v>0</v>
      </c>
      <c r="AA3" s="72">
        <v>3</v>
      </c>
      <c r="AB3" s="72"/>
      <c r="AC3" s="73"/>
      <c r="AD3" s="80" t="s">
        <v>732</v>
      </c>
      <c r="AE3" s="89" t="s">
        <v>751</v>
      </c>
      <c r="AF3" s="80">
        <v>749</v>
      </c>
      <c r="AG3" s="80">
        <v>61</v>
      </c>
      <c r="AH3" s="80">
        <v>1881</v>
      </c>
      <c r="AI3" s="80">
        <v>928</v>
      </c>
      <c r="AJ3" s="80"/>
      <c r="AK3" s="80"/>
      <c r="AL3" s="80"/>
      <c r="AM3" s="85"/>
      <c r="AN3" s="80"/>
      <c r="AO3" s="82">
        <v>41201.41442129629</v>
      </c>
      <c r="AP3" s="85"/>
      <c r="AQ3" s="80" t="b">
        <v>1</v>
      </c>
      <c r="AR3" s="80" t="b">
        <v>0</v>
      </c>
      <c r="AS3" s="80" t="b">
        <v>0</v>
      </c>
      <c r="AT3" s="80"/>
      <c r="AU3" s="80">
        <v>8</v>
      </c>
      <c r="AV3" s="85" t="str">
        <f>HYPERLINK("https://abs.twimg.com/images/themes/theme1/bg.png")</f>
        <v>https://abs.twimg.com/images/themes/theme1/bg.png</v>
      </c>
      <c r="AW3" s="80" t="b">
        <v>0</v>
      </c>
      <c r="AX3" s="80" t="s">
        <v>310</v>
      </c>
      <c r="AY3" s="85" t="str">
        <f>HYPERLINK("https://twitter.com/bullxbear")</f>
        <v>https://twitter.com/bullxbear</v>
      </c>
      <c r="AZ3" s="80" t="s">
        <v>66</v>
      </c>
      <c r="BA3" s="80" t="str">
        <f>REPLACE(INDEX(GroupVertices[Group],MATCH(Vertices[[#This Row],[Vertex]],GroupVertices[Vertex],0)),1,1,"")</f>
        <v>7</v>
      </c>
      <c r="BB3" s="49">
        <v>0</v>
      </c>
      <c r="BC3" s="50">
        <v>0</v>
      </c>
      <c r="BD3" s="49">
        <v>0</v>
      </c>
      <c r="BE3" s="50">
        <v>0</v>
      </c>
      <c r="BF3" s="49">
        <v>0</v>
      </c>
      <c r="BG3" s="50">
        <v>0</v>
      </c>
      <c r="BH3" s="49">
        <v>15</v>
      </c>
      <c r="BI3" s="50">
        <v>100</v>
      </c>
      <c r="BJ3" s="49">
        <v>15</v>
      </c>
      <c r="BK3" s="49" t="s">
        <v>882</v>
      </c>
      <c r="BL3" s="49" t="s">
        <v>882</v>
      </c>
      <c r="BM3" s="49" t="s">
        <v>264</v>
      </c>
      <c r="BN3" s="49" t="s">
        <v>264</v>
      </c>
      <c r="BO3" s="49"/>
      <c r="BP3" s="49"/>
      <c r="BQ3" s="99" t="s">
        <v>995</v>
      </c>
      <c r="BR3" s="99" t="s">
        <v>995</v>
      </c>
      <c r="BS3" s="99" t="s">
        <v>1013</v>
      </c>
      <c r="BT3" s="99" t="s">
        <v>1013</v>
      </c>
      <c r="BU3" s="3"/>
      <c r="BV3" s="3"/>
    </row>
    <row r="4" spans="1:77" ht="15">
      <c r="A4" s="65" t="s">
        <v>256</v>
      </c>
      <c r="B4" s="66"/>
      <c r="C4" s="66"/>
      <c r="D4" s="67">
        <v>100</v>
      </c>
      <c r="E4" s="104"/>
      <c r="F4" s="90" t="str">
        <f>HYPERLINK("https://pbs.twimg.com/profile_images/1445097209079336980/B3LzgWFb_normal.jpg")</f>
        <v>https://pbs.twimg.com/profile_images/1445097209079336980/B3LzgWFb_normal.jpg</v>
      </c>
      <c r="G4" s="105"/>
      <c r="H4" s="70" t="s">
        <v>256</v>
      </c>
      <c r="I4" s="71"/>
      <c r="J4" s="106"/>
      <c r="K4" s="70" t="s">
        <v>772</v>
      </c>
      <c r="L4" s="107">
        <v>1</v>
      </c>
      <c r="M4" s="75">
        <v>6130.33935546875</v>
      </c>
      <c r="N4" s="75">
        <v>3691.2197265625</v>
      </c>
      <c r="O4" s="76"/>
      <c r="P4" s="77"/>
      <c r="Q4" s="77"/>
      <c r="R4" s="108"/>
      <c r="S4" s="49">
        <v>1</v>
      </c>
      <c r="T4" s="49">
        <v>0</v>
      </c>
      <c r="U4" s="50">
        <v>0</v>
      </c>
      <c r="V4" s="50">
        <v>0.04</v>
      </c>
      <c r="W4" s="50">
        <v>0</v>
      </c>
      <c r="X4" s="50">
        <v>0.038462</v>
      </c>
      <c r="Y4" s="50">
        <v>0</v>
      </c>
      <c r="Z4" s="50">
        <v>0</v>
      </c>
      <c r="AA4" s="72">
        <v>4</v>
      </c>
      <c r="AB4" s="72"/>
      <c r="AC4" s="73"/>
      <c r="AD4" s="81" t="s">
        <v>301</v>
      </c>
      <c r="AE4" s="86" t="s">
        <v>267</v>
      </c>
      <c r="AF4" s="81">
        <v>593</v>
      </c>
      <c r="AG4" s="81">
        <v>4053</v>
      </c>
      <c r="AH4" s="81">
        <v>6474</v>
      </c>
      <c r="AI4" s="81">
        <v>14846</v>
      </c>
      <c r="AJ4" s="81"/>
      <c r="AK4" s="81" t="s">
        <v>304</v>
      </c>
      <c r="AL4" s="81" t="s">
        <v>277</v>
      </c>
      <c r="AM4" s="84" t="str">
        <f>HYPERLINK("https://t.co/2rOM9XoaFY")</f>
        <v>https://t.co/2rOM9XoaFY</v>
      </c>
      <c r="AN4" s="81"/>
      <c r="AO4" s="83">
        <v>44473.77978009259</v>
      </c>
      <c r="AP4" s="84" t="str">
        <f>HYPERLINK("https://pbs.twimg.com/profile_banners/1445096998990860290/1633373646")</f>
        <v>https://pbs.twimg.com/profile_banners/1445096998990860290/1633373646</v>
      </c>
      <c r="AQ4" s="81" t="b">
        <v>1</v>
      </c>
      <c r="AR4" s="81" t="b">
        <v>0</v>
      </c>
      <c r="AS4" s="81" t="b">
        <v>0</v>
      </c>
      <c r="AT4" s="81"/>
      <c r="AU4" s="81">
        <v>16</v>
      </c>
      <c r="AV4" s="81"/>
      <c r="AW4" s="81" t="b">
        <v>0</v>
      </c>
      <c r="AX4" s="81" t="s">
        <v>310</v>
      </c>
      <c r="AY4" s="84" t="str">
        <f>HYPERLINK("https://twitter.com/matthewhootonnz")</f>
        <v>https://twitter.com/matthewhootonnz</v>
      </c>
      <c r="AZ4" s="81" t="s">
        <v>65</v>
      </c>
      <c r="BA4" s="80"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574</v>
      </c>
      <c r="B5" s="66"/>
      <c r="C5" s="66"/>
      <c r="D5" s="67">
        <v>100</v>
      </c>
      <c r="E5" s="104"/>
      <c r="F5" s="90" t="str">
        <f>HYPERLINK("https://pbs.twimg.com/profile_images/767518424641613824/rWkNOlq5_normal.jpg")</f>
        <v>https://pbs.twimg.com/profile_images/767518424641613824/rWkNOlq5_normal.jpg</v>
      </c>
      <c r="G5" s="105"/>
      <c r="H5" s="70" t="s">
        <v>574</v>
      </c>
      <c r="I5" s="71"/>
      <c r="J5" s="106"/>
      <c r="K5" s="70" t="s">
        <v>773</v>
      </c>
      <c r="L5" s="107">
        <v>1</v>
      </c>
      <c r="M5" s="75">
        <v>7643.79345703125</v>
      </c>
      <c r="N5" s="75">
        <v>3691.2197265625</v>
      </c>
      <c r="O5" s="76"/>
      <c r="P5" s="77"/>
      <c r="Q5" s="77"/>
      <c r="R5" s="108"/>
      <c r="S5" s="49">
        <v>0</v>
      </c>
      <c r="T5" s="49">
        <v>1</v>
      </c>
      <c r="U5" s="50">
        <v>0</v>
      </c>
      <c r="V5" s="50">
        <v>0.219512</v>
      </c>
      <c r="W5" s="50">
        <v>0.049849</v>
      </c>
      <c r="X5" s="50">
        <v>0.034208</v>
      </c>
      <c r="Y5" s="50">
        <v>0</v>
      </c>
      <c r="Z5" s="50">
        <v>0</v>
      </c>
      <c r="AA5" s="72">
        <v>5</v>
      </c>
      <c r="AB5" s="72"/>
      <c r="AC5" s="73"/>
      <c r="AD5" s="81" t="s">
        <v>709</v>
      </c>
      <c r="AE5" s="86" t="s">
        <v>733</v>
      </c>
      <c r="AF5" s="81">
        <v>451</v>
      </c>
      <c r="AG5" s="81">
        <v>371</v>
      </c>
      <c r="AH5" s="81">
        <v>36654</v>
      </c>
      <c r="AI5" s="81">
        <v>75378</v>
      </c>
      <c r="AJ5" s="81"/>
      <c r="AK5" s="81" t="s">
        <v>752</v>
      </c>
      <c r="AL5" s="81"/>
      <c r="AM5" s="81"/>
      <c r="AN5" s="81"/>
      <c r="AO5" s="83">
        <v>42586.11074074074</v>
      </c>
      <c r="AP5" s="81"/>
      <c r="AQ5" s="81" t="b">
        <v>1</v>
      </c>
      <c r="AR5" s="81" t="b">
        <v>0</v>
      </c>
      <c r="AS5" s="81" t="b">
        <v>0</v>
      </c>
      <c r="AT5" s="81"/>
      <c r="AU5" s="81">
        <v>2</v>
      </c>
      <c r="AV5" s="81"/>
      <c r="AW5" s="81" t="b">
        <v>0</v>
      </c>
      <c r="AX5" s="81" t="s">
        <v>310</v>
      </c>
      <c r="AY5" s="84" t="str">
        <f>HYPERLINK("https://twitter.com/tomboyoptional")</f>
        <v>https://twitter.com/tomboyoptional</v>
      </c>
      <c r="AZ5" s="81" t="s">
        <v>66</v>
      </c>
      <c r="BA5" s="80" t="str">
        <f>REPLACE(INDEX(GroupVertices[Group],MATCH(Vertices[[#This Row],[Vertex]],GroupVertices[Vertex],0)),1,1,"")</f>
        <v>4</v>
      </c>
      <c r="BB5" s="49">
        <v>0</v>
      </c>
      <c r="BC5" s="50">
        <v>0</v>
      </c>
      <c r="BD5" s="49">
        <v>0</v>
      </c>
      <c r="BE5" s="50">
        <v>0</v>
      </c>
      <c r="BF5" s="49">
        <v>0</v>
      </c>
      <c r="BG5" s="50">
        <v>0</v>
      </c>
      <c r="BH5" s="49">
        <v>27</v>
      </c>
      <c r="BI5" s="50">
        <v>100</v>
      </c>
      <c r="BJ5" s="49">
        <v>27</v>
      </c>
      <c r="BK5" s="49" t="s">
        <v>879</v>
      </c>
      <c r="BL5" s="49" t="s">
        <v>879</v>
      </c>
      <c r="BM5" s="49" t="s">
        <v>264</v>
      </c>
      <c r="BN5" s="49" t="s">
        <v>264</v>
      </c>
      <c r="BO5" s="49" t="s">
        <v>623</v>
      </c>
      <c r="BP5" s="49" t="s">
        <v>623</v>
      </c>
      <c r="BQ5" s="99" t="s">
        <v>996</v>
      </c>
      <c r="BR5" s="99" t="s">
        <v>996</v>
      </c>
      <c r="BS5" s="99" t="s">
        <v>1014</v>
      </c>
      <c r="BT5" s="99" t="s">
        <v>1014</v>
      </c>
      <c r="BU5" s="2"/>
      <c r="BV5" s="3"/>
      <c r="BW5" s="3"/>
      <c r="BX5" s="3"/>
      <c r="BY5" s="3"/>
    </row>
    <row r="6" spans="1:77" ht="15">
      <c r="A6" s="65" t="s">
        <v>587</v>
      </c>
      <c r="B6" s="66"/>
      <c r="C6" s="66"/>
      <c r="D6" s="67">
        <v>989.4117751695503</v>
      </c>
      <c r="E6" s="104"/>
      <c r="F6" s="90" t="str">
        <f>HYPERLINK("https://pbs.twimg.com/profile_images/1672468527/image_normal.jpg")</f>
        <v>https://pbs.twimg.com/profile_images/1672468527/image_normal.jpg</v>
      </c>
      <c r="G6" s="105"/>
      <c r="H6" s="70" t="s">
        <v>587</v>
      </c>
      <c r="I6" s="71"/>
      <c r="J6" s="106"/>
      <c r="K6" s="70" t="s">
        <v>774</v>
      </c>
      <c r="L6" s="107">
        <v>2100.58000524895</v>
      </c>
      <c r="M6" s="75">
        <v>7643.79345703125</v>
      </c>
      <c r="N6" s="75">
        <v>2122.217529296875</v>
      </c>
      <c r="O6" s="76"/>
      <c r="P6" s="77"/>
      <c r="Q6" s="77"/>
      <c r="R6" s="108"/>
      <c r="S6" s="49">
        <v>4</v>
      </c>
      <c r="T6" s="49">
        <v>0</v>
      </c>
      <c r="U6" s="50">
        <v>28</v>
      </c>
      <c r="V6" s="50">
        <v>0.333333</v>
      </c>
      <c r="W6" s="50">
        <v>0.263245</v>
      </c>
      <c r="X6" s="50">
        <v>0.040424</v>
      </c>
      <c r="Y6" s="50">
        <v>0.5</v>
      </c>
      <c r="Z6" s="50">
        <v>0</v>
      </c>
      <c r="AA6" s="72">
        <v>6</v>
      </c>
      <c r="AB6" s="72"/>
      <c r="AC6" s="73"/>
      <c r="AD6" s="81" t="s">
        <v>710</v>
      </c>
      <c r="AE6" s="86" t="s">
        <v>703</v>
      </c>
      <c r="AF6" s="81">
        <v>1583</v>
      </c>
      <c r="AG6" s="81">
        <v>6743</v>
      </c>
      <c r="AH6" s="81">
        <v>1867</v>
      </c>
      <c r="AI6" s="81">
        <v>1081</v>
      </c>
      <c r="AJ6" s="81"/>
      <c r="AK6" s="81" t="s">
        <v>753</v>
      </c>
      <c r="AL6" s="81"/>
      <c r="AM6" s="81"/>
      <c r="AN6" s="81"/>
      <c r="AO6" s="83">
        <v>40469.07234953704</v>
      </c>
      <c r="AP6" s="81"/>
      <c r="AQ6" s="81" t="b">
        <v>1</v>
      </c>
      <c r="AR6" s="81" t="b">
        <v>0</v>
      </c>
      <c r="AS6" s="81" t="b">
        <v>1</v>
      </c>
      <c r="AT6" s="81"/>
      <c r="AU6" s="81">
        <v>117</v>
      </c>
      <c r="AV6" s="84" t="str">
        <f>HYPERLINK("https://abs.twimg.com/images/themes/theme1/bg.png")</f>
        <v>https://abs.twimg.com/images/themes/theme1/bg.png</v>
      </c>
      <c r="AW6" s="81" t="b">
        <v>0</v>
      </c>
      <c r="AX6" s="81" t="s">
        <v>310</v>
      </c>
      <c r="AY6" s="84" t="str">
        <f>HYPERLINK("https://twitter.com/krisinmana")</f>
        <v>https://twitter.com/krisinmana</v>
      </c>
      <c r="AZ6" s="81" t="s">
        <v>65</v>
      </c>
      <c r="BA6" s="80"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575</v>
      </c>
      <c r="B7" s="66"/>
      <c r="C7" s="66"/>
      <c r="D7" s="67">
        <v>100</v>
      </c>
      <c r="E7" s="104"/>
      <c r="F7" s="90" t="str">
        <f>HYPERLINK("https://pbs.twimg.com/profile_images/692527351838724096/q9dGroLl_normal.jpg")</f>
        <v>https://pbs.twimg.com/profile_images/692527351838724096/q9dGroLl_normal.jpg</v>
      </c>
      <c r="G7" s="105"/>
      <c r="H7" s="70" t="s">
        <v>575</v>
      </c>
      <c r="I7" s="71"/>
      <c r="J7" s="106"/>
      <c r="K7" s="70" t="s">
        <v>775</v>
      </c>
      <c r="L7" s="107">
        <v>1</v>
      </c>
      <c r="M7" s="75">
        <v>3196.959228515625</v>
      </c>
      <c r="N7" s="75">
        <v>9157.962890625</v>
      </c>
      <c r="O7" s="76"/>
      <c r="P7" s="77"/>
      <c r="Q7" s="77"/>
      <c r="R7" s="108"/>
      <c r="S7" s="49">
        <v>0</v>
      </c>
      <c r="T7" s="49">
        <v>1</v>
      </c>
      <c r="U7" s="50">
        <v>0</v>
      </c>
      <c r="V7" s="50">
        <v>0.214286</v>
      </c>
      <c r="W7" s="50">
        <v>0.035291</v>
      </c>
      <c r="X7" s="50">
        <v>0.034669</v>
      </c>
      <c r="Y7" s="50">
        <v>0</v>
      </c>
      <c r="Z7" s="50">
        <v>0</v>
      </c>
      <c r="AA7" s="72">
        <v>7</v>
      </c>
      <c r="AB7" s="72"/>
      <c r="AC7" s="73"/>
      <c r="AD7" s="81" t="s">
        <v>711</v>
      </c>
      <c r="AE7" s="86" t="s">
        <v>734</v>
      </c>
      <c r="AF7" s="81">
        <v>31</v>
      </c>
      <c r="AG7" s="81">
        <v>87</v>
      </c>
      <c r="AH7" s="81">
        <v>1323</v>
      </c>
      <c r="AI7" s="81">
        <v>5771</v>
      </c>
      <c r="AJ7" s="81"/>
      <c r="AK7" s="81" t="s">
        <v>754</v>
      </c>
      <c r="AL7" s="81" t="s">
        <v>274</v>
      </c>
      <c r="AM7" s="81"/>
      <c r="AN7" s="81"/>
      <c r="AO7" s="83">
        <v>39880.45868055556</v>
      </c>
      <c r="AP7" s="84" t="str">
        <f>HYPERLINK("https://pbs.twimg.com/profile_banners/23297692/1453946521")</f>
        <v>https://pbs.twimg.com/profile_banners/23297692/1453946521</v>
      </c>
      <c r="AQ7" s="81" t="b">
        <v>0</v>
      </c>
      <c r="AR7" s="81" t="b">
        <v>0</v>
      </c>
      <c r="AS7" s="81" t="b">
        <v>1</v>
      </c>
      <c r="AT7" s="81"/>
      <c r="AU7" s="81">
        <v>0</v>
      </c>
      <c r="AV7" s="84" t="str">
        <f>HYPERLINK("https://abs.twimg.com/images/themes/theme4/bg.gif")</f>
        <v>https://abs.twimg.com/images/themes/theme4/bg.gif</v>
      </c>
      <c r="AW7" s="81" t="b">
        <v>0</v>
      </c>
      <c r="AX7" s="81" t="s">
        <v>310</v>
      </c>
      <c r="AY7" s="84" t="str">
        <f>HYPERLINK("https://twitter.com/batdoyle")</f>
        <v>https://twitter.com/batdoyle</v>
      </c>
      <c r="AZ7" s="81" t="s">
        <v>66</v>
      </c>
      <c r="BA7" s="80" t="str">
        <f>REPLACE(INDEX(GroupVertices[Group],MATCH(Vertices[[#This Row],[Vertex]],GroupVertices[Vertex],0)),1,1,"")</f>
        <v>2</v>
      </c>
      <c r="BB7" s="49">
        <v>1</v>
      </c>
      <c r="BC7" s="50">
        <v>2.7027027027027026</v>
      </c>
      <c r="BD7" s="49">
        <v>1</v>
      </c>
      <c r="BE7" s="50">
        <v>2.7027027027027026</v>
      </c>
      <c r="BF7" s="49">
        <v>0</v>
      </c>
      <c r="BG7" s="50">
        <v>0</v>
      </c>
      <c r="BH7" s="49">
        <v>35</v>
      </c>
      <c r="BI7" s="50">
        <v>94.5945945945946</v>
      </c>
      <c r="BJ7" s="49">
        <v>37</v>
      </c>
      <c r="BK7" s="49"/>
      <c r="BL7" s="49"/>
      <c r="BM7" s="49"/>
      <c r="BN7" s="49"/>
      <c r="BO7" s="49"/>
      <c r="BP7" s="49"/>
      <c r="BQ7" s="99" t="s">
        <v>997</v>
      </c>
      <c r="BR7" s="99" t="s">
        <v>997</v>
      </c>
      <c r="BS7" s="99" t="s">
        <v>1015</v>
      </c>
      <c r="BT7" s="99" t="s">
        <v>1015</v>
      </c>
      <c r="BU7" s="2"/>
      <c r="BV7" s="3"/>
      <c r="BW7" s="3"/>
      <c r="BX7" s="3"/>
      <c r="BY7" s="3"/>
    </row>
    <row r="8" spans="1:77" ht="15">
      <c r="A8" s="65" t="s">
        <v>588</v>
      </c>
      <c r="B8" s="66"/>
      <c r="C8" s="66"/>
      <c r="D8" s="67">
        <v>989.4117751695503</v>
      </c>
      <c r="E8" s="104"/>
      <c r="F8" s="90" t="str">
        <f>HYPERLINK("https://pbs.twimg.com/profile_images/466351406090186752/Zym_9Hv3_normal.png")</f>
        <v>https://pbs.twimg.com/profile_images/466351406090186752/Zym_9Hv3_normal.png</v>
      </c>
      <c r="G8" s="105"/>
      <c r="H8" s="70" t="s">
        <v>588</v>
      </c>
      <c r="I8" s="71"/>
      <c r="J8" s="106"/>
      <c r="K8" s="70" t="s">
        <v>776</v>
      </c>
      <c r="L8" s="107">
        <v>2100.58000524895</v>
      </c>
      <c r="M8" s="75">
        <v>3764.438232421875</v>
      </c>
      <c r="N8" s="75">
        <v>6645.51416015625</v>
      </c>
      <c r="O8" s="76"/>
      <c r="P8" s="77"/>
      <c r="Q8" s="77"/>
      <c r="R8" s="108"/>
      <c r="S8" s="49">
        <v>3</v>
      </c>
      <c r="T8" s="49">
        <v>0</v>
      </c>
      <c r="U8" s="50">
        <v>28</v>
      </c>
      <c r="V8" s="50">
        <v>0.321429</v>
      </c>
      <c r="W8" s="50">
        <v>0.186365</v>
      </c>
      <c r="X8" s="50">
        <v>0.039538</v>
      </c>
      <c r="Y8" s="50">
        <v>0.3333333333333333</v>
      </c>
      <c r="Z8" s="50">
        <v>0</v>
      </c>
      <c r="AA8" s="72">
        <v>8</v>
      </c>
      <c r="AB8" s="72"/>
      <c r="AC8" s="73"/>
      <c r="AD8" s="81" t="s">
        <v>712</v>
      </c>
      <c r="AE8" s="86" t="s">
        <v>704</v>
      </c>
      <c r="AF8" s="81">
        <v>540</v>
      </c>
      <c r="AG8" s="81">
        <v>21102</v>
      </c>
      <c r="AH8" s="81">
        <v>4375</v>
      </c>
      <c r="AI8" s="81">
        <v>1019</v>
      </c>
      <c r="AJ8" s="81"/>
      <c r="AK8" s="81" t="s">
        <v>755</v>
      </c>
      <c r="AL8" s="81" t="s">
        <v>274</v>
      </c>
      <c r="AM8" s="84" t="str">
        <f>HYPERLINK("https://t.co/swUAD0XnUH")</f>
        <v>https://t.co/swUAD0XnUH</v>
      </c>
      <c r="AN8" s="81"/>
      <c r="AO8" s="83">
        <v>40989.92130787037</v>
      </c>
      <c r="AP8" s="84" t="str">
        <f>HYPERLINK("https://pbs.twimg.com/profile_banners/532682706/1639348725")</f>
        <v>https://pbs.twimg.com/profile_banners/532682706/1639348725</v>
      </c>
      <c r="AQ8" s="81" t="b">
        <v>0</v>
      </c>
      <c r="AR8" s="81" t="b">
        <v>0</v>
      </c>
      <c r="AS8" s="81" t="b">
        <v>0</v>
      </c>
      <c r="AT8" s="81"/>
      <c r="AU8" s="81">
        <v>215</v>
      </c>
      <c r="AV8" s="84" t="str">
        <f>HYPERLINK("https://abs.twimg.com/images/themes/theme14/bg.gif")</f>
        <v>https://abs.twimg.com/images/themes/theme14/bg.gif</v>
      </c>
      <c r="AW8" s="81" t="b">
        <v>1</v>
      </c>
      <c r="AX8" s="81" t="s">
        <v>310</v>
      </c>
      <c r="AY8" s="84" t="str">
        <f>HYPERLINK("https://twitter.com/mbiegovtnz")</f>
        <v>https://twitter.com/mbiegovtnz</v>
      </c>
      <c r="AZ8" s="81" t="s">
        <v>65</v>
      </c>
      <c r="BA8" s="80"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576</v>
      </c>
      <c r="B9" s="66"/>
      <c r="C9" s="66"/>
      <c r="D9" s="67">
        <v>100</v>
      </c>
      <c r="E9" s="104"/>
      <c r="F9" s="90" t="str">
        <f>HYPERLINK("https://pbs.twimg.com/profile_images/2623788199/ozkgloy3owdivuiclfub_normal.png")</f>
        <v>https://pbs.twimg.com/profile_images/2623788199/ozkgloy3owdivuiclfub_normal.png</v>
      </c>
      <c r="G9" s="105"/>
      <c r="H9" s="70" t="s">
        <v>576</v>
      </c>
      <c r="I9" s="71"/>
      <c r="J9" s="106"/>
      <c r="K9" s="70" t="s">
        <v>777</v>
      </c>
      <c r="L9" s="107">
        <v>1</v>
      </c>
      <c r="M9" s="75">
        <v>6130.33935546875</v>
      </c>
      <c r="N9" s="75">
        <v>6307.7802734375</v>
      </c>
      <c r="O9" s="76"/>
      <c r="P9" s="77"/>
      <c r="Q9" s="77"/>
      <c r="R9" s="108"/>
      <c r="S9" s="49">
        <v>0</v>
      </c>
      <c r="T9" s="49">
        <v>1</v>
      </c>
      <c r="U9" s="50">
        <v>0</v>
      </c>
      <c r="V9" s="50">
        <v>0.04</v>
      </c>
      <c r="W9" s="50">
        <v>0</v>
      </c>
      <c r="X9" s="50">
        <v>0.038462</v>
      </c>
      <c r="Y9" s="50">
        <v>0</v>
      </c>
      <c r="Z9" s="50">
        <v>0</v>
      </c>
      <c r="AA9" s="72">
        <v>9</v>
      </c>
      <c r="AB9" s="72"/>
      <c r="AC9" s="73"/>
      <c r="AD9" s="81" t="s">
        <v>713</v>
      </c>
      <c r="AE9" s="86" t="s">
        <v>735</v>
      </c>
      <c r="AF9" s="81">
        <v>728</v>
      </c>
      <c r="AG9" s="81">
        <v>894</v>
      </c>
      <c r="AH9" s="81">
        <v>7166</v>
      </c>
      <c r="AI9" s="81">
        <v>323</v>
      </c>
      <c r="AJ9" s="81"/>
      <c r="AK9" s="81" t="s">
        <v>756</v>
      </c>
      <c r="AL9" s="81" t="s">
        <v>308</v>
      </c>
      <c r="AM9" s="84" t="str">
        <f>HYPERLINK("http://t.co/N5Wzp8ZfhW")</f>
        <v>http://t.co/N5Wzp8ZfhW</v>
      </c>
      <c r="AN9" s="81"/>
      <c r="AO9" s="83">
        <v>39497.48648148148</v>
      </c>
      <c r="AP9" s="81"/>
      <c r="AQ9" s="81" t="b">
        <v>0</v>
      </c>
      <c r="AR9" s="81" t="b">
        <v>0</v>
      </c>
      <c r="AS9" s="81" t="b">
        <v>1</v>
      </c>
      <c r="AT9" s="81"/>
      <c r="AU9" s="81">
        <v>51</v>
      </c>
      <c r="AV9" s="84" t="str">
        <f>HYPERLINK("https://abs.twimg.com/images/themes/theme1/bg.png")</f>
        <v>https://abs.twimg.com/images/themes/theme1/bg.png</v>
      </c>
      <c r="AW9" s="81" t="b">
        <v>0</v>
      </c>
      <c r="AX9" s="81" t="s">
        <v>310</v>
      </c>
      <c r="AY9" s="84" t="str">
        <f>HYPERLINK("https://twitter.com/mariojunior")</f>
        <v>https://twitter.com/mariojunior</v>
      </c>
      <c r="AZ9" s="81" t="s">
        <v>66</v>
      </c>
      <c r="BA9" s="80" t="str">
        <f>REPLACE(INDEX(GroupVertices[Group],MATCH(Vertices[[#This Row],[Vertex]],GroupVertices[Vertex],0)),1,1,"")</f>
        <v>6</v>
      </c>
      <c r="BB9" s="49">
        <v>1</v>
      </c>
      <c r="BC9" s="50">
        <v>3.3333333333333335</v>
      </c>
      <c r="BD9" s="49">
        <v>2</v>
      </c>
      <c r="BE9" s="50">
        <v>6.666666666666667</v>
      </c>
      <c r="BF9" s="49">
        <v>0</v>
      </c>
      <c r="BG9" s="50">
        <v>0</v>
      </c>
      <c r="BH9" s="49">
        <v>27</v>
      </c>
      <c r="BI9" s="50">
        <v>90</v>
      </c>
      <c r="BJ9" s="49">
        <v>30</v>
      </c>
      <c r="BK9" s="49"/>
      <c r="BL9" s="49"/>
      <c r="BM9" s="49"/>
      <c r="BN9" s="49"/>
      <c r="BO9" s="49"/>
      <c r="BP9" s="49"/>
      <c r="BQ9" s="99" t="s">
        <v>998</v>
      </c>
      <c r="BR9" s="99" t="s">
        <v>998</v>
      </c>
      <c r="BS9" s="99" t="s">
        <v>1016</v>
      </c>
      <c r="BT9" s="99" t="s">
        <v>1016</v>
      </c>
      <c r="BU9" s="2"/>
      <c r="BV9" s="3"/>
      <c r="BW9" s="3"/>
      <c r="BX9" s="3"/>
      <c r="BY9" s="3"/>
    </row>
    <row r="10" spans="1:77" ht="15">
      <c r="A10" s="65" t="s">
        <v>589</v>
      </c>
      <c r="B10" s="66"/>
      <c r="C10" s="66"/>
      <c r="D10" s="67">
        <v>100</v>
      </c>
      <c r="E10" s="104"/>
      <c r="F10" s="90" t="str">
        <f>HYPERLINK("https://pbs.twimg.com/profile_images/1259434342796767233/jBn6XX35_normal.jpg")</f>
        <v>https://pbs.twimg.com/profile_images/1259434342796767233/jBn6XX35_normal.jpg</v>
      </c>
      <c r="G10" s="105"/>
      <c r="H10" s="70" t="s">
        <v>589</v>
      </c>
      <c r="I10" s="71"/>
      <c r="J10" s="106"/>
      <c r="K10" s="70" t="s">
        <v>778</v>
      </c>
      <c r="L10" s="107">
        <v>1</v>
      </c>
      <c r="M10" s="75">
        <v>6130.33935546875</v>
      </c>
      <c r="N10" s="75">
        <v>8457.09765625</v>
      </c>
      <c r="O10" s="76"/>
      <c r="P10" s="77"/>
      <c r="Q10" s="77"/>
      <c r="R10" s="108"/>
      <c r="S10" s="49">
        <v>1</v>
      </c>
      <c r="T10" s="49">
        <v>0</v>
      </c>
      <c r="U10" s="50">
        <v>0</v>
      </c>
      <c r="V10" s="50">
        <v>0.04</v>
      </c>
      <c r="W10" s="50">
        <v>0</v>
      </c>
      <c r="X10" s="50">
        <v>0.038462</v>
      </c>
      <c r="Y10" s="50">
        <v>0</v>
      </c>
      <c r="Z10" s="50">
        <v>0</v>
      </c>
      <c r="AA10" s="72">
        <v>10</v>
      </c>
      <c r="AB10" s="72"/>
      <c r="AC10" s="73"/>
      <c r="AD10" s="81" t="s">
        <v>714</v>
      </c>
      <c r="AE10" s="86" t="s">
        <v>705</v>
      </c>
      <c r="AF10" s="81">
        <v>252</v>
      </c>
      <c r="AG10" s="81">
        <v>197</v>
      </c>
      <c r="AH10" s="81">
        <v>644</v>
      </c>
      <c r="AI10" s="81">
        <v>20369</v>
      </c>
      <c r="AJ10" s="81"/>
      <c r="AK10" s="81" t="s">
        <v>757</v>
      </c>
      <c r="AL10" s="81" t="s">
        <v>275</v>
      </c>
      <c r="AM10" s="81"/>
      <c r="AN10" s="81"/>
      <c r="AO10" s="83">
        <v>43961.43920138889</v>
      </c>
      <c r="AP10" s="84" t="str">
        <f>HYPERLINK("https://pbs.twimg.com/profile_banners/1259431052084305920/1589111863")</f>
        <v>https://pbs.twimg.com/profile_banners/1259431052084305920/1589111863</v>
      </c>
      <c r="AQ10" s="81" t="b">
        <v>1</v>
      </c>
      <c r="AR10" s="81" t="b">
        <v>0</v>
      </c>
      <c r="AS10" s="81" t="b">
        <v>0</v>
      </c>
      <c r="AT10" s="81"/>
      <c r="AU10" s="81">
        <v>0</v>
      </c>
      <c r="AV10" s="81"/>
      <c r="AW10" s="81" t="b">
        <v>0</v>
      </c>
      <c r="AX10" s="81" t="s">
        <v>310</v>
      </c>
      <c r="AY10" s="84" t="str">
        <f>HYPERLINK("https://twitter.com/leila_fas")</f>
        <v>https://twitter.com/leila_fas</v>
      </c>
      <c r="AZ10" s="81" t="s">
        <v>65</v>
      </c>
      <c r="BA10" s="80"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577</v>
      </c>
      <c r="B11" s="66"/>
      <c r="C11" s="66"/>
      <c r="D11" s="67">
        <v>100</v>
      </c>
      <c r="E11" s="104"/>
      <c r="F11" s="90" t="str">
        <f>HYPERLINK("https://pbs.twimg.com/profile_images/1489363320687583237/DentiMES_normal.jpg")</f>
        <v>https://pbs.twimg.com/profile_images/1489363320687583237/DentiMES_normal.jpg</v>
      </c>
      <c r="G11" s="105"/>
      <c r="H11" s="70" t="s">
        <v>577</v>
      </c>
      <c r="I11" s="71"/>
      <c r="J11" s="106"/>
      <c r="K11" s="70" t="s">
        <v>779</v>
      </c>
      <c r="L11" s="107">
        <v>1</v>
      </c>
      <c r="M11" s="75">
        <v>7643.79345703125</v>
      </c>
      <c r="N11" s="75">
        <v>6307.7802734375</v>
      </c>
      <c r="O11" s="76"/>
      <c r="P11" s="77"/>
      <c r="Q11" s="77"/>
      <c r="R11" s="108"/>
      <c r="S11" s="49">
        <v>1</v>
      </c>
      <c r="T11" s="49">
        <v>1</v>
      </c>
      <c r="U11" s="50">
        <v>0</v>
      </c>
      <c r="V11" s="50">
        <v>0</v>
      </c>
      <c r="W11" s="50">
        <v>0</v>
      </c>
      <c r="X11" s="50">
        <v>0.038462</v>
      </c>
      <c r="Y11" s="50">
        <v>0</v>
      </c>
      <c r="Z11" s="50">
        <v>0</v>
      </c>
      <c r="AA11" s="72">
        <v>11</v>
      </c>
      <c r="AB11" s="72"/>
      <c r="AC11" s="73"/>
      <c r="AD11" s="81" t="s">
        <v>715</v>
      </c>
      <c r="AE11" s="86" t="s">
        <v>706</v>
      </c>
      <c r="AF11" s="81">
        <v>109</v>
      </c>
      <c r="AG11" s="81">
        <v>241</v>
      </c>
      <c r="AH11" s="81">
        <v>1428</v>
      </c>
      <c r="AI11" s="81">
        <v>1192</v>
      </c>
      <c r="AJ11" s="81"/>
      <c r="AK11" s="81" t="s">
        <v>758</v>
      </c>
      <c r="AL11" s="81" t="s">
        <v>274</v>
      </c>
      <c r="AM11" s="81"/>
      <c r="AN11" s="81"/>
      <c r="AO11" s="83">
        <v>42520.62596064815</v>
      </c>
      <c r="AP11" s="81"/>
      <c r="AQ11" s="81" t="b">
        <v>1</v>
      </c>
      <c r="AR11" s="81" t="b">
        <v>0</v>
      </c>
      <c r="AS11" s="81" t="b">
        <v>0</v>
      </c>
      <c r="AT11" s="81"/>
      <c r="AU11" s="81">
        <v>2</v>
      </c>
      <c r="AV11" s="81"/>
      <c r="AW11" s="81" t="b">
        <v>0</v>
      </c>
      <c r="AX11" s="81" t="s">
        <v>310</v>
      </c>
      <c r="AY11" s="84" t="str">
        <f>HYPERLINK("https://twitter.com/tramorabroad")</f>
        <v>https://twitter.com/tramorabroad</v>
      </c>
      <c r="AZ11" s="81" t="s">
        <v>66</v>
      </c>
      <c r="BA11" s="80" t="str">
        <f>REPLACE(INDEX(GroupVertices[Group],MATCH(Vertices[[#This Row],[Vertex]],GroupVertices[Vertex],0)),1,1,"")</f>
        <v>8</v>
      </c>
      <c r="BB11" s="49">
        <v>1</v>
      </c>
      <c r="BC11" s="50">
        <v>2.7027027027027026</v>
      </c>
      <c r="BD11" s="49">
        <v>1</v>
      </c>
      <c r="BE11" s="50">
        <v>2.7027027027027026</v>
      </c>
      <c r="BF11" s="49">
        <v>0</v>
      </c>
      <c r="BG11" s="50">
        <v>0</v>
      </c>
      <c r="BH11" s="49">
        <v>35</v>
      </c>
      <c r="BI11" s="50">
        <v>94.5945945945946</v>
      </c>
      <c r="BJ11" s="49">
        <v>37</v>
      </c>
      <c r="BK11" s="49"/>
      <c r="BL11" s="49"/>
      <c r="BM11" s="49"/>
      <c r="BN11" s="49"/>
      <c r="BO11" s="49" t="s">
        <v>624</v>
      </c>
      <c r="BP11" s="49" t="s">
        <v>624</v>
      </c>
      <c r="BQ11" s="99" t="s">
        <v>999</v>
      </c>
      <c r="BR11" s="99" t="s">
        <v>999</v>
      </c>
      <c r="BS11" s="99" t="s">
        <v>1017</v>
      </c>
      <c r="BT11" s="99" t="s">
        <v>1017</v>
      </c>
      <c r="BU11" s="2"/>
      <c r="BV11" s="3"/>
      <c r="BW11" s="3"/>
      <c r="BX11" s="3"/>
      <c r="BY11" s="3"/>
    </row>
    <row r="12" spans="1:77" ht="15">
      <c r="A12" s="65" t="s">
        <v>578</v>
      </c>
      <c r="B12" s="66"/>
      <c r="C12" s="66"/>
      <c r="D12" s="67">
        <v>100</v>
      </c>
      <c r="E12" s="104"/>
      <c r="F12" s="90" t="str">
        <f>HYPERLINK("https://pbs.twimg.com/profile_images/1261271976728903681/tiry95eM_normal.jpg")</f>
        <v>https://pbs.twimg.com/profile_images/1261271976728903681/tiry95eM_normal.jpg</v>
      </c>
      <c r="G12" s="105"/>
      <c r="H12" s="70" t="s">
        <v>578</v>
      </c>
      <c r="I12" s="71"/>
      <c r="J12" s="106"/>
      <c r="K12" s="70" t="s">
        <v>780</v>
      </c>
      <c r="L12" s="107">
        <v>1</v>
      </c>
      <c r="M12" s="75">
        <v>9157.2470703125</v>
      </c>
      <c r="N12" s="75">
        <v>3691.2197265625</v>
      </c>
      <c r="O12" s="76"/>
      <c r="P12" s="77"/>
      <c r="Q12" s="77"/>
      <c r="R12" s="108"/>
      <c r="S12" s="49">
        <v>2</v>
      </c>
      <c r="T12" s="49">
        <v>1</v>
      </c>
      <c r="U12" s="50">
        <v>0</v>
      </c>
      <c r="V12" s="50">
        <v>0.04</v>
      </c>
      <c r="W12" s="50">
        <v>0</v>
      </c>
      <c r="X12" s="50">
        <v>0.041145</v>
      </c>
      <c r="Y12" s="50">
        <v>0</v>
      </c>
      <c r="Z12" s="50">
        <v>0</v>
      </c>
      <c r="AA12" s="72">
        <v>12</v>
      </c>
      <c r="AB12" s="72"/>
      <c r="AC12" s="73"/>
      <c r="AD12" s="81" t="s">
        <v>716</v>
      </c>
      <c r="AE12" s="86" t="s">
        <v>736</v>
      </c>
      <c r="AF12" s="81">
        <v>997</v>
      </c>
      <c r="AG12" s="81">
        <v>1588</v>
      </c>
      <c r="AH12" s="81">
        <v>15192</v>
      </c>
      <c r="AI12" s="81">
        <v>3194</v>
      </c>
      <c r="AJ12" s="81"/>
      <c r="AK12" s="81" t="s">
        <v>759</v>
      </c>
      <c r="AL12" s="81" t="s">
        <v>277</v>
      </c>
      <c r="AM12" s="84" t="str">
        <f>HYPERLINK("https://t.co/0TZI8JFXTG")</f>
        <v>https://t.co/0TZI8JFXTG</v>
      </c>
      <c r="AN12" s="81"/>
      <c r="AO12" s="83">
        <v>39992.26446759259</v>
      </c>
      <c r="AP12" s="84" t="str">
        <f>HYPERLINK("https://pbs.twimg.com/profile_banners/51667665/1591530587")</f>
        <v>https://pbs.twimg.com/profile_banners/51667665/1591530587</v>
      </c>
      <c r="AQ12" s="81" t="b">
        <v>0</v>
      </c>
      <c r="AR12" s="81" t="b">
        <v>0</v>
      </c>
      <c r="AS12" s="81" t="b">
        <v>1</v>
      </c>
      <c r="AT12" s="81"/>
      <c r="AU12" s="81">
        <v>16</v>
      </c>
      <c r="AV12" s="84" t="str">
        <f>HYPERLINK("https://abs.twimg.com/images/themes/theme1/bg.png")</f>
        <v>https://abs.twimg.com/images/themes/theme1/bg.png</v>
      </c>
      <c r="AW12" s="81" t="b">
        <v>0</v>
      </c>
      <c r="AX12" s="81" t="s">
        <v>310</v>
      </c>
      <c r="AY12" s="84" t="str">
        <f>HYPERLINK("https://twitter.com/indianweekender")</f>
        <v>https://twitter.com/indianweekender</v>
      </c>
      <c r="AZ12" s="81" t="s">
        <v>66</v>
      </c>
      <c r="BA12" s="80" t="str">
        <f>REPLACE(INDEX(GroupVertices[Group],MATCH(Vertices[[#This Row],[Vertex]],GroupVertices[Vertex],0)),1,1,"")</f>
        <v>5</v>
      </c>
      <c r="BB12" s="49">
        <v>11</v>
      </c>
      <c r="BC12" s="50">
        <v>5.7591623036649215</v>
      </c>
      <c r="BD12" s="49">
        <v>5</v>
      </c>
      <c r="BE12" s="50">
        <v>2.6178010471204187</v>
      </c>
      <c r="BF12" s="49">
        <v>0</v>
      </c>
      <c r="BG12" s="50">
        <v>0</v>
      </c>
      <c r="BH12" s="49">
        <v>175</v>
      </c>
      <c r="BI12" s="50">
        <v>91.62303664921465</v>
      </c>
      <c r="BJ12" s="49">
        <v>191</v>
      </c>
      <c r="BK12" s="49" t="s">
        <v>978</v>
      </c>
      <c r="BL12" s="49" t="s">
        <v>978</v>
      </c>
      <c r="BM12" s="49" t="s">
        <v>264</v>
      </c>
      <c r="BN12" s="49" t="s">
        <v>264</v>
      </c>
      <c r="BO12" s="49" t="s">
        <v>984</v>
      </c>
      <c r="BP12" s="49" t="s">
        <v>989</v>
      </c>
      <c r="BQ12" s="99" t="s">
        <v>1000</v>
      </c>
      <c r="BR12" s="99" t="s">
        <v>1007</v>
      </c>
      <c r="BS12" s="99" t="s">
        <v>1018</v>
      </c>
      <c r="BT12" s="99" t="s">
        <v>1018</v>
      </c>
      <c r="BU12" s="2"/>
      <c r="BV12" s="3"/>
      <c r="BW12" s="3"/>
      <c r="BX12" s="3"/>
      <c r="BY12" s="3"/>
    </row>
    <row r="13" spans="1:77" ht="15">
      <c r="A13" s="65" t="s">
        <v>579</v>
      </c>
      <c r="B13" s="66"/>
      <c r="C13" s="66"/>
      <c r="D13" s="67">
        <v>100</v>
      </c>
      <c r="E13" s="104"/>
      <c r="F13" s="90" t="str">
        <f>HYPERLINK("https://pbs.twimg.com/profile_images/1515417877138272256/Xai0eTTk_normal.jpg")</f>
        <v>https://pbs.twimg.com/profile_images/1515417877138272256/Xai0eTTk_normal.jpg</v>
      </c>
      <c r="G13" s="105"/>
      <c r="H13" s="70" t="s">
        <v>579</v>
      </c>
      <c r="I13" s="71"/>
      <c r="J13" s="106"/>
      <c r="K13" s="70" t="s">
        <v>781</v>
      </c>
      <c r="L13" s="107">
        <v>1</v>
      </c>
      <c r="M13" s="75">
        <v>9157.2470703125</v>
      </c>
      <c r="N13" s="75">
        <v>1541.90185546875</v>
      </c>
      <c r="O13" s="76"/>
      <c r="P13" s="77"/>
      <c r="Q13" s="77"/>
      <c r="R13" s="108"/>
      <c r="S13" s="49">
        <v>0</v>
      </c>
      <c r="T13" s="49">
        <v>1</v>
      </c>
      <c r="U13" s="50">
        <v>0</v>
      </c>
      <c r="V13" s="50">
        <v>0.04</v>
      </c>
      <c r="W13" s="50">
        <v>0</v>
      </c>
      <c r="X13" s="50">
        <v>0.035778</v>
      </c>
      <c r="Y13" s="50">
        <v>0</v>
      </c>
      <c r="Z13" s="50">
        <v>0</v>
      </c>
      <c r="AA13" s="72">
        <v>13</v>
      </c>
      <c r="AB13" s="72"/>
      <c r="AC13" s="73"/>
      <c r="AD13" s="81" t="s">
        <v>717</v>
      </c>
      <c r="AE13" s="86" t="s">
        <v>737</v>
      </c>
      <c r="AF13" s="81">
        <v>48</v>
      </c>
      <c r="AG13" s="81">
        <v>11</v>
      </c>
      <c r="AH13" s="81">
        <v>971</v>
      </c>
      <c r="AI13" s="81">
        <v>78</v>
      </c>
      <c r="AJ13" s="81"/>
      <c r="AK13" s="81"/>
      <c r="AL13" s="81"/>
      <c r="AM13" s="81"/>
      <c r="AN13" s="81"/>
      <c r="AO13" s="83">
        <v>44481.24290509259</v>
      </c>
      <c r="AP13" s="81"/>
      <c r="AQ13" s="81" t="b">
        <v>1</v>
      </c>
      <c r="AR13" s="81" t="b">
        <v>0</v>
      </c>
      <c r="AS13" s="81" t="b">
        <v>0</v>
      </c>
      <c r="AT13" s="81"/>
      <c r="AU13" s="81">
        <v>0</v>
      </c>
      <c r="AV13" s="81"/>
      <c r="AW13" s="81" t="b">
        <v>0</v>
      </c>
      <c r="AX13" s="81" t="s">
        <v>310</v>
      </c>
      <c r="AY13" s="84" t="str">
        <f>HYPERLINK("https://twitter.com/sureshk01547631")</f>
        <v>https://twitter.com/sureshk01547631</v>
      </c>
      <c r="AZ13" s="81" t="s">
        <v>66</v>
      </c>
      <c r="BA13" s="80" t="str">
        <f>REPLACE(INDEX(GroupVertices[Group],MATCH(Vertices[[#This Row],[Vertex]],GroupVertices[Vertex],0)),1,1,"")</f>
        <v>5</v>
      </c>
      <c r="BB13" s="49">
        <v>5</v>
      </c>
      <c r="BC13" s="50">
        <v>8.064516129032258</v>
      </c>
      <c r="BD13" s="49">
        <v>1</v>
      </c>
      <c r="BE13" s="50">
        <v>1.6129032258064515</v>
      </c>
      <c r="BF13" s="49">
        <v>0</v>
      </c>
      <c r="BG13" s="50">
        <v>0</v>
      </c>
      <c r="BH13" s="49">
        <v>56</v>
      </c>
      <c r="BI13" s="50">
        <v>90.3225806451613</v>
      </c>
      <c r="BJ13" s="49">
        <v>62</v>
      </c>
      <c r="BK13" s="49"/>
      <c r="BL13" s="49"/>
      <c r="BM13" s="49"/>
      <c r="BN13" s="49"/>
      <c r="BO13" s="49" t="s">
        <v>985</v>
      </c>
      <c r="BP13" s="49" t="s">
        <v>990</v>
      </c>
      <c r="BQ13" s="99" t="s">
        <v>1001</v>
      </c>
      <c r="BR13" s="99" t="s">
        <v>1008</v>
      </c>
      <c r="BS13" s="99" t="s">
        <v>1019</v>
      </c>
      <c r="BT13" s="99" t="s">
        <v>1019</v>
      </c>
      <c r="BU13" s="2"/>
      <c r="BV13" s="3"/>
      <c r="BW13" s="3"/>
      <c r="BX13" s="3"/>
      <c r="BY13" s="3"/>
    </row>
    <row r="14" spans="1:77" ht="15">
      <c r="A14" s="65" t="s">
        <v>580</v>
      </c>
      <c r="B14" s="66"/>
      <c r="C14" s="66"/>
      <c r="D14" s="67">
        <v>1000</v>
      </c>
      <c r="E14" s="104"/>
      <c r="F14" s="90" t="str">
        <f>HYPERLINK("https://pbs.twimg.com/profile_images/1521083114046758913/ia08w9bB_normal.jpg")</f>
        <v>https://pbs.twimg.com/profile_images/1521083114046758913/ia08w9bB_normal.jpg</v>
      </c>
      <c r="G14" s="105"/>
      <c r="H14" s="70" t="s">
        <v>580</v>
      </c>
      <c r="I14" s="71"/>
      <c r="J14" s="106"/>
      <c r="K14" s="70" t="s">
        <v>782</v>
      </c>
      <c r="L14" s="107">
        <v>2125.574980316437</v>
      </c>
      <c r="M14" s="75">
        <v>4366.4052734375</v>
      </c>
      <c r="N14" s="75">
        <v>3583.86279296875</v>
      </c>
      <c r="O14" s="76"/>
      <c r="P14" s="77"/>
      <c r="Q14" s="77"/>
      <c r="R14" s="108"/>
      <c r="S14" s="49">
        <v>2</v>
      </c>
      <c r="T14" s="49">
        <v>8</v>
      </c>
      <c r="U14" s="50">
        <v>28.333333</v>
      </c>
      <c r="V14" s="50">
        <v>0.409091</v>
      </c>
      <c r="W14" s="50">
        <v>0.423018</v>
      </c>
      <c r="X14" s="50">
        <v>0.046592</v>
      </c>
      <c r="Y14" s="50">
        <v>0.19642857142857142</v>
      </c>
      <c r="Z14" s="50">
        <v>0.25</v>
      </c>
      <c r="AA14" s="72">
        <v>14</v>
      </c>
      <c r="AB14" s="72"/>
      <c r="AC14" s="73"/>
      <c r="AD14" s="81" t="s">
        <v>718</v>
      </c>
      <c r="AE14" s="86" t="s">
        <v>738</v>
      </c>
      <c r="AF14" s="81">
        <v>147</v>
      </c>
      <c r="AG14" s="81">
        <v>20</v>
      </c>
      <c r="AH14" s="81">
        <v>145</v>
      </c>
      <c r="AI14" s="81">
        <v>229</v>
      </c>
      <c r="AJ14" s="81"/>
      <c r="AK14" s="81" t="s">
        <v>760</v>
      </c>
      <c r="AL14" s="81"/>
      <c r="AM14" s="81"/>
      <c r="AN14" s="81"/>
      <c r="AO14" s="83">
        <v>44480.93677083333</v>
      </c>
      <c r="AP14" s="81"/>
      <c r="AQ14" s="81" t="b">
        <v>1</v>
      </c>
      <c r="AR14" s="81" t="b">
        <v>0</v>
      </c>
      <c r="AS14" s="81" t="b">
        <v>0</v>
      </c>
      <c r="AT14" s="81"/>
      <c r="AU14" s="81">
        <v>0</v>
      </c>
      <c r="AV14" s="81"/>
      <c r="AW14" s="81" t="b">
        <v>0</v>
      </c>
      <c r="AX14" s="81" t="s">
        <v>310</v>
      </c>
      <c r="AY14" s="84" t="str">
        <f>HYPERLINK("https://twitter.com/ariannagail1")</f>
        <v>https://twitter.com/ariannagail1</v>
      </c>
      <c r="AZ14" s="81" t="s">
        <v>66</v>
      </c>
      <c r="BA14" s="80" t="str">
        <f>REPLACE(INDEX(GroupVertices[Group],MATCH(Vertices[[#This Row],[Vertex]],GroupVertices[Vertex],0)),1,1,"")</f>
        <v>2</v>
      </c>
      <c r="BB14" s="49">
        <v>3</v>
      </c>
      <c r="BC14" s="50">
        <v>3.409090909090909</v>
      </c>
      <c r="BD14" s="49">
        <v>2</v>
      </c>
      <c r="BE14" s="50">
        <v>2.272727272727273</v>
      </c>
      <c r="BF14" s="49">
        <v>0</v>
      </c>
      <c r="BG14" s="50">
        <v>0</v>
      </c>
      <c r="BH14" s="49">
        <v>83</v>
      </c>
      <c r="BI14" s="50">
        <v>94.31818181818181</v>
      </c>
      <c r="BJ14" s="49">
        <v>88</v>
      </c>
      <c r="BK14" s="49" t="s">
        <v>979</v>
      </c>
      <c r="BL14" s="49" t="s">
        <v>979</v>
      </c>
      <c r="BM14" s="49" t="s">
        <v>483</v>
      </c>
      <c r="BN14" s="49" t="s">
        <v>484</v>
      </c>
      <c r="BO14" s="49" t="s">
        <v>907</v>
      </c>
      <c r="BP14" s="49" t="s">
        <v>991</v>
      </c>
      <c r="BQ14" s="99" t="s">
        <v>912</v>
      </c>
      <c r="BR14" s="99" t="s">
        <v>1009</v>
      </c>
      <c r="BS14" s="99" t="s">
        <v>1020</v>
      </c>
      <c r="BT14" s="99" t="s">
        <v>1023</v>
      </c>
      <c r="BU14" s="2"/>
      <c r="BV14" s="3"/>
      <c r="BW14" s="3"/>
      <c r="BX14" s="3"/>
      <c r="BY14" s="3"/>
    </row>
    <row r="15" spans="1:77" ht="15">
      <c r="A15" s="65" t="s">
        <v>581</v>
      </c>
      <c r="B15" s="66"/>
      <c r="C15" s="66"/>
      <c r="D15" s="67">
        <v>1000</v>
      </c>
      <c r="E15" s="104"/>
      <c r="F15" s="90" t="str">
        <f>HYPERLINK("https://pbs.twimg.com/profile_images/1509686418662068230/6_KXm14m_normal.jpg")</f>
        <v>https://pbs.twimg.com/profile_images/1509686418662068230/6_KXm14m_normal.jpg</v>
      </c>
      <c r="G15" s="105"/>
      <c r="H15" s="70" t="s">
        <v>581</v>
      </c>
      <c r="I15" s="71"/>
      <c r="J15" s="106"/>
      <c r="K15" s="70" t="s">
        <v>783</v>
      </c>
      <c r="L15" s="107">
        <v>9999</v>
      </c>
      <c r="M15" s="75">
        <v>1575.58642578125</v>
      </c>
      <c r="N15" s="75">
        <v>5398.763671875</v>
      </c>
      <c r="O15" s="76"/>
      <c r="P15" s="77"/>
      <c r="Q15" s="77"/>
      <c r="R15" s="108"/>
      <c r="S15" s="49">
        <v>2</v>
      </c>
      <c r="T15" s="49">
        <v>13</v>
      </c>
      <c r="U15" s="50">
        <v>133.333333</v>
      </c>
      <c r="V15" s="50">
        <v>0.529412</v>
      </c>
      <c r="W15" s="50">
        <v>0.525897</v>
      </c>
      <c r="X15" s="50">
        <v>0.066916</v>
      </c>
      <c r="Y15" s="50">
        <v>0.08333333333333333</v>
      </c>
      <c r="Z15" s="50">
        <v>0.15384615384615385</v>
      </c>
      <c r="AA15" s="72">
        <v>15</v>
      </c>
      <c r="AB15" s="72"/>
      <c r="AC15" s="73"/>
      <c r="AD15" s="81" t="s">
        <v>719</v>
      </c>
      <c r="AE15" s="86" t="s">
        <v>739</v>
      </c>
      <c r="AF15" s="81">
        <v>4521</v>
      </c>
      <c r="AG15" s="81">
        <v>4212</v>
      </c>
      <c r="AH15" s="81">
        <v>124867</v>
      </c>
      <c r="AI15" s="81">
        <v>139050</v>
      </c>
      <c r="AJ15" s="81"/>
      <c r="AK15" s="81" t="s">
        <v>761</v>
      </c>
      <c r="AL15" s="81" t="s">
        <v>306</v>
      </c>
      <c r="AM15" s="81"/>
      <c r="AN15" s="81"/>
      <c r="AO15" s="83">
        <v>39990.25005787037</v>
      </c>
      <c r="AP15" s="84" t="str">
        <f>HYPERLINK("https://pbs.twimg.com/profile_banners/50943610/1590974169")</f>
        <v>https://pbs.twimg.com/profile_banners/50943610/1590974169</v>
      </c>
      <c r="AQ15" s="81" t="b">
        <v>0</v>
      </c>
      <c r="AR15" s="81" t="b">
        <v>0</v>
      </c>
      <c r="AS15" s="81" t="b">
        <v>1</v>
      </c>
      <c r="AT15" s="81"/>
      <c r="AU15" s="81">
        <v>331</v>
      </c>
      <c r="AV15" s="84" t="str">
        <f>HYPERLINK("https://abs.twimg.com/images/themes/theme1/bg.png")</f>
        <v>https://abs.twimg.com/images/themes/theme1/bg.png</v>
      </c>
      <c r="AW15" s="81" t="b">
        <v>0</v>
      </c>
      <c r="AX15" s="81" t="s">
        <v>310</v>
      </c>
      <c r="AY15" s="84" t="str">
        <f>HYPERLINK("https://twitter.com/jennykaynz")</f>
        <v>https://twitter.com/jennykaynz</v>
      </c>
      <c r="AZ15" s="81" t="s">
        <v>66</v>
      </c>
      <c r="BA15" s="80" t="str">
        <f>REPLACE(INDEX(GroupVertices[Group],MATCH(Vertices[[#This Row],[Vertex]],GroupVertices[Vertex],0)),1,1,"")</f>
        <v>1</v>
      </c>
      <c r="BB15" s="49">
        <v>6</v>
      </c>
      <c r="BC15" s="50">
        <v>2.843601895734597</v>
      </c>
      <c r="BD15" s="49">
        <v>7</v>
      </c>
      <c r="BE15" s="50">
        <v>3.3175355450236967</v>
      </c>
      <c r="BF15" s="49">
        <v>0</v>
      </c>
      <c r="BG15" s="50">
        <v>0</v>
      </c>
      <c r="BH15" s="49">
        <v>198</v>
      </c>
      <c r="BI15" s="50">
        <v>93.8388625592417</v>
      </c>
      <c r="BJ15" s="49">
        <v>211</v>
      </c>
      <c r="BK15" s="49" t="s">
        <v>980</v>
      </c>
      <c r="BL15" s="49" t="s">
        <v>980</v>
      </c>
      <c r="BM15" s="49" t="s">
        <v>982</v>
      </c>
      <c r="BN15" s="49" t="s">
        <v>983</v>
      </c>
      <c r="BO15" s="49" t="s">
        <v>986</v>
      </c>
      <c r="BP15" s="49" t="s">
        <v>992</v>
      </c>
      <c r="BQ15" s="99" t="s">
        <v>1002</v>
      </c>
      <c r="BR15" s="99" t="s">
        <v>1010</v>
      </c>
      <c r="BS15" s="99" t="s">
        <v>963</v>
      </c>
      <c r="BT15" s="99" t="s">
        <v>963</v>
      </c>
      <c r="BU15" s="2"/>
      <c r="BV15" s="3"/>
      <c r="BW15" s="3"/>
      <c r="BX15" s="3"/>
      <c r="BY15" s="3"/>
    </row>
    <row r="16" spans="1:77" ht="15">
      <c r="A16" s="65" t="s">
        <v>590</v>
      </c>
      <c r="B16" s="66"/>
      <c r="C16" s="66"/>
      <c r="D16" s="67">
        <v>100</v>
      </c>
      <c r="E16" s="104"/>
      <c r="F16" s="90" t="str">
        <f>HYPERLINK("https://pbs.twimg.com/profile_images/839947194245398528/ZojtkkNi_normal.jpg")</f>
        <v>https://pbs.twimg.com/profile_images/839947194245398528/ZojtkkNi_normal.jpg</v>
      </c>
      <c r="G16" s="105"/>
      <c r="H16" s="70" t="s">
        <v>590</v>
      </c>
      <c r="I16" s="71"/>
      <c r="J16" s="106"/>
      <c r="K16" s="70" t="s">
        <v>784</v>
      </c>
      <c r="L16" s="107">
        <v>1</v>
      </c>
      <c r="M16" s="75">
        <v>324.5030517578125</v>
      </c>
      <c r="N16" s="75">
        <v>8054.2626953125</v>
      </c>
      <c r="O16" s="76"/>
      <c r="P16" s="77"/>
      <c r="Q16" s="77"/>
      <c r="R16" s="108"/>
      <c r="S16" s="49">
        <v>1</v>
      </c>
      <c r="T16" s="49">
        <v>0</v>
      </c>
      <c r="U16" s="50">
        <v>0</v>
      </c>
      <c r="V16" s="50">
        <v>0.290323</v>
      </c>
      <c r="W16" s="50">
        <v>0.099581</v>
      </c>
      <c r="X16" s="50">
        <v>0.033464</v>
      </c>
      <c r="Y16" s="50">
        <v>0</v>
      </c>
      <c r="Z16" s="50">
        <v>0</v>
      </c>
      <c r="AA16" s="72">
        <v>16</v>
      </c>
      <c r="AB16" s="72"/>
      <c r="AC16" s="73"/>
      <c r="AD16" s="81" t="s">
        <v>720</v>
      </c>
      <c r="AE16" s="86" t="s">
        <v>740</v>
      </c>
      <c r="AF16" s="81">
        <v>5595</v>
      </c>
      <c r="AG16" s="81">
        <v>91610</v>
      </c>
      <c r="AH16" s="81">
        <v>13459</v>
      </c>
      <c r="AI16" s="81">
        <v>1367</v>
      </c>
      <c r="AJ16" s="81"/>
      <c r="AK16" s="81" t="s">
        <v>762</v>
      </c>
      <c r="AL16" s="81" t="s">
        <v>274</v>
      </c>
      <c r="AM16" s="84" t="str">
        <f>HYPERLINK("https://t.co/XK0vnXQ2oU")</f>
        <v>https://t.co/XK0vnXQ2oU</v>
      </c>
      <c r="AN16" s="81"/>
      <c r="AO16" s="83">
        <v>39646.41321759259</v>
      </c>
      <c r="AP16" s="84" t="str">
        <f>HYPERLINK("https://pbs.twimg.com/profile_banners/15466126/1597207901")</f>
        <v>https://pbs.twimg.com/profile_banners/15466126/1597207901</v>
      </c>
      <c r="AQ16" s="81" t="b">
        <v>0</v>
      </c>
      <c r="AR16" s="81" t="b">
        <v>0</v>
      </c>
      <c r="AS16" s="81" t="b">
        <v>1</v>
      </c>
      <c r="AT16" s="81"/>
      <c r="AU16" s="81">
        <v>414</v>
      </c>
      <c r="AV16" s="84" t="str">
        <f>HYPERLINK("https://abs.twimg.com/images/themes/theme7/bg.gif")</f>
        <v>https://abs.twimg.com/images/themes/theme7/bg.gif</v>
      </c>
      <c r="AW16" s="81" t="b">
        <v>1</v>
      </c>
      <c r="AX16" s="81" t="s">
        <v>310</v>
      </c>
      <c r="AY16" s="84" t="str">
        <f>HYPERLINK("https://twitter.com/nzlabour")</f>
        <v>https://twitter.com/nzlabour</v>
      </c>
      <c r="AZ16" s="81" t="s">
        <v>65</v>
      </c>
      <c r="BA16" s="80"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591</v>
      </c>
      <c r="B17" s="66"/>
      <c r="C17" s="66"/>
      <c r="D17" s="67">
        <v>100</v>
      </c>
      <c r="E17" s="104"/>
      <c r="F17" s="90" t="str">
        <f>HYPERLINK("https://pbs.twimg.com/profile_images/506920741493678080/repptRKL_normal.jpeg")</f>
        <v>https://pbs.twimg.com/profile_images/506920741493678080/repptRKL_normal.jpeg</v>
      </c>
      <c r="G17" s="105"/>
      <c r="H17" s="70" t="s">
        <v>591</v>
      </c>
      <c r="I17" s="71"/>
      <c r="J17" s="106"/>
      <c r="K17" s="70" t="s">
        <v>785</v>
      </c>
      <c r="L17" s="107">
        <v>1</v>
      </c>
      <c r="M17" s="75">
        <v>3026.908203125</v>
      </c>
      <c r="N17" s="75">
        <v>7166.248046875</v>
      </c>
      <c r="O17" s="76"/>
      <c r="P17" s="77"/>
      <c r="Q17" s="77"/>
      <c r="R17" s="108"/>
      <c r="S17" s="49">
        <v>1</v>
      </c>
      <c r="T17" s="49">
        <v>0</v>
      </c>
      <c r="U17" s="50">
        <v>0</v>
      </c>
      <c r="V17" s="50">
        <v>0.290323</v>
      </c>
      <c r="W17" s="50">
        <v>0.099581</v>
      </c>
      <c r="X17" s="50">
        <v>0.033464</v>
      </c>
      <c r="Y17" s="50">
        <v>0</v>
      </c>
      <c r="Z17" s="50">
        <v>0</v>
      </c>
      <c r="AA17" s="72">
        <v>17</v>
      </c>
      <c r="AB17" s="72"/>
      <c r="AC17" s="73"/>
      <c r="AD17" s="81" t="s">
        <v>721</v>
      </c>
      <c r="AE17" s="86" t="s">
        <v>741</v>
      </c>
      <c r="AF17" s="81">
        <v>76</v>
      </c>
      <c r="AG17" s="81">
        <v>114</v>
      </c>
      <c r="AH17" s="81">
        <v>314</v>
      </c>
      <c r="AI17" s="81">
        <v>41</v>
      </c>
      <c r="AJ17" s="81"/>
      <c r="AK17" s="81" t="s">
        <v>763</v>
      </c>
      <c r="AL17" s="81" t="s">
        <v>308</v>
      </c>
      <c r="AM17" s="84" t="str">
        <f>HYPERLINK("http://t.co/vHKVjTmDoZ")</f>
        <v>http://t.co/vHKVjTmDoZ</v>
      </c>
      <c r="AN17" s="81"/>
      <c r="AO17" s="83">
        <v>41718.32497685185</v>
      </c>
      <c r="AP17" s="81"/>
      <c r="AQ17" s="81" t="b">
        <v>1</v>
      </c>
      <c r="AR17" s="81" t="b">
        <v>0</v>
      </c>
      <c r="AS17" s="81" t="b">
        <v>0</v>
      </c>
      <c r="AT17" s="81"/>
      <c r="AU17" s="81">
        <v>2</v>
      </c>
      <c r="AV17" s="84" t="str">
        <f>HYPERLINK("https://abs.twimg.com/images/themes/theme1/bg.png")</f>
        <v>https://abs.twimg.com/images/themes/theme1/bg.png</v>
      </c>
      <c r="AW17" s="81" t="b">
        <v>0</v>
      </c>
      <c r="AX17" s="81" t="s">
        <v>310</v>
      </c>
      <c r="AY17" s="84" t="str">
        <f>HYPERLINK("https://twitter.com/nzccss")</f>
        <v>https://twitter.com/nzccss</v>
      </c>
      <c r="AZ17" s="81" t="s">
        <v>65</v>
      </c>
      <c r="BA17" s="80"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592</v>
      </c>
      <c r="B18" s="66"/>
      <c r="C18" s="66"/>
      <c r="D18" s="67">
        <v>100</v>
      </c>
      <c r="E18" s="104"/>
      <c r="F18" s="90" t="str">
        <f>HYPERLINK("https://pbs.twimg.com/profile_images/1244905917692313600/p7T9vD4B_normal.jpg")</f>
        <v>https://pbs.twimg.com/profile_images/1244905917692313600/p7T9vD4B_normal.jpg</v>
      </c>
      <c r="G18" s="105"/>
      <c r="H18" s="70" t="s">
        <v>592</v>
      </c>
      <c r="I18" s="71"/>
      <c r="J18" s="106"/>
      <c r="K18" s="70" t="s">
        <v>786</v>
      </c>
      <c r="L18" s="107">
        <v>1</v>
      </c>
      <c r="M18" s="75">
        <v>5288.5869140625</v>
      </c>
      <c r="N18" s="75">
        <v>5494.68115234375</v>
      </c>
      <c r="O18" s="76"/>
      <c r="P18" s="77"/>
      <c r="Q18" s="77"/>
      <c r="R18" s="108"/>
      <c r="S18" s="49">
        <v>2</v>
      </c>
      <c r="T18" s="49">
        <v>0</v>
      </c>
      <c r="U18" s="50">
        <v>0</v>
      </c>
      <c r="V18" s="50">
        <v>0.3</v>
      </c>
      <c r="W18" s="50">
        <v>0.179683</v>
      </c>
      <c r="X18" s="50">
        <v>0.034338</v>
      </c>
      <c r="Y18" s="50">
        <v>1</v>
      </c>
      <c r="Z18" s="50">
        <v>0</v>
      </c>
      <c r="AA18" s="72">
        <v>18</v>
      </c>
      <c r="AB18" s="72"/>
      <c r="AC18" s="73"/>
      <c r="AD18" s="81" t="s">
        <v>722</v>
      </c>
      <c r="AE18" s="86" t="s">
        <v>742</v>
      </c>
      <c r="AF18" s="81">
        <v>315</v>
      </c>
      <c r="AG18" s="81">
        <v>7715</v>
      </c>
      <c r="AH18" s="81">
        <v>2117</v>
      </c>
      <c r="AI18" s="81">
        <v>1226</v>
      </c>
      <c r="AJ18" s="81"/>
      <c r="AK18" s="81" t="s">
        <v>356</v>
      </c>
      <c r="AL18" s="81"/>
      <c r="AM18" s="81"/>
      <c r="AN18" s="81"/>
      <c r="AO18" s="83">
        <v>42055.149976851855</v>
      </c>
      <c r="AP18" s="81"/>
      <c r="AQ18" s="81" t="b">
        <v>1</v>
      </c>
      <c r="AR18" s="81" t="b">
        <v>0</v>
      </c>
      <c r="AS18" s="81" t="b">
        <v>0</v>
      </c>
      <c r="AT18" s="81"/>
      <c r="AU18" s="81">
        <v>89</v>
      </c>
      <c r="AV18" s="84" t="str">
        <f>HYPERLINK("https://abs.twimg.com/images/themes/theme1/bg.png")</f>
        <v>https://abs.twimg.com/images/themes/theme1/bg.png</v>
      </c>
      <c r="AW18" s="81" t="b">
        <v>0</v>
      </c>
      <c r="AX18" s="81" t="s">
        <v>310</v>
      </c>
      <c r="AY18" s="84" t="str">
        <f>HYPERLINK("https://twitter.com/lisaowennz")</f>
        <v>https://twitter.com/lisaowennz</v>
      </c>
      <c r="AZ18" s="81" t="s">
        <v>65</v>
      </c>
      <c r="BA18" s="80"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593</v>
      </c>
      <c r="B19" s="66"/>
      <c r="C19" s="66"/>
      <c r="D19" s="67">
        <v>100</v>
      </c>
      <c r="E19" s="104"/>
      <c r="F19" s="90" t="str">
        <f>HYPERLINK("https://pbs.twimg.com/profile_images/1353480014436528130/ZliecdLl_normal.jpg")</f>
        <v>https://pbs.twimg.com/profile_images/1353480014436528130/ZliecdLl_normal.jpg</v>
      </c>
      <c r="G19" s="105"/>
      <c r="H19" s="70" t="s">
        <v>593</v>
      </c>
      <c r="I19" s="71"/>
      <c r="J19" s="106"/>
      <c r="K19" s="70" t="s">
        <v>787</v>
      </c>
      <c r="L19" s="107">
        <v>1</v>
      </c>
      <c r="M19" s="75">
        <v>4973.931640625</v>
      </c>
      <c r="N19" s="75">
        <v>822.3479614257812</v>
      </c>
      <c r="O19" s="76"/>
      <c r="P19" s="77"/>
      <c r="Q19" s="77"/>
      <c r="R19" s="108"/>
      <c r="S19" s="49">
        <v>2</v>
      </c>
      <c r="T19" s="49">
        <v>0</v>
      </c>
      <c r="U19" s="50">
        <v>0</v>
      </c>
      <c r="V19" s="50">
        <v>0.3</v>
      </c>
      <c r="W19" s="50">
        <v>0.179683</v>
      </c>
      <c r="X19" s="50">
        <v>0.034338</v>
      </c>
      <c r="Y19" s="50">
        <v>1</v>
      </c>
      <c r="Z19" s="50">
        <v>0</v>
      </c>
      <c r="AA19" s="72">
        <v>19</v>
      </c>
      <c r="AB19" s="72"/>
      <c r="AC19" s="73"/>
      <c r="AD19" s="81" t="s">
        <v>723</v>
      </c>
      <c r="AE19" s="86" t="s">
        <v>743</v>
      </c>
      <c r="AF19" s="81">
        <v>1016</v>
      </c>
      <c r="AG19" s="81">
        <v>35080</v>
      </c>
      <c r="AH19" s="81">
        <v>25284</v>
      </c>
      <c r="AI19" s="81">
        <v>7542</v>
      </c>
      <c r="AJ19" s="81"/>
      <c r="AK19" s="81" t="s">
        <v>764</v>
      </c>
      <c r="AL19" s="81" t="s">
        <v>274</v>
      </c>
      <c r="AM19" s="84" t="str">
        <f>HYPERLINK("https://t.co/bzu3Z8V40B")</f>
        <v>https://t.co/bzu3Z8V40B</v>
      </c>
      <c r="AN19" s="81"/>
      <c r="AO19" s="83">
        <v>41590.962175925924</v>
      </c>
      <c r="AP19" s="84" t="str">
        <f>HYPERLINK("https://pbs.twimg.com/profile_banners/2191205012/1611529757")</f>
        <v>https://pbs.twimg.com/profile_banners/2191205012/1611529757</v>
      </c>
      <c r="AQ19" s="81" t="b">
        <v>0</v>
      </c>
      <c r="AR19" s="81" t="b">
        <v>0</v>
      </c>
      <c r="AS19" s="81" t="b">
        <v>1</v>
      </c>
      <c r="AT19" s="81"/>
      <c r="AU19" s="81">
        <v>190</v>
      </c>
      <c r="AV19" s="84" t="str">
        <f>HYPERLINK("https://abs.twimg.com/images/themes/theme1/bg.png")</f>
        <v>https://abs.twimg.com/images/themes/theme1/bg.png</v>
      </c>
      <c r="AW19" s="81" t="b">
        <v>1</v>
      </c>
      <c r="AX19" s="81" t="s">
        <v>310</v>
      </c>
      <c r="AY19" s="84" t="str">
        <f>HYPERLINK("https://twitter.com/checkpointrnz")</f>
        <v>https://twitter.com/checkpointrnz</v>
      </c>
      <c r="AZ19" s="81" t="s">
        <v>65</v>
      </c>
      <c r="BA19" s="80"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594</v>
      </c>
      <c r="B20" s="66"/>
      <c r="C20" s="66"/>
      <c r="D20" s="67">
        <v>100</v>
      </c>
      <c r="E20" s="104"/>
      <c r="F20" s="90" t="str">
        <f>HYPERLINK("https://pbs.twimg.com/profile_images/1432472381470113802/xlg8_doq_normal.jpg")</f>
        <v>https://pbs.twimg.com/profile_images/1432472381470113802/xlg8_doq_normal.jpg</v>
      </c>
      <c r="G20" s="105"/>
      <c r="H20" s="70" t="s">
        <v>594</v>
      </c>
      <c r="I20" s="71"/>
      <c r="J20" s="106"/>
      <c r="K20" s="70" t="s">
        <v>788</v>
      </c>
      <c r="L20" s="107">
        <v>1</v>
      </c>
      <c r="M20" s="75">
        <v>1749.505126953125</v>
      </c>
      <c r="N20" s="75">
        <v>9157.962890625</v>
      </c>
      <c r="O20" s="76"/>
      <c r="P20" s="77"/>
      <c r="Q20" s="77"/>
      <c r="R20" s="108"/>
      <c r="S20" s="49">
        <v>1</v>
      </c>
      <c r="T20" s="49">
        <v>0</v>
      </c>
      <c r="U20" s="50">
        <v>0</v>
      </c>
      <c r="V20" s="50">
        <v>0.290323</v>
      </c>
      <c r="W20" s="50">
        <v>0.099581</v>
      </c>
      <c r="X20" s="50">
        <v>0.033464</v>
      </c>
      <c r="Y20" s="50">
        <v>0</v>
      </c>
      <c r="Z20" s="50">
        <v>0</v>
      </c>
      <c r="AA20" s="72">
        <v>20</v>
      </c>
      <c r="AB20" s="72"/>
      <c r="AC20" s="73"/>
      <c r="AD20" s="81" t="s">
        <v>724</v>
      </c>
      <c r="AE20" s="86" t="s">
        <v>707</v>
      </c>
      <c r="AF20" s="81">
        <v>1494</v>
      </c>
      <c r="AG20" s="81">
        <v>3407</v>
      </c>
      <c r="AH20" s="81">
        <v>27529</v>
      </c>
      <c r="AI20" s="81">
        <v>102444</v>
      </c>
      <c r="AJ20" s="81"/>
      <c r="AK20" s="81" t="s">
        <v>765</v>
      </c>
      <c r="AL20" s="81" t="s">
        <v>276</v>
      </c>
      <c r="AM20" s="84" t="str">
        <f>HYPERLINK("https://t.co/LfpW3cCigG")</f>
        <v>https://t.co/LfpW3cCigG</v>
      </c>
      <c r="AN20" s="81"/>
      <c r="AO20" s="83">
        <v>41406.06107638889</v>
      </c>
      <c r="AP20" s="84" t="str">
        <f>HYPERLINK("https://pbs.twimg.com/profile_banners/1421988157/1644174390")</f>
        <v>https://pbs.twimg.com/profile_banners/1421988157/1644174390</v>
      </c>
      <c r="AQ20" s="81" t="b">
        <v>0</v>
      </c>
      <c r="AR20" s="81" t="b">
        <v>0</v>
      </c>
      <c r="AS20" s="81" t="b">
        <v>0</v>
      </c>
      <c r="AT20" s="81"/>
      <c r="AU20" s="81">
        <v>32</v>
      </c>
      <c r="AV20" s="84" t="str">
        <f>HYPERLINK("https://abs.twimg.com/images/themes/theme1/bg.png")</f>
        <v>https://abs.twimg.com/images/themes/theme1/bg.png</v>
      </c>
      <c r="AW20" s="81" t="b">
        <v>0</v>
      </c>
      <c r="AX20" s="81" t="s">
        <v>310</v>
      </c>
      <c r="AY20" s="84" t="str">
        <f>HYPERLINK("https://twitter.com/mikeythenurse")</f>
        <v>https://twitter.com/mikeythenurse</v>
      </c>
      <c r="AZ20" s="81" t="s">
        <v>65</v>
      </c>
      <c r="BA20" s="80"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582</v>
      </c>
      <c r="B21" s="66"/>
      <c r="C21" s="66"/>
      <c r="D21" s="67">
        <v>555.2941124152248</v>
      </c>
      <c r="E21" s="104"/>
      <c r="F21" s="90" t="str">
        <f>HYPERLINK("https://pbs.twimg.com/profile_images/1505255366879293442/znVK6sDd_normal.jpg")</f>
        <v>https://pbs.twimg.com/profile_images/1505255366879293442/znVK6sDd_normal.jpg</v>
      </c>
      <c r="G21" s="105"/>
      <c r="H21" s="70" t="s">
        <v>582</v>
      </c>
      <c r="I21" s="71"/>
      <c r="J21" s="106"/>
      <c r="K21" s="70" t="s">
        <v>789</v>
      </c>
      <c r="L21" s="107">
        <v>1075.7849776919622</v>
      </c>
      <c r="M21" s="75">
        <v>1248.1121826171875</v>
      </c>
      <c r="N21" s="75">
        <v>2380.67431640625</v>
      </c>
      <c r="O21" s="76"/>
      <c r="P21" s="77"/>
      <c r="Q21" s="77"/>
      <c r="R21" s="108"/>
      <c r="S21" s="49">
        <v>2</v>
      </c>
      <c r="T21" s="49">
        <v>7</v>
      </c>
      <c r="U21" s="50">
        <v>14.333333</v>
      </c>
      <c r="V21" s="50">
        <v>0.375</v>
      </c>
      <c r="W21" s="50">
        <v>0.391441</v>
      </c>
      <c r="X21" s="50">
        <v>0.044546</v>
      </c>
      <c r="Y21" s="50">
        <v>0.23809523809523808</v>
      </c>
      <c r="Z21" s="50">
        <v>0.2857142857142857</v>
      </c>
      <c r="AA21" s="72">
        <v>21</v>
      </c>
      <c r="AB21" s="72"/>
      <c r="AC21" s="73"/>
      <c r="AD21" s="81" t="s">
        <v>725</v>
      </c>
      <c r="AE21" s="86" t="s">
        <v>744</v>
      </c>
      <c r="AF21" s="81">
        <v>104</v>
      </c>
      <c r="AG21" s="81">
        <v>201</v>
      </c>
      <c r="AH21" s="81">
        <v>196</v>
      </c>
      <c r="AI21" s="81">
        <v>144</v>
      </c>
      <c r="AJ21" s="81"/>
      <c r="AK21" s="81" t="s">
        <v>766</v>
      </c>
      <c r="AL21" s="81" t="s">
        <v>305</v>
      </c>
      <c r="AM21" s="84" t="str">
        <f>HYPERLINK("https://t.co/N4RqigrWJO")</f>
        <v>https://t.co/N4RqigrWJO</v>
      </c>
      <c r="AN21" s="81"/>
      <c r="AO21" s="83">
        <v>44639.40515046296</v>
      </c>
      <c r="AP21" s="84" t="str">
        <f>HYPERLINK("https://pbs.twimg.com/profile_banners/1505117539063508992/1647703098")</f>
        <v>https://pbs.twimg.com/profile_banners/1505117539063508992/1647703098</v>
      </c>
      <c r="AQ21" s="81" t="b">
        <v>1</v>
      </c>
      <c r="AR21" s="81" t="b">
        <v>0</v>
      </c>
      <c r="AS21" s="81" t="b">
        <v>0</v>
      </c>
      <c r="AT21" s="81"/>
      <c r="AU21" s="81">
        <v>1</v>
      </c>
      <c r="AV21" s="81"/>
      <c r="AW21" s="81" t="b">
        <v>0</v>
      </c>
      <c r="AX21" s="81" t="s">
        <v>310</v>
      </c>
      <c r="AY21" s="84" t="str">
        <f>HYPERLINK("https://twitter.com/endashnow")</f>
        <v>https://twitter.com/endashnow</v>
      </c>
      <c r="AZ21" s="81" t="s">
        <v>66</v>
      </c>
      <c r="BA21" s="80" t="str">
        <f>REPLACE(INDEX(GroupVertices[Group],MATCH(Vertices[[#This Row],[Vertex]],GroupVertices[Vertex],0)),1,1,"")</f>
        <v>1</v>
      </c>
      <c r="BB21" s="49">
        <v>2</v>
      </c>
      <c r="BC21" s="50">
        <v>2.5641025641025643</v>
      </c>
      <c r="BD21" s="49">
        <v>3</v>
      </c>
      <c r="BE21" s="50">
        <v>3.8461538461538463</v>
      </c>
      <c r="BF21" s="49">
        <v>0</v>
      </c>
      <c r="BG21" s="50">
        <v>0</v>
      </c>
      <c r="BH21" s="49">
        <v>73</v>
      </c>
      <c r="BI21" s="50">
        <v>93.58974358974359</v>
      </c>
      <c r="BJ21" s="49">
        <v>78</v>
      </c>
      <c r="BK21" s="49" t="s">
        <v>869</v>
      </c>
      <c r="BL21" s="49" t="s">
        <v>869</v>
      </c>
      <c r="BM21" s="49" t="s">
        <v>264</v>
      </c>
      <c r="BN21" s="49" t="s">
        <v>264</v>
      </c>
      <c r="BO21" s="49" t="s">
        <v>987</v>
      </c>
      <c r="BP21" s="49" t="s">
        <v>993</v>
      </c>
      <c r="BQ21" s="99" t="s">
        <v>1003</v>
      </c>
      <c r="BR21" s="99" t="s">
        <v>1011</v>
      </c>
      <c r="BS21" s="99" t="s">
        <v>1021</v>
      </c>
      <c r="BT21" s="99" t="s">
        <v>1024</v>
      </c>
      <c r="BU21" s="2"/>
      <c r="BV21" s="3"/>
      <c r="BW21" s="3"/>
      <c r="BX21" s="3"/>
      <c r="BY21" s="3"/>
    </row>
    <row r="22" spans="1:77" ht="15">
      <c r="A22" s="65" t="s">
        <v>595</v>
      </c>
      <c r="B22" s="66"/>
      <c r="C22" s="66"/>
      <c r="D22" s="67">
        <v>100</v>
      </c>
      <c r="E22" s="104"/>
      <c r="F22" s="90" t="str">
        <f>HYPERLINK("https://pbs.twimg.com/profile_images/1063290679437156353/y2nAulGM_normal.jpg")</f>
        <v>https://pbs.twimg.com/profile_images/1063290679437156353/y2nAulGM_normal.jpg</v>
      </c>
      <c r="G22" s="105"/>
      <c r="H22" s="70" t="s">
        <v>595</v>
      </c>
      <c r="I22" s="71"/>
      <c r="J22" s="106"/>
      <c r="K22" s="70" t="s">
        <v>790</v>
      </c>
      <c r="L22" s="107">
        <v>1</v>
      </c>
      <c r="M22" s="75">
        <v>3681.3017578125</v>
      </c>
      <c r="N22" s="75">
        <v>822.3479614257812</v>
      </c>
      <c r="O22" s="76"/>
      <c r="P22" s="77"/>
      <c r="Q22" s="77"/>
      <c r="R22" s="108"/>
      <c r="S22" s="49">
        <v>3</v>
      </c>
      <c r="T22" s="49">
        <v>0</v>
      </c>
      <c r="U22" s="50">
        <v>0</v>
      </c>
      <c r="V22" s="50">
        <v>0.310345</v>
      </c>
      <c r="W22" s="50">
        <v>0.253806</v>
      </c>
      <c r="X22" s="50">
        <v>0.035292</v>
      </c>
      <c r="Y22" s="50">
        <v>1</v>
      </c>
      <c r="Z22" s="50">
        <v>0</v>
      </c>
      <c r="AA22" s="72">
        <v>22</v>
      </c>
      <c r="AB22" s="72"/>
      <c r="AC22" s="73"/>
      <c r="AD22" s="81" t="s">
        <v>726</v>
      </c>
      <c r="AE22" s="86" t="s">
        <v>745</v>
      </c>
      <c r="AF22" s="81">
        <v>2355</v>
      </c>
      <c r="AG22" s="81">
        <v>13247</v>
      </c>
      <c r="AH22" s="81">
        <v>7183</v>
      </c>
      <c r="AI22" s="81">
        <v>3844</v>
      </c>
      <c r="AJ22" s="81"/>
      <c r="AK22" s="81" t="s">
        <v>767</v>
      </c>
      <c r="AL22" s="81" t="s">
        <v>276</v>
      </c>
      <c r="AM22" s="84" t="str">
        <f>HYPERLINK("https://t.co/toWt0lxyrD")</f>
        <v>https://t.co/toWt0lxyrD</v>
      </c>
      <c r="AN22" s="81"/>
      <c r="AO22" s="83">
        <v>39949.18792824074</v>
      </c>
      <c r="AP22" s="84" t="str">
        <f>HYPERLINK("https://pbs.twimg.com/profile_banners/40409545/1561667799")</f>
        <v>https://pbs.twimg.com/profile_banners/40409545/1561667799</v>
      </c>
      <c r="AQ22" s="81" t="b">
        <v>0</v>
      </c>
      <c r="AR22" s="81" t="b">
        <v>0</v>
      </c>
      <c r="AS22" s="81" t="b">
        <v>1</v>
      </c>
      <c r="AT22" s="81"/>
      <c r="AU22" s="81">
        <v>198</v>
      </c>
      <c r="AV22" s="84" t="str">
        <f>HYPERLINK("https://abs.twimg.com/images/themes/theme1/bg.png")</f>
        <v>https://abs.twimg.com/images/themes/theme1/bg.png</v>
      </c>
      <c r="AW22" s="81" t="b">
        <v>1</v>
      </c>
      <c r="AX22" s="81" t="s">
        <v>310</v>
      </c>
      <c r="AY22" s="84" t="str">
        <f>HYPERLINK("https://twitter.com/philtwyford")</f>
        <v>https://twitter.com/philtwyford</v>
      </c>
      <c r="AZ22" s="81" t="s">
        <v>65</v>
      </c>
      <c r="BA22" s="80"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257</v>
      </c>
      <c r="B23" s="66"/>
      <c r="C23" s="66"/>
      <c r="D23" s="67">
        <v>100</v>
      </c>
      <c r="E23" s="104"/>
      <c r="F23" s="90" t="str">
        <f>HYPERLINK("https://pbs.twimg.com/profile_images/820351342464016384/_otHuDCr_normal.jpg")</f>
        <v>https://pbs.twimg.com/profile_images/820351342464016384/_otHuDCr_normal.jpg</v>
      </c>
      <c r="G23" s="105"/>
      <c r="H23" s="70" t="s">
        <v>257</v>
      </c>
      <c r="I23" s="71"/>
      <c r="J23" s="106"/>
      <c r="K23" s="70" t="s">
        <v>311</v>
      </c>
      <c r="L23" s="107">
        <v>1</v>
      </c>
      <c r="M23" s="75">
        <v>1692.8800048828125</v>
      </c>
      <c r="N23" s="75">
        <v>822.3479614257812</v>
      </c>
      <c r="O23" s="76"/>
      <c r="P23" s="77"/>
      <c r="Q23" s="77"/>
      <c r="R23" s="108"/>
      <c r="S23" s="49">
        <v>3</v>
      </c>
      <c r="T23" s="49">
        <v>0</v>
      </c>
      <c r="U23" s="50">
        <v>0</v>
      </c>
      <c r="V23" s="50">
        <v>0.310345</v>
      </c>
      <c r="W23" s="50">
        <v>0.253806</v>
      </c>
      <c r="X23" s="50">
        <v>0.035292</v>
      </c>
      <c r="Y23" s="50">
        <v>1</v>
      </c>
      <c r="Z23" s="50">
        <v>0</v>
      </c>
      <c r="AA23" s="72">
        <v>23</v>
      </c>
      <c r="AB23" s="72"/>
      <c r="AC23" s="73"/>
      <c r="AD23" s="81" t="s">
        <v>300</v>
      </c>
      <c r="AE23" s="86" t="s">
        <v>302</v>
      </c>
      <c r="AF23" s="81">
        <v>4124</v>
      </c>
      <c r="AG23" s="81">
        <v>786144</v>
      </c>
      <c r="AH23" s="81">
        <v>6921</v>
      </c>
      <c r="AI23" s="81">
        <v>649</v>
      </c>
      <c r="AJ23" s="81"/>
      <c r="AK23" s="81" t="s">
        <v>303</v>
      </c>
      <c r="AL23" s="81" t="s">
        <v>276</v>
      </c>
      <c r="AM23" s="84" t="str">
        <f>HYPERLINK("https://t.co/XK0vnXQ2oU")</f>
        <v>https://t.co/XK0vnXQ2oU</v>
      </c>
      <c r="AN23" s="81"/>
      <c r="AO23" s="83">
        <v>39877.78971064815</v>
      </c>
      <c r="AP23" s="84" t="str">
        <f>HYPERLINK("https://pbs.twimg.com/profile_banners/22959763/1501620205")</f>
        <v>https://pbs.twimg.com/profile_banners/22959763/1501620205</v>
      </c>
      <c r="AQ23" s="81" t="b">
        <v>0</v>
      </c>
      <c r="AR23" s="81" t="b">
        <v>0</v>
      </c>
      <c r="AS23" s="81" t="b">
        <v>1</v>
      </c>
      <c r="AT23" s="81"/>
      <c r="AU23" s="81">
        <v>2171</v>
      </c>
      <c r="AV23" s="84" t="str">
        <f>HYPERLINK("https://abs.twimg.com/images/themes/theme14/bg.gif")</f>
        <v>https://abs.twimg.com/images/themes/theme14/bg.gif</v>
      </c>
      <c r="AW23" s="81" t="b">
        <v>1</v>
      </c>
      <c r="AX23" s="81" t="s">
        <v>310</v>
      </c>
      <c r="AY23" s="84" t="str">
        <f>HYPERLINK("https://twitter.com/jacindaardern")</f>
        <v>https://twitter.com/jacindaardern</v>
      </c>
      <c r="AZ23" s="81" t="s">
        <v>65</v>
      </c>
      <c r="BA23" s="80"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596</v>
      </c>
      <c r="B24" s="66"/>
      <c r="C24" s="66"/>
      <c r="D24" s="67">
        <v>100</v>
      </c>
      <c r="E24" s="104"/>
      <c r="F24" s="90" t="str">
        <f>HYPERLINK("https://pbs.twimg.com/profile_images/1276275678858473472/GPChc5ed_normal.jpg")</f>
        <v>https://pbs.twimg.com/profile_images/1276275678858473472/GPChc5ed_normal.jpg</v>
      </c>
      <c r="G24" s="105"/>
      <c r="H24" s="70" t="s">
        <v>596</v>
      </c>
      <c r="I24" s="71"/>
      <c r="J24" s="106"/>
      <c r="K24" s="70" t="s">
        <v>791</v>
      </c>
      <c r="L24" s="107">
        <v>1</v>
      </c>
      <c r="M24" s="75">
        <v>2684.85302734375</v>
      </c>
      <c r="N24" s="75">
        <v>3016.329345703125</v>
      </c>
      <c r="O24" s="76"/>
      <c r="P24" s="77"/>
      <c r="Q24" s="77"/>
      <c r="R24" s="108"/>
      <c r="S24" s="49">
        <v>2</v>
      </c>
      <c r="T24" s="49">
        <v>0</v>
      </c>
      <c r="U24" s="50">
        <v>0</v>
      </c>
      <c r="V24" s="50">
        <v>0.3</v>
      </c>
      <c r="W24" s="50">
        <v>0.173704</v>
      </c>
      <c r="X24" s="50">
        <v>0.034419</v>
      </c>
      <c r="Y24" s="50">
        <v>1</v>
      </c>
      <c r="Z24" s="50">
        <v>0</v>
      </c>
      <c r="AA24" s="72">
        <v>24</v>
      </c>
      <c r="AB24" s="72"/>
      <c r="AC24" s="73"/>
      <c r="AD24" s="81" t="s">
        <v>727</v>
      </c>
      <c r="AE24" s="86" t="s">
        <v>746</v>
      </c>
      <c r="AF24" s="81">
        <v>1600</v>
      </c>
      <c r="AG24" s="81">
        <v>18650</v>
      </c>
      <c r="AH24" s="81">
        <v>9587</v>
      </c>
      <c r="AI24" s="81">
        <v>1670</v>
      </c>
      <c r="AJ24" s="81"/>
      <c r="AK24" s="81" t="s">
        <v>768</v>
      </c>
      <c r="AL24" s="81" t="s">
        <v>274</v>
      </c>
      <c r="AM24" s="84" t="str">
        <f>HYPERLINK("https://t.co/69xEoEwwO3")</f>
        <v>https://t.co/69xEoEwwO3</v>
      </c>
      <c r="AN24" s="81"/>
      <c r="AO24" s="83">
        <v>40620.00063657408</v>
      </c>
      <c r="AP24" s="84" t="str">
        <f>HYPERLINK("https://pbs.twimg.com/profile_banners/268005830/1593122809")</f>
        <v>https://pbs.twimg.com/profile_banners/268005830/1593122809</v>
      </c>
      <c r="AQ24" s="81" t="b">
        <v>0</v>
      </c>
      <c r="AR24" s="81" t="b">
        <v>0</v>
      </c>
      <c r="AS24" s="81" t="b">
        <v>1</v>
      </c>
      <c r="AT24" s="81"/>
      <c r="AU24" s="81">
        <v>190</v>
      </c>
      <c r="AV24" s="84" t="str">
        <f>HYPERLINK("https://abs.twimg.com/images/themes/theme16/bg.gif")</f>
        <v>https://abs.twimg.com/images/themes/theme16/bg.gif</v>
      </c>
      <c r="AW24" s="81" t="b">
        <v>1</v>
      </c>
      <c r="AX24" s="81" t="s">
        <v>310</v>
      </c>
      <c r="AY24" s="84" t="str">
        <f>HYPERLINK("https://twitter.com/nzqanda")</f>
        <v>https://twitter.com/nzqanda</v>
      </c>
      <c r="AZ24" s="81" t="s">
        <v>65</v>
      </c>
      <c r="BA24" s="80"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597</v>
      </c>
      <c r="B25" s="66"/>
      <c r="C25" s="66"/>
      <c r="D25" s="67">
        <v>100</v>
      </c>
      <c r="E25" s="104"/>
      <c r="F25" s="90" t="str">
        <f>HYPERLINK("https://pbs.twimg.com/profile_images/1361521898681602054/V5NmH76H_normal.jpg")</f>
        <v>https://pbs.twimg.com/profile_images/1361521898681602054/V5NmH76H_normal.jpg</v>
      </c>
      <c r="G25" s="105"/>
      <c r="H25" s="70" t="s">
        <v>597</v>
      </c>
      <c r="I25" s="71"/>
      <c r="J25" s="106"/>
      <c r="K25" s="70" t="s">
        <v>792</v>
      </c>
      <c r="L25" s="107">
        <v>1</v>
      </c>
      <c r="M25" s="75">
        <v>306.0918273925781</v>
      </c>
      <c r="N25" s="75">
        <v>3583.697021484375</v>
      </c>
      <c r="O25" s="76"/>
      <c r="P25" s="77"/>
      <c r="Q25" s="77"/>
      <c r="R25" s="108"/>
      <c r="S25" s="49">
        <v>2</v>
      </c>
      <c r="T25" s="49">
        <v>0</v>
      </c>
      <c r="U25" s="50">
        <v>0</v>
      </c>
      <c r="V25" s="50">
        <v>0.3</v>
      </c>
      <c r="W25" s="50">
        <v>0.173704</v>
      </c>
      <c r="X25" s="50">
        <v>0.034419</v>
      </c>
      <c r="Y25" s="50">
        <v>1</v>
      </c>
      <c r="Z25" s="50">
        <v>0</v>
      </c>
      <c r="AA25" s="72">
        <v>25</v>
      </c>
      <c r="AB25" s="72"/>
      <c r="AC25" s="73"/>
      <c r="AD25" s="81" t="s">
        <v>728</v>
      </c>
      <c r="AE25" s="86" t="s">
        <v>747</v>
      </c>
      <c r="AF25" s="81">
        <v>1877</v>
      </c>
      <c r="AG25" s="81">
        <v>37369</v>
      </c>
      <c r="AH25" s="81">
        <v>6380</v>
      </c>
      <c r="AI25" s="81">
        <v>10336</v>
      </c>
      <c r="AJ25" s="81"/>
      <c r="AK25" s="81" t="s">
        <v>769</v>
      </c>
      <c r="AL25" s="81"/>
      <c r="AM25" s="84" t="str">
        <f>HYPERLINK("https://t.co/SfboT3kpxg")</f>
        <v>https://t.co/SfboT3kpxg</v>
      </c>
      <c r="AN25" s="81"/>
      <c r="AO25" s="83">
        <v>40586.86555555555</v>
      </c>
      <c r="AP25" s="81"/>
      <c r="AQ25" s="81" t="b">
        <v>1</v>
      </c>
      <c r="AR25" s="81" t="b">
        <v>0</v>
      </c>
      <c r="AS25" s="81" t="b">
        <v>0</v>
      </c>
      <c r="AT25" s="81"/>
      <c r="AU25" s="81">
        <v>189</v>
      </c>
      <c r="AV25" s="84" t="str">
        <f>HYPERLINK("https://abs.twimg.com/images/themes/theme1/bg.png")</f>
        <v>https://abs.twimg.com/images/themes/theme1/bg.png</v>
      </c>
      <c r="AW25" s="81" t="b">
        <v>1</v>
      </c>
      <c r="AX25" s="81" t="s">
        <v>310</v>
      </c>
      <c r="AY25" s="84" t="str">
        <f>HYPERLINK("https://twitter.com/jacktame")</f>
        <v>https://twitter.com/jacktame</v>
      </c>
      <c r="AZ25" s="81" t="s">
        <v>65</v>
      </c>
      <c r="BA25" s="80"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583</v>
      </c>
      <c r="B26" s="66"/>
      <c r="C26" s="66"/>
      <c r="D26" s="67">
        <v>100</v>
      </c>
      <c r="E26" s="104"/>
      <c r="F26" s="90" t="str">
        <f>HYPERLINK("https://pbs.twimg.com/profile_images/1482958738667585538/Dn5kJdlL_normal.jpg")</f>
        <v>https://pbs.twimg.com/profile_images/1482958738667585538/Dn5kJdlL_normal.jpg</v>
      </c>
      <c r="G26" s="105"/>
      <c r="H26" s="70" t="s">
        <v>583</v>
      </c>
      <c r="I26" s="71"/>
      <c r="J26" s="106"/>
      <c r="K26" s="70" t="s">
        <v>793</v>
      </c>
      <c r="L26" s="107">
        <v>1</v>
      </c>
      <c r="M26" s="75">
        <v>7643.79345703125</v>
      </c>
      <c r="N26" s="75">
        <v>8457.09765625</v>
      </c>
      <c r="O26" s="76"/>
      <c r="P26" s="77"/>
      <c r="Q26" s="77"/>
      <c r="R26" s="108"/>
      <c r="S26" s="49">
        <v>1</v>
      </c>
      <c r="T26" s="49">
        <v>1</v>
      </c>
      <c r="U26" s="50">
        <v>0</v>
      </c>
      <c r="V26" s="50">
        <v>0</v>
      </c>
      <c r="W26" s="50">
        <v>0</v>
      </c>
      <c r="X26" s="50">
        <v>0.038462</v>
      </c>
      <c r="Y26" s="50">
        <v>0</v>
      </c>
      <c r="Z26" s="50">
        <v>0</v>
      </c>
      <c r="AA26" s="72">
        <v>26</v>
      </c>
      <c r="AB26" s="72"/>
      <c r="AC26" s="73"/>
      <c r="AD26" s="81" t="s">
        <v>729</v>
      </c>
      <c r="AE26" s="86" t="s">
        <v>748</v>
      </c>
      <c r="AF26" s="81">
        <v>0</v>
      </c>
      <c r="AG26" s="81">
        <v>0</v>
      </c>
      <c r="AH26" s="81">
        <v>368</v>
      </c>
      <c r="AI26" s="81">
        <v>0</v>
      </c>
      <c r="AJ26" s="81"/>
      <c r="AK26" s="81"/>
      <c r="AL26" s="81"/>
      <c r="AM26" s="81"/>
      <c r="AN26" s="81"/>
      <c r="AO26" s="83">
        <v>44573.425729166665</v>
      </c>
      <c r="AP26" s="81"/>
      <c r="AQ26" s="81" t="b">
        <v>1</v>
      </c>
      <c r="AR26" s="81" t="b">
        <v>0</v>
      </c>
      <c r="AS26" s="81" t="b">
        <v>0</v>
      </c>
      <c r="AT26" s="81"/>
      <c r="AU26" s="81">
        <v>0</v>
      </c>
      <c r="AV26" s="81"/>
      <c r="AW26" s="81" t="b">
        <v>0</v>
      </c>
      <c r="AX26" s="81" t="s">
        <v>310</v>
      </c>
      <c r="AY26" s="84" t="str">
        <f>HYPERLINK("https://twitter.com/jackfra34133784")</f>
        <v>https://twitter.com/jackfra34133784</v>
      </c>
      <c r="AZ26" s="81" t="s">
        <v>66</v>
      </c>
      <c r="BA26" s="80" t="str">
        <f>REPLACE(INDEX(GroupVertices[Group],MATCH(Vertices[[#This Row],[Vertex]],GroupVertices[Vertex],0)),1,1,"")</f>
        <v>8</v>
      </c>
      <c r="BB26" s="49">
        <v>2</v>
      </c>
      <c r="BC26" s="50">
        <v>2.9411764705882355</v>
      </c>
      <c r="BD26" s="49">
        <v>0</v>
      </c>
      <c r="BE26" s="50">
        <v>0</v>
      </c>
      <c r="BF26" s="49">
        <v>0</v>
      </c>
      <c r="BG26" s="50">
        <v>0</v>
      </c>
      <c r="BH26" s="49">
        <v>66</v>
      </c>
      <c r="BI26" s="50">
        <v>97.05882352941177</v>
      </c>
      <c r="BJ26" s="49">
        <v>68</v>
      </c>
      <c r="BK26" s="49" t="s">
        <v>871</v>
      </c>
      <c r="BL26" s="49" t="s">
        <v>871</v>
      </c>
      <c r="BM26" s="49" t="s">
        <v>622</v>
      </c>
      <c r="BN26" s="49" t="s">
        <v>622</v>
      </c>
      <c r="BO26" s="49" t="s">
        <v>636</v>
      </c>
      <c r="BP26" s="49" t="s">
        <v>636</v>
      </c>
      <c r="BQ26" s="99" t="s">
        <v>1004</v>
      </c>
      <c r="BR26" s="99" t="s">
        <v>1004</v>
      </c>
      <c r="BS26" s="99" t="s">
        <v>967</v>
      </c>
      <c r="BT26" s="99" t="s">
        <v>967</v>
      </c>
      <c r="BU26" s="2"/>
      <c r="BV26" s="3"/>
      <c r="BW26" s="3"/>
      <c r="BX26" s="3"/>
      <c r="BY26" s="3"/>
    </row>
    <row r="27" spans="1:77" ht="15">
      <c r="A27" s="65" t="s">
        <v>584</v>
      </c>
      <c r="B27" s="66"/>
      <c r="C27" s="66"/>
      <c r="D27" s="67">
        <v>100</v>
      </c>
      <c r="E27" s="104"/>
      <c r="F27" s="90" t="str">
        <f>HYPERLINK("https://pbs.twimg.com/profile_images/1275711829466066944/9_DECb_s_normal.jpg")</f>
        <v>https://pbs.twimg.com/profile_images/1275711829466066944/9_DECb_s_normal.jpg</v>
      </c>
      <c r="G27" s="105"/>
      <c r="H27" s="70" t="s">
        <v>584</v>
      </c>
      <c r="I27" s="71"/>
      <c r="J27" s="106"/>
      <c r="K27" s="70" t="s">
        <v>794</v>
      </c>
      <c r="L27" s="107">
        <v>1</v>
      </c>
      <c r="M27" s="75">
        <v>9157.2470703125</v>
      </c>
      <c r="N27" s="75">
        <v>8457.09765625</v>
      </c>
      <c r="O27" s="76"/>
      <c r="P27" s="77"/>
      <c r="Q27" s="77"/>
      <c r="R27" s="108"/>
      <c r="S27" s="49">
        <v>2</v>
      </c>
      <c r="T27" s="49">
        <v>1</v>
      </c>
      <c r="U27" s="50">
        <v>0</v>
      </c>
      <c r="V27" s="50">
        <v>0.04</v>
      </c>
      <c r="W27" s="50">
        <v>0</v>
      </c>
      <c r="X27" s="50">
        <v>0.041145</v>
      </c>
      <c r="Y27" s="50">
        <v>0</v>
      </c>
      <c r="Z27" s="50">
        <v>0</v>
      </c>
      <c r="AA27" s="72">
        <v>27</v>
      </c>
      <c r="AB27" s="72"/>
      <c r="AC27" s="73"/>
      <c r="AD27" s="81" t="s">
        <v>730</v>
      </c>
      <c r="AE27" s="86" t="s">
        <v>749</v>
      </c>
      <c r="AF27" s="81">
        <v>212</v>
      </c>
      <c r="AG27" s="81">
        <v>2115</v>
      </c>
      <c r="AH27" s="81">
        <v>6974</v>
      </c>
      <c r="AI27" s="81">
        <v>30</v>
      </c>
      <c r="AJ27" s="81"/>
      <c r="AK27" s="81" t="s">
        <v>770</v>
      </c>
      <c r="AL27" s="81" t="s">
        <v>274</v>
      </c>
      <c r="AM27" s="84" t="str">
        <f>HYPERLINK("https://t.co/tSitmo3Dsl")</f>
        <v>https://t.co/tSitmo3Dsl</v>
      </c>
      <c r="AN27" s="81"/>
      <c r="AO27" s="83">
        <v>41986.21917824074</v>
      </c>
      <c r="AP27" s="84" t="str">
        <f>HYPERLINK("https://pbs.twimg.com/profile_banners/2928092958/1592988699")</f>
        <v>https://pbs.twimg.com/profile_banners/2928092958/1592988699</v>
      </c>
      <c r="AQ27" s="81" t="b">
        <v>1</v>
      </c>
      <c r="AR27" s="81" t="b">
        <v>0</v>
      </c>
      <c r="AS27" s="81" t="b">
        <v>1</v>
      </c>
      <c r="AT27" s="81"/>
      <c r="AU27" s="81">
        <v>9</v>
      </c>
      <c r="AV27" s="84" t="str">
        <f>HYPERLINK("https://abs.twimg.com/images/themes/theme1/bg.png")</f>
        <v>https://abs.twimg.com/images/themes/theme1/bg.png</v>
      </c>
      <c r="AW27" s="81" t="b">
        <v>0</v>
      </c>
      <c r="AX27" s="81" t="s">
        <v>310</v>
      </c>
      <c r="AY27" s="84" t="str">
        <f>HYPERLINK("https://twitter.com/nz_visa_adviser")</f>
        <v>https://twitter.com/nz_visa_adviser</v>
      </c>
      <c r="AZ27" s="81" t="s">
        <v>66</v>
      </c>
      <c r="BA27" s="80" t="str">
        <f>REPLACE(INDEX(GroupVertices[Group],MATCH(Vertices[[#This Row],[Vertex]],GroupVertices[Vertex],0)),1,1,"")</f>
        <v>3</v>
      </c>
      <c r="BB27" s="49">
        <v>1</v>
      </c>
      <c r="BC27" s="50">
        <v>2.127659574468085</v>
      </c>
      <c r="BD27" s="49">
        <v>0</v>
      </c>
      <c r="BE27" s="50">
        <v>0</v>
      </c>
      <c r="BF27" s="49">
        <v>0</v>
      </c>
      <c r="BG27" s="50">
        <v>0</v>
      </c>
      <c r="BH27" s="49">
        <v>46</v>
      </c>
      <c r="BI27" s="50">
        <v>97.87234042553192</v>
      </c>
      <c r="BJ27" s="49">
        <v>47</v>
      </c>
      <c r="BK27" s="49" t="s">
        <v>981</v>
      </c>
      <c r="BL27" s="49" t="s">
        <v>981</v>
      </c>
      <c r="BM27" s="49" t="s">
        <v>622</v>
      </c>
      <c r="BN27" s="49" t="s">
        <v>622</v>
      </c>
      <c r="BO27" s="49" t="s">
        <v>988</v>
      </c>
      <c r="BP27" s="49" t="s">
        <v>994</v>
      </c>
      <c r="BQ27" s="99" t="s">
        <v>1005</v>
      </c>
      <c r="BR27" s="99" t="s">
        <v>1012</v>
      </c>
      <c r="BS27" s="99" t="s">
        <v>1022</v>
      </c>
      <c r="BT27" s="99" t="s">
        <v>1022</v>
      </c>
      <c r="BU27" s="2"/>
      <c r="BV27" s="3"/>
      <c r="BW27" s="3"/>
      <c r="BX27" s="3"/>
      <c r="BY27" s="3"/>
    </row>
    <row r="28" spans="1:77" ht="15">
      <c r="A28" s="65" t="s">
        <v>585</v>
      </c>
      <c r="B28" s="66"/>
      <c r="C28" s="66"/>
      <c r="D28" s="67">
        <v>100</v>
      </c>
      <c r="E28" s="104"/>
      <c r="F28" s="90" t="str">
        <f>HYPERLINK("https://pbs.twimg.com/profile_images/1516257664267091970/12Y_XhBE_normal.jpg")</f>
        <v>https://pbs.twimg.com/profile_images/1516257664267091970/12Y_XhBE_normal.jpg</v>
      </c>
      <c r="G28" s="105"/>
      <c r="H28" s="70" t="s">
        <v>585</v>
      </c>
      <c r="I28" s="71"/>
      <c r="J28" s="106"/>
      <c r="K28" s="70" t="s">
        <v>795</v>
      </c>
      <c r="L28" s="107">
        <v>1</v>
      </c>
      <c r="M28" s="75">
        <v>9157.2470703125</v>
      </c>
      <c r="N28" s="75">
        <v>6307.7802734375</v>
      </c>
      <c r="O28" s="76"/>
      <c r="P28" s="77"/>
      <c r="Q28" s="77"/>
      <c r="R28" s="108"/>
      <c r="S28" s="49">
        <v>0</v>
      </c>
      <c r="T28" s="49">
        <v>1</v>
      </c>
      <c r="U28" s="50">
        <v>0</v>
      </c>
      <c r="V28" s="50">
        <v>0.04</v>
      </c>
      <c r="W28" s="50">
        <v>0</v>
      </c>
      <c r="X28" s="50">
        <v>0.035778</v>
      </c>
      <c r="Y28" s="50">
        <v>0</v>
      </c>
      <c r="Z28" s="50">
        <v>0</v>
      </c>
      <c r="AA28" s="72">
        <v>28</v>
      </c>
      <c r="AB28" s="72"/>
      <c r="AC28" s="73"/>
      <c r="AD28" s="81" t="s">
        <v>731</v>
      </c>
      <c r="AE28" s="86" t="s">
        <v>750</v>
      </c>
      <c r="AF28" s="81">
        <v>28</v>
      </c>
      <c r="AG28" s="81">
        <v>5</v>
      </c>
      <c r="AH28" s="81">
        <v>469</v>
      </c>
      <c r="AI28" s="81">
        <v>3723</v>
      </c>
      <c r="AJ28" s="81"/>
      <c r="AK28" s="81" t="s">
        <v>771</v>
      </c>
      <c r="AL28" s="81"/>
      <c r="AM28" s="81"/>
      <c r="AN28" s="81"/>
      <c r="AO28" s="83">
        <v>44246.29009259259</v>
      </c>
      <c r="AP28" s="81"/>
      <c r="AQ28" s="81" t="b">
        <v>1</v>
      </c>
      <c r="AR28" s="81" t="b">
        <v>0</v>
      </c>
      <c r="AS28" s="81" t="b">
        <v>0</v>
      </c>
      <c r="AT28" s="81"/>
      <c r="AU28" s="81">
        <v>0</v>
      </c>
      <c r="AV28" s="81"/>
      <c r="AW28" s="81" t="b">
        <v>0</v>
      </c>
      <c r="AX28" s="81" t="s">
        <v>310</v>
      </c>
      <c r="AY28" s="84" t="str">
        <f>HYPERLINK("https://twitter.com/dhruvpa39231878")</f>
        <v>https://twitter.com/dhruvpa39231878</v>
      </c>
      <c r="AZ28" s="81" t="s">
        <v>66</v>
      </c>
      <c r="BA28" s="80" t="str">
        <f>REPLACE(INDEX(GroupVertices[Group],MATCH(Vertices[[#This Row],[Vertex]],GroupVertices[Vertex],0)),1,1,"")</f>
        <v>3</v>
      </c>
      <c r="BB28" s="49">
        <v>0</v>
      </c>
      <c r="BC28" s="50">
        <v>0</v>
      </c>
      <c r="BD28" s="49">
        <v>0</v>
      </c>
      <c r="BE28" s="50">
        <v>0</v>
      </c>
      <c r="BF28" s="49">
        <v>0</v>
      </c>
      <c r="BG28" s="50">
        <v>0</v>
      </c>
      <c r="BH28" s="49">
        <v>21</v>
      </c>
      <c r="BI28" s="50">
        <v>100</v>
      </c>
      <c r="BJ28" s="49">
        <v>21</v>
      </c>
      <c r="BK28" s="49" t="s">
        <v>870</v>
      </c>
      <c r="BL28" s="49" t="s">
        <v>870</v>
      </c>
      <c r="BM28" s="49" t="s">
        <v>622</v>
      </c>
      <c r="BN28" s="49" t="s">
        <v>622</v>
      </c>
      <c r="BO28" s="49" t="s">
        <v>639</v>
      </c>
      <c r="BP28" s="49" t="s">
        <v>639</v>
      </c>
      <c r="BQ28" s="99" t="s">
        <v>1006</v>
      </c>
      <c r="BR28" s="99" t="s">
        <v>1006</v>
      </c>
      <c r="BS28" s="99" t="s">
        <v>965</v>
      </c>
      <c r="BT28" s="99" t="s">
        <v>965</v>
      </c>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408</v>
      </c>
      <c r="Z2" s="54" t="s">
        <v>409</v>
      </c>
      <c r="AA2" s="54" t="s">
        <v>410</v>
      </c>
      <c r="AB2" s="54" t="s">
        <v>411</v>
      </c>
      <c r="AC2" s="54" t="s">
        <v>412</v>
      </c>
      <c r="AD2" s="54" t="s">
        <v>413</v>
      </c>
      <c r="AE2" s="54" t="s">
        <v>414</v>
      </c>
      <c r="AF2" s="54" t="s">
        <v>415</v>
      </c>
      <c r="AG2" s="54" t="s">
        <v>418</v>
      </c>
      <c r="AH2" s="13" t="s">
        <v>472</v>
      </c>
      <c r="AI2" s="13" t="s">
        <v>482</v>
      </c>
      <c r="AJ2" s="13" t="s">
        <v>494</v>
      </c>
      <c r="AK2" s="13" t="s">
        <v>504</v>
      </c>
      <c r="AL2" s="13" t="s">
        <v>514</v>
      </c>
      <c r="AM2" s="13" t="s">
        <v>533</v>
      </c>
      <c r="AN2" s="13" t="s">
        <v>534</v>
      </c>
      <c r="AO2" s="13" t="s">
        <v>544</v>
      </c>
    </row>
    <row r="3" spans="1:41" ht="15">
      <c r="A3" s="65" t="s">
        <v>314</v>
      </c>
      <c r="B3" s="66" t="s">
        <v>322</v>
      </c>
      <c r="C3" s="66" t="s">
        <v>56</v>
      </c>
      <c r="D3" s="14"/>
      <c r="E3" s="14"/>
      <c r="F3" s="15" t="s">
        <v>1026</v>
      </c>
      <c r="G3" s="64"/>
      <c r="H3" s="64"/>
      <c r="I3" s="79">
        <v>3</v>
      </c>
      <c r="J3" s="51"/>
      <c r="K3" s="49">
        <v>8</v>
      </c>
      <c r="L3" s="49">
        <v>9</v>
      </c>
      <c r="M3" s="49">
        <v>4</v>
      </c>
      <c r="N3" s="49">
        <v>13</v>
      </c>
      <c r="O3" s="49">
        <v>0</v>
      </c>
      <c r="P3" s="50">
        <v>0.1</v>
      </c>
      <c r="Q3" s="50">
        <v>0.18181818181818182</v>
      </c>
      <c r="R3" s="49">
        <v>1</v>
      </c>
      <c r="S3" s="49">
        <v>0</v>
      </c>
      <c r="T3" s="49">
        <v>8</v>
      </c>
      <c r="U3" s="49">
        <v>13</v>
      </c>
      <c r="V3" s="49">
        <v>2</v>
      </c>
      <c r="W3" s="50">
        <v>1.4375</v>
      </c>
      <c r="X3" s="50">
        <v>0.19642857142857142</v>
      </c>
      <c r="Y3" s="49">
        <v>8</v>
      </c>
      <c r="Z3" s="50">
        <v>2.7681660899653977</v>
      </c>
      <c r="AA3" s="49">
        <v>10</v>
      </c>
      <c r="AB3" s="50">
        <v>3.4602076124567476</v>
      </c>
      <c r="AC3" s="49">
        <v>0</v>
      </c>
      <c r="AD3" s="50">
        <v>0</v>
      </c>
      <c r="AE3" s="49">
        <v>271</v>
      </c>
      <c r="AF3" s="50">
        <v>93.77162629757785</v>
      </c>
      <c r="AG3" s="49">
        <v>289</v>
      </c>
      <c r="AH3" s="80" t="s">
        <v>883</v>
      </c>
      <c r="AI3" s="80" t="s">
        <v>887</v>
      </c>
      <c r="AJ3" s="80" t="s">
        <v>906</v>
      </c>
      <c r="AK3" s="89" t="s">
        <v>911</v>
      </c>
      <c r="AL3" s="89" t="s">
        <v>963</v>
      </c>
      <c r="AM3" s="89" t="s">
        <v>594</v>
      </c>
      <c r="AN3" s="89" t="s">
        <v>968</v>
      </c>
      <c r="AO3" s="89" t="s">
        <v>970</v>
      </c>
    </row>
    <row r="4" spans="1:41" ht="15">
      <c r="A4" s="109" t="s">
        <v>315</v>
      </c>
      <c r="B4" s="66" t="s">
        <v>323</v>
      </c>
      <c r="C4" s="66" t="s">
        <v>56</v>
      </c>
      <c r="D4" s="110"/>
      <c r="E4" s="14"/>
      <c r="F4" s="15" t="s">
        <v>1027</v>
      </c>
      <c r="G4" s="64"/>
      <c r="H4" s="64"/>
      <c r="I4" s="79">
        <v>4</v>
      </c>
      <c r="J4" s="111"/>
      <c r="K4" s="49">
        <v>6</v>
      </c>
      <c r="L4" s="49">
        <v>4</v>
      </c>
      <c r="M4" s="49">
        <v>2</v>
      </c>
      <c r="N4" s="49">
        <v>6</v>
      </c>
      <c r="O4" s="49">
        <v>0</v>
      </c>
      <c r="P4" s="50">
        <v>0</v>
      </c>
      <c r="Q4" s="50">
        <v>0</v>
      </c>
      <c r="R4" s="49">
        <v>1</v>
      </c>
      <c r="S4" s="49">
        <v>0</v>
      </c>
      <c r="T4" s="49">
        <v>6</v>
      </c>
      <c r="U4" s="49">
        <v>6</v>
      </c>
      <c r="V4" s="49">
        <v>3</v>
      </c>
      <c r="W4" s="50">
        <v>1.555556</v>
      </c>
      <c r="X4" s="50">
        <v>0.16666666666666666</v>
      </c>
      <c r="Y4" s="49">
        <v>4</v>
      </c>
      <c r="Z4" s="50">
        <v>3.2</v>
      </c>
      <c r="AA4" s="49">
        <v>3</v>
      </c>
      <c r="AB4" s="50">
        <v>2.4</v>
      </c>
      <c r="AC4" s="49">
        <v>0</v>
      </c>
      <c r="AD4" s="50">
        <v>0</v>
      </c>
      <c r="AE4" s="49">
        <v>118</v>
      </c>
      <c r="AF4" s="50">
        <v>94.4</v>
      </c>
      <c r="AG4" s="49">
        <v>125</v>
      </c>
      <c r="AH4" s="80" t="s">
        <v>884</v>
      </c>
      <c r="AI4" s="80" t="s">
        <v>483</v>
      </c>
      <c r="AJ4" s="80" t="s">
        <v>907</v>
      </c>
      <c r="AK4" s="89" t="s">
        <v>912</v>
      </c>
      <c r="AL4" s="89" t="s">
        <v>964</v>
      </c>
      <c r="AM4" s="80" t="s">
        <v>588</v>
      </c>
      <c r="AN4" s="80" t="s">
        <v>969</v>
      </c>
      <c r="AO4" s="80" t="s">
        <v>971</v>
      </c>
    </row>
    <row r="5" spans="1:41" ht="15">
      <c r="A5" s="109" t="s">
        <v>316</v>
      </c>
      <c r="B5" s="66" t="s">
        <v>324</v>
      </c>
      <c r="C5" s="66" t="s">
        <v>56</v>
      </c>
      <c r="D5" s="110"/>
      <c r="E5" s="14"/>
      <c r="F5" s="15" t="s">
        <v>1028</v>
      </c>
      <c r="G5" s="64"/>
      <c r="H5" s="64"/>
      <c r="I5" s="79">
        <v>5</v>
      </c>
      <c r="J5" s="111"/>
      <c r="K5" s="49">
        <v>2</v>
      </c>
      <c r="L5" s="49">
        <v>1</v>
      </c>
      <c r="M5" s="49">
        <v>2</v>
      </c>
      <c r="N5" s="49">
        <v>3</v>
      </c>
      <c r="O5" s="49">
        <v>2</v>
      </c>
      <c r="P5" s="50">
        <v>0</v>
      </c>
      <c r="Q5" s="50">
        <v>0</v>
      </c>
      <c r="R5" s="49">
        <v>1</v>
      </c>
      <c r="S5" s="49">
        <v>0</v>
      </c>
      <c r="T5" s="49">
        <v>2</v>
      </c>
      <c r="U5" s="49">
        <v>3</v>
      </c>
      <c r="V5" s="49">
        <v>1</v>
      </c>
      <c r="W5" s="50">
        <v>0.5</v>
      </c>
      <c r="X5" s="50">
        <v>0.5</v>
      </c>
      <c r="Y5" s="49">
        <v>1</v>
      </c>
      <c r="Z5" s="50">
        <v>1.4705882352941178</v>
      </c>
      <c r="AA5" s="49">
        <v>0</v>
      </c>
      <c r="AB5" s="50">
        <v>0</v>
      </c>
      <c r="AC5" s="49">
        <v>0</v>
      </c>
      <c r="AD5" s="50">
        <v>0</v>
      </c>
      <c r="AE5" s="49">
        <v>67</v>
      </c>
      <c r="AF5" s="50">
        <v>98.52941176470588</v>
      </c>
      <c r="AG5" s="49">
        <v>68</v>
      </c>
      <c r="AH5" s="80" t="s">
        <v>885</v>
      </c>
      <c r="AI5" s="80" t="s">
        <v>622</v>
      </c>
      <c r="AJ5" s="80" t="s">
        <v>908</v>
      </c>
      <c r="AK5" s="89" t="s">
        <v>913</v>
      </c>
      <c r="AL5" s="89" t="s">
        <v>965</v>
      </c>
      <c r="AM5" s="80"/>
      <c r="AN5" s="80"/>
      <c r="AO5" s="80" t="s">
        <v>972</v>
      </c>
    </row>
    <row r="6" spans="1:41" ht="15">
      <c r="A6" s="109" t="s">
        <v>317</v>
      </c>
      <c r="B6" s="66" t="s">
        <v>325</v>
      </c>
      <c r="C6" s="66" t="s">
        <v>56</v>
      </c>
      <c r="D6" s="110"/>
      <c r="E6" s="14"/>
      <c r="F6" s="15" t="s">
        <v>1029</v>
      </c>
      <c r="G6" s="64"/>
      <c r="H6" s="64"/>
      <c r="I6" s="79">
        <v>6</v>
      </c>
      <c r="J6" s="111"/>
      <c r="K6" s="49">
        <v>2</v>
      </c>
      <c r="L6" s="49">
        <v>1</v>
      </c>
      <c r="M6" s="49">
        <v>0</v>
      </c>
      <c r="N6" s="49">
        <v>1</v>
      </c>
      <c r="O6" s="49">
        <v>0</v>
      </c>
      <c r="P6" s="50">
        <v>0</v>
      </c>
      <c r="Q6" s="50">
        <v>0</v>
      </c>
      <c r="R6" s="49">
        <v>1</v>
      </c>
      <c r="S6" s="49">
        <v>0</v>
      </c>
      <c r="T6" s="49">
        <v>2</v>
      </c>
      <c r="U6" s="49">
        <v>1</v>
      </c>
      <c r="V6" s="49">
        <v>1</v>
      </c>
      <c r="W6" s="50">
        <v>0.5</v>
      </c>
      <c r="X6" s="50">
        <v>0.5</v>
      </c>
      <c r="Y6" s="49">
        <v>0</v>
      </c>
      <c r="Z6" s="50">
        <v>0</v>
      </c>
      <c r="AA6" s="49">
        <v>0</v>
      </c>
      <c r="AB6" s="50">
        <v>0</v>
      </c>
      <c r="AC6" s="49">
        <v>0</v>
      </c>
      <c r="AD6" s="50">
        <v>0</v>
      </c>
      <c r="AE6" s="49">
        <v>27</v>
      </c>
      <c r="AF6" s="50">
        <v>100</v>
      </c>
      <c r="AG6" s="49">
        <v>27</v>
      </c>
      <c r="AH6" s="80" t="s">
        <v>879</v>
      </c>
      <c r="AI6" s="80" t="s">
        <v>264</v>
      </c>
      <c r="AJ6" s="80" t="s">
        <v>623</v>
      </c>
      <c r="AK6" s="89" t="s">
        <v>362</v>
      </c>
      <c r="AL6" s="89" t="s">
        <v>266</v>
      </c>
      <c r="AM6" s="80" t="s">
        <v>587</v>
      </c>
      <c r="AN6" s="80"/>
      <c r="AO6" s="80" t="s">
        <v>973</v>
      </c>
    </row>
    <row r="7" spans="1:41" ht="15">
      <c r="A7" s="109" t="s">
        <v>318</v>
      </c>
      <c r="B7" s="66" t="s">
        <v>326</v>
      </c>
      <c r="C7" s="66" t="s">
        <v>56</v>
      </c>
      <c r="D7" s="110"/>
      <c r="E7" s="14"/>
      <c r="F7" s="15" t="s">
        <v>1030</v>
      </c>
      <c r="G7" s="64"/>
      <c r="H7" s="64"/>
      <c r="I7" s="79">
        <v>7</v>
      </c>
      <c r="J7" s="111"/>
      <c r="K7" s="49">
        <v>2</v>
      </c>
      <c r="L7" s="49">
        <v>0</v>
      </c>
      <c r="M7" s="49">
        <v>9</v>
      </c>
      <c r="N7" s="49">
        <v>9</v>
      </c>
      <c r="O7" s="49">
        <v>7</v>
      </c>
      <c r="P7" s="50">
        <v>0</v>
      </c>
      <c r="Q7" s="50">
        <v>0</v>
      </c>
      <c r="R7" s="49">
        <v>1</v>
      </c>
      <c r="S7" s="49">
        <v>0</v>
      </c>
      <c r="T7" s="49">
        <v>2</v>
      </c>
      <c r="U7" s="49">
        <v>9</v>
      </c>
      <c r="V7" s="49">
        <v>1</v>
      </c>
      <c r="W7" s="50">
        <v>0.5</v>
      </c>
      <c r="X7" s="50">
        <v>0.5</v>
      </c>
      <c r="Y7" s="49">
        <v>16</v>
      </c>
      <c r="Z7" s="50">
        <v>6.324110671936759</v>
      </c>
      <c r="AA7" s="49">
        <v>6</v>
      </c>
      <c r="AB7" s="50">
        <v>2.3715415019762847</v>
      </c>
      <c r="AC7" s="49">
        <v>0</v>
      </c>
      <c r="AD7" s="50">
        <v>0</v>
      </c>
      <c r="AE7" s="49">
        <v>231</v>
      </c>
      <c r="AF7" s="50">
        <v>91.30434782608695</v>
      </c>
      <c r="AG7" s="49">
        <v>253</v>
      </c>
      <c r="AH7" s="80" t="s">
        <v>886</v>
      </c>
      <c r="AI7" s="80" t="s">
        <v>264</v>
      </c>
      <c r="AJ7" s="80" t="s">
        <v>909</v>
      </c>
      <c r="AK7" s="89" t="s">
        <v>914</v>
      </c>
      <c r="AL7" s="89" t="s">
        <v>966</v>
      </c>
      <c r="AM7" s="80"/>
      <c r="AN7" s="80"/>
      <c r="AO7" s="80" t="s">
        <v>974</v>
      </c>
    </row>
    <row r="8" spans="1:41" ht="15">
      <c r="A8" s="109" t="s">
        <v>319</v>
      </c>
      <c r="B8" s="66" t="s">
        <v>327</v>
      </c>
      <c r="C8" s="66" t="s">
        <v>56</v>
      </c>
      <c r="D8" s="110"/>
      <c r="E8" s="14"/>
      <c r="F8" s="15" t="s">
        <v>319</v>
      </c>
      <c r="G8" s="64"/>
      <c r="H8" s="64"/>
      <c r="I8" s="79">
        <v>8</v>
      </c>
      <c r="J8" s="111"/>
      <c r="K8" s="49">
        <v>2</v>
      </c>
      <c r="L8" s="49">
        <v>1</v>
      </c>
      <c r="M8" s="49">
        <v>0</v>
      </c>
      <c r="N8" s="49">
        <v>1</v>
      </c>
      <c r="O8" s="49">
        <v>0</v>
      </c>
      <c r="P8" s="50">
        <v>0</v>
      </c>
      <c r="Q8" s="50">
        <v>0</v>
      </c>
      <c r="R8" s="49">
        <v>1</v>
      </c>
      <c r="S8" s="49">
        <v>0</v>
      </c>
      <c r="T8" s="49">
        <v>2</v>
      </c>
      <c r="U8" s="49">
        <v>1</v>
      </c>
      <c r="V8" s="49">
        <v>1</v>
      </c>
      <c r="W8" s="50">
        <v>0.5</v>
      </c>
      <c r="X8" s="50">
        <v>0.5</v>
      </c>
      <c r="Y8" s="49">
        <v>1</v>
      </c>
      <c r="Z8" s="50">
        <v>3.3333333333333335</v>
      </c>
      <c r="AA8" s="49">
        <v>2</v>
      </c>
      <c r="AB8" s="50">
        <v>6.666666666666667</v>
      </c>
      <c r="AC8" s="49">
        <v>0</v>
      </c>
      <c r="AD8" s="50">
        <v>0</v>
      </c>
      <c r="AE8" s="49">
        <v>27</v>
      </c>
      <c r="AF8" s="50">
        <v>90</v>
      </c>
      <c r="AG8" s="49">
        <v>30</v>
      </c>
      <c r="AH8" s="80"/>
      <c r="AI8" s="80"/>
      <c r="AJ8" s="80"/>
      <c r="AK8" s="89" t="s">
        <v>266</v>
      </c>
      <c r="AL8" s="89" t="s">
        <v>266</v>
      </c>
      <c r="AM8" s="80" t="s">
        <v>589</v>
      </c>
      <c r="AN8" s="80"/>
      <c r="AO8" s="80" t="s">
        <v>975</v>
      </c>
    </row>
    <row r="9" spans="1:41" ht="15">
      <c r="A9" s="109" t="s">
        <v>320</v>
      </c>
      <c r="B9" s="66" t="s">
        <v>328</v>
      </c>
      <c r="C9" s="66" t="s">
        <v>56</v>
      </c>
      <c r="D9" s="110"/>
      <c r="E9" s="14"/>
      <c r="F9" s="15" t="s">
        <v>320</v>
      </c>
      <c r="G9" s="64"/>
      <c r="H9" s="64"/>
      <c r="I9" s="79">
        <v>9</v>
      </c>
      <c r="J9" s="111"/>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15</v>
      </c>
      <c r="AF9" s="50">
        <v>100</v>
      </c>
      <c r="AG9" s="49">
        <v>15</v>
      </c>
      <c r="AH9" s="80" t="s">
        <v>882</v>
      </c>
      <c r="AI9" s="80" t="s">
        <v>264</v>
      </c>
      <c r="AJ9" s="80"/>
      <c r="AK9" s="89" t="s">
        <v>348</v>
      </c>
      <c r="AL9" s="89" t="s">
        <v>266</v>
      </c>
      <c r="AM9" s="80" t="s">
        <v>256</v>
      </c>
      <c r="AN9" s="80"/>
      <c r="AO9" s="80" t="s">
        <v>976</v>
      </c>
    </row>
    <row r="10" spans="1:41" ht="14.25" customHeight="1">
      <c r="A10" s="109" t="s">
        <v>321</v>
      </c>
      <c r="B10" s="66" t="s">
        <v>329</v>
      </c>
      <c r="C10" s="66" t="s">
        <v>56</v>
      </c>
      <c r="D10" s="112"/>
      <c r="E10" s="112"/>
      <c r="F10" s="113" t="s">
        <v>1031</v>
      </c>
      <c r="G10" s="114"/>
      <c r="H10" s="114"/>
      <c r="I10" s="115">
        <v>10</v>
      </c>
      <c r="J10" s="115"/>
      <c r="K10" s="49">
        <v>2</v>
      </c>
      <c r="L10" s="49">
        <v>1</v>
      </c>
      <c r="M10" s="49">
        <v>2</v>
      </c>
      <c r="N10" s="49">
        <v>3</v>
      </c>
      <c r="O10" s="49">
        <v>3</v>
      </c>
      <c r="P10" s="50" t="s">
        <v>333</v>
      </c>
      <c r="Q10" s="50" t="s">
        <v>333</v>
      </c>
      <c r="R10" s="49">
        <v>2</v>
      </c>
      <c r="S10" s="49">
        <v>2</v>
      </c>
      <c r="T10" s="49">
        <v>1</v>
      </c>
      <c r="U10" s="49">
        <v>2</v>
      </c>
      <c r="V10" s="49">
        <v>0</v>
      </c>
      <c r="W10" s="50">
        <v>0</v>
      </c>
      <c r="X10" s="50">
        <v>0</v>
      </c>
      <c r="Y10" s="49">
        <v>3</v>
      </c>
      <c r="Z10" s="50">
        <v>2.857142857142857</v>
      </c>
      <c r="AA10" s="49">
        <v>1</v>
      </c>
      <c r="AB10" s="50">
        <v>0.9523809523809523</v>
      </c>
      <c r="AC10" s="49">
        <v>0</v>
      </c>
      <c r="AD10" s="50">
        <v>0</v>
      </c>
      <c r="AE10" s="49">
        <v>101</v>
      </c>
      <c r="AF10" s="50">
        <v>96.19047619047619</v>
      </c>
      <c r="AG10" s="49">
        <v>105</v>
      </c>
      <c r="AH10" s="80" t="s">
        <v>871</v>
      </c>
      <c r="AI10" s="80" t="s">
        <v>622</v>
      </c>
      <c r="AJ10" s="80" t="s">
        <v>910</v>
      </c>
      <c r="AK10" s="89" t="s">
        <v>915</v>
      </c>
      <c r="AL10" s="89" t="s">
        <v>967</v>
      </c>
      <c r="AM10" s="80"/>
      <c r="AN10" s="80"/>
      <c r="AO10" s="80" t="s">
        <v>977</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314</v>
      </c>
      <c r="B2" s="89" t="s">
        <v>582</v>
      </c>
      <c r="C2" s="80">
        <f>VLOOKUP(GroupVertices[[#This Row],[Vertex]],Vertices[],MATCH("ID",Vertices[[#Headers],[Vertex]:[Top Word Pairs in Tweet by Salience]],0),FALSE)</f>
        <v>21</v>
      </c>
    </row>
    <row r="3" spans="1:3" ht="15">
      <c r="A3" s="81" t="s">
        <v>314</v>
      </c>
      <c r="B3" s="89" t="s">
        <v>597</v>
      </c>
      <c r="C3" s="80">
        <f>VLOOKUP(GroupVertices[[#This Row],[Vertex]],Vertices[],MATCH("ID",Vertices[[#Headers],[Vertex]:[Top Word Pairs in Tweet by Salience]],0),FALSE)</f>
        <v>25</v>
      </c>
    </row>
    <row r="4" spans="1:3" ht="15">
      <c r="A4" s="81" t="s">
        <v>314</v>
      </c>
      <c r="B4" s="89" t="s">
        <v>581</v>
      </c>
      <c r="C4" s="80">
        <f>VLOOKUP(GroupVertices[[#This Row],[Vertex]],Vertices[],MATCH("ID",Vertices[[#Headers],[Vertex]:[Top Word Pairs in Tweet by Salience]],0),FALSE)</f>
        <v>15</v>
      </c>
    </row>
    <row r="5" spans="1:3" ht="15">
      <c r="A5" s="81" t="s">
        <v>314</v>
      </c>
      <c r="B5" s="89" t="s">
        <v>596</v>
      </c>
      <c r="C5" s="80">
        <f>VLOOKUP(GroupVertices[[#This Row],[Vertex]],Vertices[],MATCH("ID",Vertices[[#Headers],[Vertex]:[Top Word Pairs in Tweet by Salience]],0),FALSE)</f>
        <v>24</v>
      </c>
    </row>
    <row r="6" spans="1:3" ht="15">
      <c r="A6" s="81" t="s">
        <v>314</v>
      </c>
      <c r="B6" s="89" t="s">
        <v>257</v>
      </c>
      <c r="C6" s="80">
        <f>VLOOKUP(GroupVertices[[#This Row],[Vertex]],Vertices[],MATCH("ID",Vertices[[#Headers],[Vertex]:[Top Word Pairs in Tweet by Salience]],0),FALSE)</f>
        <v>23</v>
      </c>
    </row>
    <row r="7" spans="1:3" ht="15">
      <c r="A7" s="81" t="s">
        <v>314</v>
      </c>
      <c r="B7" s="89" t="s">
        <v>594</v>
      </c>
      <c r="C7" s="80">
        <f>VLOOKUP(GroupVertices[[#This Row],[Vertex]],Vertices[],MATCH("ID",Vertices[[#Headers],[Vertex]:[Top Word Pairs in Tweet by Salience]],0),FALSE)</f>
        <v>20</v>
      </c>
    </row>
    <row r="8" spans="1:3" ht="15">
      <c r="A8" s="81" t="s">
        <v>314</v>
      </c>
      <c r="B8" s="89" t="s">
        <v>591</v>
      </c>
      <c r="C8" s="80">
        <f>VLOOKUP(GroupVertices[[#This Row],[Vertex]],Vertices[],MATCH("ID",Vertices[[#Headers],[Vertex]:[Top Word Pairs in Tweet by Salience]],0),FALSE)</f>
        <v>17</v>
      </c>
    </row>
    <row r="9" spans="1:3" ht="15">
      <c r="A9" s="81" t="s">
        <v>314</v>
      </c>
      <c r="B9" s="89" t="s">
        <v>590</v>
      </c>
      <c r="C9" s="80">
        <f>VLOOKUP(GroupVertices[[#This Row],[Vertex]],Vertices[],MATCH("ID",Vertices[[#Headers],[Vertex]:[Top Word Pairs in Tweet by Salience]],0),FALSE)</f>
        <v>16</v>
      </c>
    </row>
    <row r="10" spans="1:3" ht="15">
      <c r="A10" s="81" t="s">
        <v>315</v>
      </c>
      <c r="B10" s="89" t="s">
        <v>580</v>
      </c>
      <c r="C10" s="80">
        <f>VLOOKUP(GroupVertices[[#This Row],[Vertex]],Vertices[],MATCH("ID",Vertices[[#Headers],[Vertex]:[Top Word Pairs in Tweet by Salience]],0),FALSE)</f>
        <v>14</v>
      </c>
    </row>
    <row r="11" spans="1:3" ht="15">
      <c r="A11" s="81" t="s">
        <v>315</v>
      </c>
      <c r="B11" s="89" t="s">
        <v>595</v>
      </c>
      <c r="C11" s="80">
        <f>VLOOKUP(GroupVertices[[#This Row],[Vertex]],Vertices[],MATCH("ID",Vertices[[#Headers],[Vertex]:[Top Word Pairs in Tweet by Salience]],0),FALSE)</f>
        <v>22</v>
      </c>
    </row>
    <row r="12" spans="1:3" ht="15">
      <c r="A12" s="81" t="s">
        <v>315</v>
      </c>
      <c r="B12" s="89" t="s">
        <v>593</v>
      </c>
      <c r="C12" s="80">
        <f>VLOOKUP(GroupVertices[[#This Row],[Vertex]],Vertices[],MATCH("ID",Vertices[[#Headers],[Vertex]:[Top Word Pairs in Tweet by Salience]],0),FALSE)</f>
        <v>19</v>
      </c>
    </row>
    <row r="13" spans="1:3" ht="15">
      <c r="A13" s="81" t="s">
        <v>315</v>
      </c>
      <c r="B13" s="89" t="s">
        <v>592</v>
      </c>
      <c r="C13" s="80">
        <f>VLOOKUP(GroupVertices[[#This Row],[Vertex]],Vertices[],MATCH("ID",Vertices[[#Headers],[Vertex]:[Top Word Pairs in Tweet by Salience]],0),FALSE)</f>
        <v>18</v>
      </c>
    </row>
    <row r="14" spans="1:3" ht="15">
      <c r="A14" s="81" t="s">
        <v>315</v>
      </c>
      <c r="B14" s="89" t="s">
        <v>588</v>
      </c>
      <c r="C14" s="80">
        <f>VLOOKUP(GroupVertices[[#This Row],[Vertex]],Vertices[],MATCH("ID",Vertices[[#Headers],[Vertex]:[Top Word Pairs in Tweet by Salience]],0),FALSE)</f>
        <v>8</v>
      </c>
    </row>
    <row r="15" spans="1:3" ht="15">
      <c r="A15" s="81" t="s">
        <v>315</v>
      </c>
      <c r="B15" s="89" t="s">
        <v>575</v>
      </c>
      <c r="C15" s="80">
        <f>VLOOKUP(GroupVertices[[#This Row],[Vertex]],Vertices[],MATCH("ID",Vertices[[#Headers],[Vertex]:[Top Word Pairs in Tweet by Salience]],0),FALSE)</f>
        <v>7</v>
      </c>
    </row>
    <row r="16" spans="1:3" ht="15">
      <c r="A16" s="81" t="s">
        <v>316</v>
      </c>
      <c r="B16" s="89" t="s">
        <v>585</v>
      </c>
      <c r="C16" s="80">
        <f>VLOOKUP(GroupVertices[[#This Row],[Vertex]],Vertices[],MATCH("ID",Vertices[[#Headers],[Vertex]:[Top Word Pairs in Tweet by Salience]],0),FALSE)</f>
        <v>28</v>
      </c>
    </row>
    <row r="17" spans="1:3" ht="15">
      <c r="A17" s="81" t="s">
        <v>316</v>
      </c>
      <c r="B17" s="89" t="s">
        <v>584</v>
      </c>
      <c r="C17" s="80">
        <f>VLOOKUP(GroupVertices[[#This Row],[Vertex]],Vertices[],MATCH("ID",Vertices[[#Headers],[Vertex]:[Top Word Pairs in Tweet by Salience]],0),FALSE)</f>
        <v>27</v>
      </c>
    </row>
    <row r="18" spans="1:3" ht="15">
      <c r="A18" s="81" t="s">
        <v>317</v>
      </c>
      <c r="B18" s="89" t="s">
        <v>587</v>
      </c>
      <c r="C18" s="80">
        <f>VLOOKUP(GroupVertices[[#This Row],[Vertex]],Vertices[],MATCH("ID",Vertices[[#Headers],[Vertex]:[Top Word Pairs in Tweet by Salience]],0),FALSE)</f>
        <v>6</v>
      </c>
    </row>
    <row r="19" spans="1:3" ht="15">
      <c r="A19" s="81" t="s">
        <v>317</v>
      </c>
      <c r="B19" s="89" t="s">
        <v>574</v>
      </c>
      <c r="C19" s="80">
        <f>VLOOKUP(GroupVertices[[#This Row],[Vertex]],Vertices[],MATCH("ID",Vertices[[#Headers],[Vertex]:[Top Word Pairs in Tweet by Salience]],0),FALSE)</f>
        <v>5</v>
      </c>
    </row>
    <row r="20" spans="1:3" ht="15">
      <c r="A20" s="81" t="s">
        <v>318</v>
      </c>
      <c r="B20" s="89" t="s">
        <v>579</v>
      </c>
      <c r="C20" s="80">
        <f>VLOOKUP(GroupVertices[[#This Row],[Vertex]],Vertices[],MATCH("ID",Vertices[[#Headers],[Vertex]:[Top Word Pairs in Tweet by Salience]],0),FALSE)</f>
        <v>13</v>
      </c>
    </row>
    <row r="21" spans="1:3" ht="15">
      <c r="A21" s="81" t="s">
        <v>318</v>
      </c>
      <c r="B21" s="89" t="s">
        <v>578</v>
      </c>
      <c r="C21" s="80">
        <f>VLOOKUP(GroupVertices[[#This Row],[Vertex]],Vertices[],MATCH("ID",Vertices[[#Headers],[Vertex]:[Top Word Pairs in Tweet by Salience]],0),FALSE)</f>
        <v>12</v>
      </c>
    </row>
    <row r="22" spans="1:3" ht="15">
      <c r="A22" s="81" t="s">
        <v>319</v>
      </c>
      <c r="B22" s="89" t="s">
        <v>576</v>
      </c>
      <c r="C22" s="80">
        <f>VLOOKUP(GroupVertices[[#This Row],[Vertex]],Vertices[],MATCH("ID",Vertices[[#Headers],[Vertex]:[Top Word Pairs in Tweet by Salience]],0),FALSE)</f>
        <v>9</v>
      </c>
    </row>
    <row r="23" spans="1:3" ht="15">
      <c r="A23" s="81" t="s">
        <v>319</v>
      </c>
      <c r="B23" s="89" t="s">
        <v>589</v>
      </c>
      <c r="C23" s="80">
        <f>VLOOKUP(GroupVertices[[#This Row],[Vertex]],Vertices[],MATCH("ID",Vertices[[#Headers],[Vertex]:[Top Word Pairs in Tweet by Salience]],0),FALSE)</f>
        <v>10</v>
      </c>
    </row>
    <row r="24" spans="1:3" ht="15">
      <c r="A24" s="81" t="s">
        <v>320</v>
      </c>
      <c r="B24" s="89" t="s">
        <v>586</v>
      </c>
      <c r="C24" s="80">
        <f>VLOOKUP(GroupVertices[[#This Row],[Vertex]],Vertices[],MATCH("ID",Vertices[[#Headers],[Vertex]:[Top Word Pairs in Tweet by Salience]],0),FALSE)</f>
        <v>3</v>
      </c>
    </row>
    <row r="25" spans="1:3" ht="15">
      <c r="A25" s="81" t="s">
        <v>320</v>
      </c>
      <c r="B25" s="89" t="s">
        <v>256</v>
      </c>
      <c r="C25" s="80">
        <f>VLOOKUP(GroupVertices[[#This Row],[Vertex]],Vertices[],MATCH("ID",Vertices[[#Headers],[Vertex]:[Top Word Pairs in Tweet by Salience]],0),FALSE)</f>
        <v>4</v>
      </c>
    </row>
    <row r="26" spans="1:3" ht="15">
      <c r="A26" s="81" t="s">
        <v>321</v>
      </c>
      <c r="B26" s="89" t="s">
        <v>577</v>
      </c>
      <c r="C26" s="80">
        <f>VLOOKUP(GroupVertices[[#This Row],[Vertex]],Vertices[],MATCH("ID",Vertices[[#Headers],[Vertex]:[Top Word Pairs in Tweet by Salience]],0),FALSE)</f>
        <v>11</v>
      </c>
    </row>
    <row r="27" spans="1:3" ht="15">
      <c r="A27" s="81" t="s">
        <v>321</v>
      </c>
      <c r="B27" s="89" t="s">
        <v>583</v>
      </c>
      <c r="C27" s="80">
        <f>VLOOKUP(GroupVertices[[#This Row],[Vertex]],Vertices[],MATCH("ID",Vertices[[#Headers],[Vertex]:[Top Word Pairs in Tweet by Salience]],0),FALSE)</f>
        <v>26</v>
      </c>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422</v>
      </c>
      <c r="B2" s="35" t="s">
        <v>312</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21</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10</v>
      </c>
      <c r="P2" s="38">
        <f>MIN(Vertices[PageRank])</f>
        <v>0.033464</v>
      </c>
      <c r="Q2" s="39">
        <f>COUNTIF(Vertices[PageRank],"&gt;= "&amp;P2)-COUNTIF(Vertices[PageRank],"&gt;="&amp;P3)</f>
        <v>8</v>
      </c>
      <c r="R2" s="38">
        <f>MIN(Vertices[Clustering Coefficient])</f>
        <v>0</v>
      </c>
      <c r="S2" s="44">
        <f>COUNTIF(Vertices[Clustering Coefficient],"&gt;= "&amp;R2)-COUNTIF(Vertices[Clustering Coefficient],"&gt;="&amp;R3)</f>
        <v>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8"/>
      <c r="B3" s="98"/>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3.921568617647059</v>
      </c>
      <c r="K3" s="41">
        <f>COUNTIF(Vertices[Betweenness Centrality],"&gt;= "&amp;J3)-COUNTIF(Vertices[Betweenness Centrality],"&gt;="&amp;J4)</f>
        <v>0</v>
      </c>
      <c r="L3" s="40">
        <f aca="true" t="shared" si="5" ref="L3:L35">L2+($L$36-$L$2)/BinDivisor</f>
        <v>0.015570941176470588</v>
      </c>
      <c r="M3" s="41">
        <f>COUNTIF(Vertices[Closeness Centrality],"&gt;= "&amp;L3)-COUNTIF(Vertices[Closeness Centrality],"&gt;="&amp;L4)</f>
        <v>0</v>
      </c>
      <c r="N3" s="40">
        <f aca="true" t="shared" si="6" ref="N3:N35">N2+($N$36-$N$2)/BinDivisor</f>
        <v>0.01546755882352941</v>
      </c>
      <c r="O3" s="41">
        <f>COUNTIF(Vertices[Eigenvector Centrality],"&gt;= "&amp;N3)-COUNTIF(Vertices[Eigenvector Centrality],"&gt;="&amp;N4)</f>
        <v>0</v>
      </c>
      <c r="P3" s="40">
        <f aca="true" t="shared" si="7" ref="P3:P35">P2+($P$36-$P$2)/BinDivisor</f>
        <v>0.034447882352941175</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26</v>
      </c>
      <c r="D4" s="33">
        <f t="shared" si="1"/>
        <v>0</v>
      </c>
      <c r="E4" s="3">
        <f>COUNTIF(Vertices[Degree],"&gt;= "&amp;D4)-COUNTIF(Vertices[Degree],"&gt;="&amp;D5)</f>
        <v>0</v>
      </c>
      <c r="F4" s="38">
        <f t="shared" si="2"/>
        <v>0.23529411764705882</v>
      </c>
      <c r="G4" s="39">
        <f>COUNTIF(Vertices[In-Degree],"&gt;= "&amp;F4)-COUNTIF(Vertices[In-Degree],"&gt;="&amp;F5)</f>
        <v>0</v>
      </c>
      <c r="H4" s="38">
        <f t="shared" si="3"/>
        <v>0.7647058823529411</v>
      </c>
      <c r="I4" s="39">
        <f>COUNTIF(Vertices[Out-Degree],"&gt;= "&amp;H4)-COUNTIF(Vertices[Out-Degree],"&gt;="&amp;H5)</f>
        <v>10</v>
      </c>
      <c r="J4" s="38">
        <f t="shared" si="4"/>
        <v>7.843137235294118</v>
      </c>
      <c r="K4" s="39">
        <f>COUNTIF(Vertices[Betweenness Centrality],"&gt;= "&amp;J4)-COUNTIF(Vertices[Betweenness Centrality],"&gt;="&amp;J5)</f>
        <v>0</v>
      </c>
      <c r="L4" s="38">
        <f t="shared" si="5"/>
        <v>0.031141882352941175</v>
      </c>
      <c r="M4" s="39">
        <f>COUNTIF(Vertices[Closeness Centrality],"&gt;= "&amp;L4)-COUNTIF(Vertices[Closeness Centrality],"&gt;="&amp;L5)</f>
        <v>8</v>
      </c>
      <c r="N4" s="38">
        <f t="shared" si="6"/>
        <v>0.03093511764705882</v>
      </c>
      <c r="O4" s="39">
        <f>COUNTIF(Vertices[Eigenvector Centrality],"&gt;= "&amp;N4)-COUNTIF(Vertices[Eigenvector Centrality],"&gt;="&amp;N5)</f>
        <v>1</v>
      </c>
      <c r="P4" s="38">
        <f t="shared" si="7"/>
        <v>0.03543176470588235</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8"/>
      <c r="B5" s="98"/>
      <c r="D5" s="33">
        <f t="shared" si="1"/>
        <v>0</v>
      </c>
      <c r="E5" s="3">
        <f>COUNTIF(Vertices[Degree],"&gt;= "&amp;D5)-COUNTIF(Vertices[Degree],"&gt;="&amp;D6)</f>
        <v>0</v>
      </c>
      <c r="F5" s="40">
        <f t="shared" si="2"/>
        <v>0.3529411764705882</v>
      </c>
      <c r="G5" s="41">
        <f>COUNTIF(Vertices[In-Degree],"&gt;= "&amp;F5)-COUNTIF(Vertices[In-Degree],"&gt;="&amp;F6)</f>
        <v>0</v>
      </c>
      <c r="H5" s="40">
        <f t="shared" si="3"/>
        <v>1.1470588235294117</v>
      </c>
      <c r="I5" s="41">
        <f>COUNTIF(Vertices[Out-Degree],"&gt;= "&amp;H5)-COUNTIF(Vertices[Out-Degree],"&gt;="&amp;H6)</f>
        <v>0</v>
      </c>
      <c r="J5" s="40">
        <f t="shared" si="4"/>
        <v>11.764705852941177</v>
      </c>
      <c r="K5" s="41">
        <f>COUNTIF(Vertices[Betweenness Centrality],"&gt;= "&amp;J5)-COUNTIF(Vertices[Betweenness Centrality],"&gt;="&amp;J6)</f>
        <v>1</v>
      </c>
      <c r="L5" s="40">
        <f t="shared" si="5"/>
        <v>0.046712823529411765</v>
      </c>
      <c r="M5" s="41">
        <f>COUNTIF(Vertices[Closeness Centrality],"&gt;= "&amp;L5)-COUNTIF(Vertices[Closeness Centrality],"&gt;="&amp;L6)</f>
        <v>0</v>
      </c>
      <c r="N5" s="40">
        <f t="shared" si="6"/>
        <v>0.04640267647058823</v>
      </c>
      <c r="O5" s="41">
        <f>COUNTIF(Vertices[Eigenvector Centrality],"&gt;= "&amp;N5)-COUNTIF(Vertices[Eigenvector Centrality],"&gt;="&amp;N6)</f>
        <v>1</v>
      </c>
      <c r="P5" s="40">
        <f t="shared" si="7"/>
        <v>0.036415647058823525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25</v>
      </c>
      <c r="D6" s="33">
        <f t="shared" si="1"/>
        <v>0</v>
      </c>
      <c r="E6" s="3">
        <f>COUNTIF(Vertices[Degree],"&gt;= "&amp;D6)-COUNTIF(Vertices[Degree],"&gt;="&amp;D7)</f>
        <v>0</v>
      </c>
      <c r="F6" s="38">
        <f t="shared" si="2"/>
        <v>0.47058823529411764</v>
      </c>
      <c r="G6" s="39">
        <f>COUNTIF(Vertices[In-Degree],"&gt;= "&amp;F6)-COUNTIF(Vertices[In-Degree],"&gt;="&amp;F7)</f>
        <v>0</v>
      </c>
      <c r="H6" s="38">
        <f t="shared" si="3"/>
        <v>1.5294117647058822</v>
      </c>
      <c r="I6" s="39">
        <f>COUNTIF(Vertices[Out-Degree],"&gt;= "&amp;H6)-COUNTIF(Vertices[Out-Degree],"&gt;="&amp;H7)</f>
        <v>0</v>
      </c>
      <c r="J6" s="38">
        <f t="shared" si="4"/>
        <v>15.686274470588236</v>
      </c>
      <c r="K6" s="39">
        <f>COUNTIF(Vertices[Betweenness Centrality],"&gt;= "&amp;J6)-COUNTIF(Vertices[Betweenness Centrality],"&gt;="&amp;J7)</f>
        <v>0</v>
      </c>
      <c r="L6" s="38">
        <f t="shared" si="5"/>
        <v>0.06228376470588235</v>
      </c>
      <c r="M6" s="39">
        <f>COUNTIF(Vertices[Closeness Centrality],"&gt;= "&amp;L6)-COUNTIF(Vertices[Closeness Centrality],"&gt;="&amp;L7)</f>
        <v>0</v>
      </c>
      <c r="N6" s="38">
        <f t="shared" si="6"/>
        <v>0.06187023529411764</v>
      </c>
      <c r="O6" s="39">
        <f>COUNTIF(Vertices[Eigenvector Centrality],"&gt;= "&amp;N6)-COUNTIF(Vertices[Eigenvector Centrality],"&gt;="&amp;N7)</f>
        <v>0</v>
      </c>
      <c r="P6" s="38">
        <f t="shared" si="7"/>
        <v>0.0373995294117647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33</v>
      </c>
      <c r="D7" s="33">
        <f t="shared" si="1"/>
        <v>0</v>
      </c>
      <c r="E7" s="3">
        <f>COUNTIF(Vertices[Degree],"&gt;= "&amp;D7)-COUNTIF(Vertices[Degree],"&gt;="&amp;D8)</f>
        <v>0</v>
      </c>
      <c r="F7" s="40">
        <f t="shared" si="2"/>
        <v>0.5882352941176471</v>
      </c>
      <c r="G7" s="41">
        <f>COUNTIF(Vertices[In-Degree],"&gt;= "&amp;F7)-COUNTIF(Vertices[In-Degree],"&gt;="&amp;F8)</f>
        <v>0</v>
      </c>
      <c r="H7" s="40">
        <f t="shared" si="3"/>
        <v>1.9117647058823528</v>
      </c>
      <c r="I7" s="41">
        <f>COUNTIF(Vertices[Out-Degree],"&gt;= "&amp;H7)-COUNTIF(Vertices[Out-Degree],"&gt;="&amp;H8)</f>
        <v>0</v>
      </c>
      <c r="J7" s="40">
        <f t="shared" si="4"/>
        <v>19.607843088235295</v>
      </c>
      <c r="K7" s="41">
        <f>COUNTIF(Vertices[Betweenness Centrality],"&gt;= "&amp;J7)-COUNTIF(Vertices[Betweenness Centrality],"&gt;="&amp;J8)</f>
        <v>0</v>
      </c>
      <c r="L7" s="40">
        <f t="shared" si="5"/>
        <v>0.07785470588235294</v>
      </c>
      <c r="M7" s="41">
        <f>COUNTIF(Vertices[Closeness Centrality],"&gt;= "&amp;L7)-COUNTIF(Vertices[Closeness Centrality],"&gt;="&amp;L8)</f>
        <v>0</v>
      </c>
      <c r="N7" s="40">
        <f t="shared" si="6"/>
        <v>0.07733779411764705</v>
      </c>
      <c r="O7" s="41">
        <f>COUNTIF(Vertices[Eigenvector Centrality],"&gt;= "&amp;N7)-COUNTIF(Vertices[Eigenvector Centrality],"&gt;="&amp;N8)</f>
        <v>0</v>
      </c>
      <c r="P7" s="40">
        <f t="shared" si="7"/>
        <v>0.038383411764705874</v>
      </c>
      <c r="Q7" s="41">
        <f>COUNTIF(Vertices[PageRank],"&gt;= "&amp;P7)-COUNTIF(Vertices[PageRank],"&gt;="&amp;P8)</f>
        <v>6</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58</v>
      </c>
      <c r="D8" s="33">
        <f t="shared" si="1"/>
        <v>0</v>
      </c>
      <c r="E8" s="3">
        <f>COUNTIF(Vertices[Degree],"&gt;= "&amp;D8)-COUNTIF(Vertices[Degree],"&gt;="&amp;D9)</f>
        <v>0</v>
      </c>
      <c r="F8" s="38">
        <f t="shared" si="2"/>
        <v>0.7058823529411765</v>
      </c>
      <c r="G8" s="39">
        <f>COUNTIF(Vertices[In-Degree],"&gt;= "&amp;F8)-COUNTIF(Vertices[In-Degree],"&gt;="&amp;F9)</f>
        <v>0</v>
      </c>
      <c r="H8" s="38">
        <f t="shared" si="3"/>
        <v>2.2941176470588234</v>
      </c>
      <c r="I8" s="39">
        <f>COUNTIF(Vertices[Out-Degree],"&gt;= "&amp;H8)-COUNTIF(Vertices[Out-Degree],"&gt;="&amp;H9)</f>
        <v>0</v>
      </c>
      <c r="J8" s="38">
        <f t="shared" si="4"/>
        <v>23.529411705882353</v>
      </c>
      <c r="K8" s="39">
        <f>COUNTIF(Vertices[Betweenness Centrality],"&gt;= "&amp;J8)-COUNTIF(Vertices[Betweenness Centrality],"&gt;="&amp;J9)</f>
        <v>0</v>
      </c>
      <c r="L8" s="38">
        <f t="shared" si="5"/>
        <v>0.09342564705882353</v>
      </c>
      <c r="M8" s="39">
        <f>COUNTIF(Vertices[Closeness Centrality],"&gt;= "&amp;L8)-COUNTIF(Vertices[Closeness Centrality],"&gt;="&amp;L9)</f>
        <v>0</v>
      </c>
      <c r="N8" s="38">
        <f t="shared" si="6"/>
        <v>0.09280535294117645</v>
      </c>
      <c r="O8" s="39">
        <f>COUNTIF(Vertices[Eigenvector Centrality],"&gt;= "&amp;N8)-COUNTIF(Vertices[Eigenvector Centrality],"&gt;="&amp;N9)</f>
        <v>3</v>
      </c>
      <c r="P8" s="38">
        <f t="shared" si="7"/>
        <v>0.03936729411764705</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98"/>
      <c r="B9" s="98"/>
      <c r="D9" s="33">
        <f t="shared" si="1"/>
        <v>0</v>
      </c>
      <c r="E9" s="3">
        <f>COUNTIF(Vertices[Degree],"&gt;= "&amp;D9)-COUNTIF(Vertices[Degree],"&gt;="&amp;D10)</f>
        <v>0</v>
      </c>
      <c r="F9" s="40">
        <f t="shared" si="2"/>
        <v>0.823529411764706</v>
      </c>
      <c r="G9" s="41">
        <f>COUNTIF(Vertices[In-Degree],"&gt;= "&amp;F9)-COUNTIF(Vertices[In-Degree],"&gt;="&amp;F10)</f>
        <v>0</v>
      </c>
      <c r="H9" s="40">
        <f t="shared" si="3"/>
        <v>2.676470588235294</v>
      </c>
      <c r="I9" s="41">
        <f>COUNTIF(Vertices[Out-Degree],"&gt;= "&amp;H9)-COUNTIF(Vertices[Out-Degree],"&gt;="&amp;H10)</f>
        <v>0</v>
      </c>
      <c r="J9" s="40">
        <f t="shared" si="4"/>
        <v>27.45098032352941</v>
      </c>
      <c r="K9" s="41">
        <f>COUNTIF(Vertices[Betweenness Centrality],"&gt;= "&amp;J9)-COUNTIF(Vertices[Betweenness Centrality],"&gt;="&amp;J10)</f>
        <v>3</v>
      </c>
      <c r="L9" s="40">
        <f t="shared" si="5"/>
        <v>0.10899658823529412</v>
      </c>
      <c r="M9" s="41">
        <f>COUNTIF(Vertices[Closeness Centrality],"&gt;= "&amp;L9)-COUNTIF(Vertices[Closeness Centrality],"&gt;="&amp;L10)</f>
        <v>0</v>
      </c>
      <c r="N9" s="40">
        <f t="shared" si="6"/>
        <v>0.10827291176470585</v>
      </c>
      <c r="O9" s="41">
        <f>COUNTIF(Vertices[Eigenvector Centrality],"&gt;= "&amp;N9)-COUNTIF(Vertices[Eigenvector Centrality],"&gt;="&amp;N10)</f>
        <v>0</v>
      </c>
      <c r="P9" s="40">
        <f t="shared" si="7"/>
        <v>0.040351176470588224</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423</v>
      </c>
      <c r="B10" s="35">
        <v>5</v>
      </c>
      <c r="D10" s="33">
        <f t="shared" si="1"/>
        <v>0</v>
      </c>
      <c r="E10" s="3">
        <f>COUNTIF(Vertices[Degree],"&gt;= "&amp;D10)-COUNTIF(Vertices[Degree],"&gt;="&amp;D11)</f>
        <v>0</v>
      </c>
      <c r="F10" s="38">
        <f t="shared" si="2"/>
        <v>0.9411764705882354</v>
      </c>
      <c r="G10" s="39">
        <f>COUNTIF(Vertices[In-Degree],"&gt;= "&amp;F10)-COUNTIF(Vertices[In-Degree],"&gt;="&amp;F11)</f>
        <v>7</v>
      </c>
      <c r="H10" s="38">
        <f t="shared" si="3"/>
        <v>3.0588235294117645</v>
      </c>
      <c r="I10" s="39">
        <f>COUNTIF(Vertices[Out-Degree],"&gt;= "&amp;H10)-COUNTIF(Vertices[Out-Degree],"&gt;="&amp;H11)</f>
        <v>0</v>
      </c>
      <c r="J10" s="38">
        <f t="shared" si="4"/>
        <v>31.37254894117647</v>
      </c>
      <c r="K10" s="39">
        <f>COUNTIF(Vertices[Betweenness Centrality],"&gt;= "&amp;J10)-COUNTIF(Vertices[Betweenness Centrality],"&gt;="&amp;J11)</f>
        <v>0</v>
      </c>
      <c r="L10" s="38">
        <f t="shared" si="5"/>
        <v>0.12456752941176472</v>
      </c>
      <c r="M10" s="39">
        <f>COUNTIF(Vertices[Closeness Centrality],"&gt;= "&amp;L10)-COUNTIF(Vertices[Closeness Centrality],"&gt;="&amp;L11)</f>
        <v>0</v>
      </c>
      <c r="N10" s="38">
        <f t="shared" si="6"/>
        <v>0.12374047058823526</v>
      </c>
      <c r="O10" s="39">
        <f>COUNTIF(Vertices[Eigenvector Centrality],"&gt;= "&amp;N10)-COUNTIF(Vertices[Eigenvector Centrality],"&gt;="&amp;N11)</f>
        <v>0</v>
      </c>
      <c r="P10" s="38">
        <f t="shared" si="7"/>
        <v>0.0413350588235294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98"/>
      <c r="B11" s="98"/>
      <c r="D11" s="33">
        <f t="shared" si="1"/>
        <v>0</v>
      </c>
      <c r="E11" s="3">
        <f>COUNTIF(Vertices[Degree],"&gt;= "&amp;D11)-COUNTIF(Vertices[Degree],"&gt;="&amp;D12)</f>
        <v>0</v>
      </c>
      <c r="F11" s="40">
        <f t="shared" si="2"/>
        <v>1.0588235294117647</v>
      </c>
      <c r="G11" s="41">
        <f>COUNTIF(Vertices[In-Degree],"&gt;= "&amp;F11)-COUNTIF(Vertices[In-Degree],"&gt;="&amp;F12)</f>
        <v>0</v>
      </c>
      <c r="H11" s="40">
        <f t="shared" si="3"/>
        <v>3.441176470588235</v>
      </c>
      <c r="I11" s="41">
        <f>COUNTIF(Vertices[Out-Degree],"&gt;= "&amp;H11)-COUNTIF(Vertices[Out-Degree],"&gt;="&amp;H12)</f>
        <v>0</v>
      </c>
      <c r="J11" s="40">
        <f t="shared" si="4"/>
        <v>35.29411755882353</v>
      </c>
      <c r="K11" s="41">
        <f>COUNTIF(Vertices[Betweenness Centrality],"&gt;= "&amp;J11)-COUNTIF(Vertices[Betweenness Centrality],"&gt;="&amp;J12)</f>
        <v>0</v>
      </c>
      <c r="L11" s="40">
        <f t="shared" si="5"/>
        <v>0.1401384705882353</v>
      </c>
      <c r="M11" s="41">
        <f>COUNTIF(Vertices[Closeness Centrality],"&gt;= "&amp;L11)-COUNTIF(Vertices[Closeness Centrality],"&gt;="&amp;L12)</f>
        <v>0</v>
      </c>
      <c r="N11" s="40">
        <f t="shared" si="6"/>
        <v>0.13920802941176466</v>
      </c>
      <c r="O11" s="41">
        <f>COUNTIF(Vertices[Eigenvector Centrality],"&gt;= "&amp;N11)-COUNTIF(Vertices[Eigenvector Centrality],"&gt;="&amp;N12)</f>
        <v>0</v>
      </c>
      <c r="P11" s="40">
        <f t="shared" si="7"/>
        <v>0.04231894117647057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261</v>
      </c>
      <c r="B12" s="35">
        <v>8</v>
      </c>
      <c r="D12" s="33">
        <f t="shared" si="1"/>
        <v>0</v>
      </c>
      <c r="E12" s="3">
        <f>COUNTIF(Vertices[Degree],"&gt;= "&amp;D12)-COUNTIF(Vertices[Degree],"&gt;="&amp;D13)</f>
        <v>0</v>
      </c>
      <c r="F12" s="38">
        <f t="shared" si="2"/>
        <v>1.1764705882352942</v>
      </c>
      <c r="G12" s="39">
        <f>COUNTIF(Vertices[In-Degree],"&gt;= "&amp;F12)-COUNTIF(Vertices[In-Degree],"&gt;="&amp;F13)</f>
        <v>0</v>
      </c>
      <c r="H12" s="38">
        <f t="shared" si="3"/>
        <v>3.8235294117647056</v>
      </c>
      <c r="I12" s="39">
        <f>COUNTIF(Vertices[Out-Degree],"&gt;= "&amp;H12)-COUNTIF(Vertices[Out-Degree],"&gt;="&amp;H13)</f>
        <v>0</v>
      </c>
      <c r="J12" s="38">
        <f t="shared" si="4"/>
        <v>39.21568617647059</v>
      </c>
      <c r="K12" s="39">
        <f>COUNTIF(Vertices[Betweenness Centrality],"&gt;= "&amp;J12)-COUNTIF(Vertices[Betweenness Centrality],"&gt;="&amp;J13)</f>
        <v>0</v>
      </c>
      <c r="L12" s="38">
        <f t="shared" si="5"/>
        <v>0.1557094117647059</v>
      </c>
      <c r="M12" s="39">
        <f>COUNTIF(Vertices[Closeness Centrality],"&gt;= "&amp;L12)-COUNTIF(Vertices[Closeness Centrality],"&gt;="&amp;L13)</f>
        <v>0</v>
      </c>
      <c r="N12" s="38">
        <f t="shared" si="6"/>
        <v>0.15467558823529406</v>
      </c>
      <c r="O12" s="39">
        <f>COUNTIF(Vertices[Eigenvector Centrality],"&gt;= "&amp;N12)-COUNTIF(Vertices[Eigenvector Centrality],"&gt;="&amp;N13)</f>
        <v>0</v>
      </c>
      <c r="P12" s="38">
        <f t="shared" si="7"/>
        <v>0.04330282352941175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218</v>
      </c>
      <c r="B13" s="35">
        <v>12</v>
      </c>
      <c r="D13" s="33">
        <f t="shared" si="1"/>
        <v>0</v>
      </c>
      <c r="E13" s="3">
        <f>COUNTIF(Vertices[Degree],"&gt;= "&amp;D13)-COUNTIF(Vertices[Degree],"&gt;="&amp;D14)</f>
        <v>0</v>
      </c>
      <c r="F13" s="40">
        <f t="shared" si="2"/>
        <v>1.2941176470588236</v>
      </c>
      <c r="G13" s="41">
        <f>COUNTIF(Vertices[In-Degree],"&gt;= "&amp;F13)-COUNTIF(Vertices[In-Degree],"&gt;="&amp;F14)</f>
        <v>0</v>
      </c>
      <c r="H13" s="40">
        <f t="shared" si="3"/>
        <v>4.205882352941176</v>
      </c>
      <c r="I13" s="41">
        <f>COUNTIF(Vertices[Out-Degree],"&gt;= "&amp;H13)-COUNTIF(Vertices[Out-Degree],"&gt;="&amp;H14)</f>
        <v>0</v>
      </c>
      <c r="J13" s="40">
        <f t="shared" si="4"/>
        <v>43.13725479411765</v>
      </c>
      <c r="K13" s="41">
        <f>COUNTIF(Vertices[Betweenness Centrality],"&gt;= "&amp;J13)-COUNTIF(Vertices[Betweenness Centrality],"&gt;="&amp;J14)</f>
        <v>0</v>
      </c>
      <c r="L13" s="40">
        <f t="shared" si="5"/>
        <v>0.1712803529411765</v>
      </c>
      <c r="M13" s="41">
        <f>COUNTIF(Vertices[Closeness Centrality],"&gt;= "&amp;L13)-COUNTIF(Vertices[Closeness Centrality],"&gt;="&amp;L14)</f>
        <v>0</v>
      </c>
      <c r="N13" s="40">
        <f t="shared" si="6"/>
        <v>0.17014314705882347</v>
      </c>
      <c r="O13" s="41">
        <f>COUNTIF(Vertices[Eigenvector Centrality],"&gt;= "&amp;N13)-COUNTIF(Vertices[Eigenvector Centrality],"&gt;="&amp;N14)</f>
        <v>4</v>
      </c>
      <c r="P13" s="40">
        <f t="shared" si="7"/>
        <v>0.04428670588235292</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262</v>
      </c>
      <c r="B14" s="35">
        <v>17</v>
      </c>
      <c r="D14" s="33">
        <f t="shared" si="1"/>
        <v>0</v>
      </c>
      <c r="E14" s="3">
        <f>COUNTIF(Vertices[Degree],"&gt;= "&amp;D14)-COUNTIF(Vertices[Degree],"&gt;="&amp;D15)</f>
        <v>0</v>
      </c>
      <c r="F14" s="38">
        <f t="shared" si="2"/>
        <v>1.411764705882353</v>
      </c>
      <c r="G14" s="39">
        <f>COUNTIF(Vertices[In-Degree],"&gt;= "&amp;F14)-COUNTIF(Vertices[In-Degree],"&gt;="&amp;F15)</f>
        <v>0</v>
      </c>
      <c r="H14" s="38">
        <f t="shared" si="3"/>
        <v>4.588235294117647</v>
      </c>
      <c r="I14" s="39">
        <f>COUNTIF(Vertices[Out-Degree],"&gt;= "&amp;H14)-COUNTIF(Vertices[Out-Degree],"&gt;="&amp;H15)</f>
        <v>0</v>
      </c>
      <c r="J14" s="38">
        <f t="shared" si="4"/>
        <v>47.05882341176471</v>
      </c>
      <c r="K14" s="39">
        <f>COUNTIF(Vertices[Betweenness Centrality],"&gt;= "&amp;J14)-COUNTIF(Vertices[Betweenness Centrality],"&gt;="&amp;J15)</f>
        <v>0</v>
      </c>
      <c r="L14" s="38">
        <f t="shared" si="5"/>
        <v>0.1868512941176471</v>
      </c>
      <c r="M14" s="39">
        <f>COUNTIF(Vertices[Closeness Centrality],"&gt;= "&amp;L14)-COUNTIF(Vertices[Closeness Centrality],"&gt;="&amp;L15)</f>
        <v>0</v>
      </c>
      <c r="N14" s="38">
        <f t="shared" si="6"/>
        <v>0.18561070588235287</v>
      </c>
      <c r="O14" s="39">
        <f>COUNTIF(Vertices[Eigenvector Centrality],"&gt;= "&amp;N14)-COUNTIF(Vertices[Eigenvector Centrality],"&gt;="&amp;N15)</f>
        <v>1</v>
      </c>
      <c r="P14" s="38">
        <f t="shared" si="7"/>
        <v>0.0452705882352941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259</v>
      </c>
      <c r="B15" s="35">
        <v>16</v>
      </c>
      <c r="D15" s="33">
        <f t="shared" si="1"/>
        <v>0</v>
      </c>
      <c r="E15" s="3">
        <f>COUNTIF(Vertices[Degree],"&gt;= "&amp;D15)-COUNTIF(Vertices[Degree],"&gt;="&amp;D16)</f>
        <v>0</v>
      </c>
      <c r="F15" s="40">
        <f t="shared" si="2"/>
        <v>1.5294117647058825</v>
      </c>
      <c r="G15" s="41">
        <f>COUNTIF(Vertices[In-Degree],"&gt;= "&amp;F15)-COUNTIF(Vertices[In-Degree],"&gt;="&amp;F16)</f>
        <v>0</v>
      </c>
      <c r="H15" s="40">
        <f t="shared" si="3"/>
        <v>4.970588235294118</v>
      </c>
      <c r="I15" s="41">
        <f>COUNTIF(Vertices[Out-Degree],"&gt;= "&amp;H15)-COUNTIF(Vertices[Out-Degree],"&gt;="&amp;H16)</f>
        <v>0</v>
      </c>
      <c r="J15" s="40">
        <f t="shared" si="4"/>
        <v>50.980392029411775</v>
      </c>
      <c r="K15" s="41">
        <f>COUNTIF(Vertices[Betweenness Centrality],"&gt;= "&amp;J15)-COUNTIF(Vertices[Betweenness Centrality],"&gt;="&amp;J16)</f>
        <v>0</v>
      </c>
      <c r="L15" s="40">
        <f t="shared" si="5"/>
        <v>0.20242223529411768</v>
      </c>
      <c r="M15" s="41">
        <f>COUNTIF(Vertices[Closeness Centrality],"&gt;= "&amp;L15)-COUNTIF(Vertices[Closeness Centrality],"&gt;="&amp;L16)</f>
        <v>1</v>
      </c>
      <c r="N15" s="40">
        <f t="shared" si="6"/>
        <v>0.20107826470588228</v>
      </c>
      <c r="O15" s="41">
        <f>COUNTIF(Vertices[Eigenvector Centrality],"&gt;= "&amp;N15)-COUNTIF(Vertices[Eigenvector Centrality],"&gt;="&amp;N16)</f>
        <v>0</v>
      </c>
      <c r="P15" s="40">
        <f t="shared" si="7"/>
        <v>0.04625447058823527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260</v>
      </c>
      <c r="B16" s="35">
        <v>5</v>
      </c>
      <c r="D16" s="33">
        <f t="shared" si="1"/>
        <v>0</v>
      </c>
      <c r="E16" s="3">
        <f>COUNTIF(Vertices[Degree],"&gt;= "&amp;D16)-COUNTIF(Vertices[Degree],"&gt;="&amp;D17)</f>
        <v>0</v>
      </c>
      <c r="F16" s="38">
        <f t="shared" si="2"/>
        <v>1.647058823529412</v>
      </c>
      <c r="G16" s="39">
        <f>COUNTIF(Vertices[In-Degree],"&gt;= "&amp;F16)-COUNTIF(Vertices[In-Degree],"&gt;="&amp;F17)</f>
        <v>0</v>
      </c>
      <c r="H16" s="38">
        <f t="shared" si="3"/>
        <v>5.352941176470589</v>
      </c>
      <c r="I16" s="39">
        <f>COUNTIF(Vertices[Out-Degree],"&gt;= "&amp;H16)-COUNTIF(Vertices[Out-Degree],"&gt;="&amp;H17)</f>
        <v>0</v>
      </c>
      <c r="J16" s="38">
        <f t="shared" si="4"/>
        <v>54.901960647058836</v>
      </c>
      <c r="K16" s="39">
        <f>COUNTIF(Vertices[Betweenness Centrality],"&gt;= "&amp;J16)-COUNTIF(Vertices[Betweenness Centrality],"&gt;="&amp;J17)</f>
        <v>0</v>
      </c>
      <c r="L16" s="38">
        <f t="shared" si="5"/>
        <v>0.21799317647058827</v>
      </c>
      <c r="M16" s="39">
        <f>COUNTIF(Vertices[Closeness Centrality],"&gt;= "&amp;L16)-COUNTIF(Vertices[Closeness Centrality],"&gt;="&amp;L17)</f>
        <v>1</v>
      </c>
      <c r="N16" s="38">
        <f t="shared" si="6"/>
        <v>0.21654582352941168</v>
      </c>
      <c r="O16" s="39">
        <f>COUNTIF(Vertices[Eigenvector Centrality],"&gt;= "&amp;N16)-COUNTIF(Vertices[Eigenvector Centrality],"&gt;="&amp;N17)</f>
        <v>0</v>
      </c>
      <c r="P16" s="38">
        <f t="shared" si="7"/>
        <v>0.04723835294117645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8"/>
      <c r="B17" s="98"/>
      <c r="D17" s="33">
        <f t="shared" si="1"/>
        <v>0</v>
      </c>
      <c r="E17" s="3">
        <f>COUNTIF(Vertices[Degree],"&gt;= "&amp;D17)-COUNTIF(Vertices[Degree],"&gt;="&amp;D18)</f>
        <v>0</v>
      </c>
      <c r="F17" s="40">
        <f t="shared" si="2"/>
        <v>1.7647058823529413</v>
      </c>
      <c r="G17" s="41">
        <f>COUNTIF(Vertices[In-Degree],"&gt;= "&amp;F17)-COUNTIF(Vertices[In-Degree],"&gt;="&amp;F18)</f>
        <v>0</v>
      </c>
      <c r="H17" s="40">
        <f t="shared" si="3"/>
        <v>5.73529411764706</v>
      </c>
      <c r="I17" s="41">
        <f>COUNTIF(Vertices[Out-Degree],"&gt;= "&amp;H17)-COUNTIF(Vertices[Out-Degree],"&gt;="&amp;H18)</f>
        <v>0</v>
      </c>
      <c r="J17" s="40">
        <f t="shared" si="4"/>
        <v>58.8235292647059</v>
      </c>
      <c r="K17" s="41">
        <f>COUNTIF(Vertices[Betweenness Centrality],"&gt;= "&amp;J17)-COUNTIF(Vertices[Betweenness Centrality],"&gt;="&amp;J18)</f>
        <v>0</v>
      </c>
      <c r="L17" s="40">
        <f t="shared" si="5"/>
        <v>0.23356411764705887</v>
      </c>
      <c r="M17" s="41">
        <f>COUNTIF(Vertices[Closeness Centrality],"&gt;= "&amp;L17)-COUNTIF(Vertices[Closeness Centrality],"&gt;="&amp;L18)</f>
        <v>0</v>
      </c>
      <c r="N17" s="40">
        <f t="shared" si="6"/>
        <v>0.23201338235294108</v>
      </c>
      <c r="O17" s="41">
        <f>COUNTIF(Vertices[Eigenvector Centrality],"&gt;= "&amp;N17)-COUNTIF(Vertices[Eigenvector Centrality],"&gt;="&amp;N18)</f>
        <v>0</v>
      </c>
      <c r="P17" s="40">
        <f t="shared" si="7"/>
        <v>0.04822223529411762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1.8823529411764708</v>
      </c>
      <c r="G18" s="39">
        <f>COUNTIF(Vertices[In-Degree],"&gt;= "&amp;F18)-COUNTIF(Vertices[In-Degree],"&gt;="&amp;F19)</f>
        <v>0</v>
      </c>
      <c r="H18" s="38">
        <f t="shared" si="3"/>
        <v>6.117647058823531</v>
      </c>
      <c r="I18" s="39">
        <f>COUNTIF(Vertices[Out-Degree],"&gt;= "&amp;H18)-COUNTIF(Vertices[Out-Degree],"&gt;="&amp;H19)</f>
        <v>0</v>
      </c>
      <c r="J18" s="38">
        <f t="shared" si="4"/>
        <v>62.74509788235296</v>
      </c>
      <c r="K18" s="39">
        <f>COUNTIF(Vertices[Betweenness Centrality],"&gt;= "&amp;J18)-COUNTIF(Vertices[Betweenness Centrality],"&gt;="&amp;J19)</f>
        <v>0</v>
      </c>
      <c r="L18" s="38">
        <f t="shared" si="5"/>
        <v>0.24913505882352946</v>
      </c>
      <c r="M18" s="39">
        <f>COUNTIF(Vertices[Closeness Centrality],"&gt;= "&amp;L18)-COUNTIF(Vertices[Closeness Centrality],"&gt;="&amp;L19)</f>
        <v>0</v>
      </c>
      <c r="N18" s="38">
        <f t="shared" si="6"/>
        <v>0.2474809411764705</v>
      </c>
      <c r="O18" s="39">
        <f>COUNTIF(Vertices[Eigenvector Centrality],"&gt;= "&amp;N18)-COUNTIF(Vertices[Eigenvector Centrality],"&gt;="&amp;N19)</f>
        <v>2</v>
      </c>
      <c r="P18" s="38">
        <f t="shared" si="7"/>
        <v>0.049206117647058796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8"/>
      <c r="B19" s="98"/>
      <c r="D19" s="33">
        <f t="shared" si="1"/>
        <v>0</v>
      </c>
      <c r="E19" s="3">
        <f>COUNTIF(Vertices[Degree],"&gt;= "&amp;D19)-COUNTIF(Vertices[Degree],"&gt;="&amp;D20)</f>
        <v>0</v>
      </c>
      <c r="F19" s="40">
        <f t="shared" si="2"/>
        <v>2</v>
      </c>
      <c r="G19" s="41">
        <f>COUNTIF(Vertices[In-Degree],"&gt;= "&amp;F19)-COUNTIF(Vertices[In-Degree],"&gt;="&amp;F20)</f>
        <v>9</v>
      </c>
      <c r="H19" s="40">
        <f t="shared" si="3"/>
        <v>6.500000000000002</v>
      </c>
      <c r="I19" s="41">
        <f>COUNTIF(Vertices[Out-Degree],"&gt;= "&amp;H19)-COUNTIF(Vertices[Out-Degree],"&gt;="&amp;H20)</f>
        <v>0</v>
      </c>
      <c r="J19" s="40">
        <f t="shared" si="4"/>
        <v>66.66666650000002</v>
      </c>
      <c r="K19" s="41">
        <f>COUNTIF(Vertices[Betweenness Centrality],"&gt;= "&amp;J19)-COUNTIF(Vertices[Betweenness Centrality],"&gt;="&amp;J20)</f>
        <v>0</v>
      </c>
      <c r="L19" s="40">
        <f t="shared" si="5"/>
        <v>0.26470600000000005</v>
      </c>
      <c r="M19" s="41">
        <f>COUNTIF(Vertices[Closeness Centrality],"&gt;= "&amp;L19)-COUNTIF(Vertices[Closeness Centrality],"&gt;="&amp;L20)</f>
        <v>0</v>
      </c>
      <c r="N19" s="40">
        <f t="shared" si="6"/>
        <v>0.2629484999999999</v>
      </c>
      <c r="O19" s="41">
        <f>COUNTIF(Vertices[Eigenvector Centrality],"&gt;= "&amp;N19)-COUNTIF(Vertices[Eigenvector Centrality],"&gt;="&amp;N20)</f>
        <v>1</v>
      </c>
      <c r="P19" s="40">
        <f t="shared" si="7"/>
        <v>0.05018999999999997</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0.0967741935483871</v>
      </c>
      <c r="D20" s="33">
        <f t="shared" si="1"/>
        <v>0</v>
      </c>
      <c r="E20" s="3">
        <f>COUNTIF(Vertices[Degree],"&gt;= "&amp;D20)-COUNTIF(Vertices[Degree],"&gt;="&amp;D21)</f>
        <v>0</v>
      </c>
      <c r="F20" s="38">
        <f t="shared" si="2"/>
        <v>2.1176470588235294</v>
      </c>
      <c r="G20" s="39">
        <f>COUNTIF(Vertices[In-Degree],"&gt;= "&amp;F20)-COUNTIF(Vertices[In-Degree],"&gt;="&amp;F21)</f>
        <v>0</v>
      </c>
      <c r="H20" s="38">
        <f t="shared" si="3"/>
        <v>6.882352941176473</v>
      </c>
      <c r="I20" s="39">
        <f>COUNTIF(Vertices[Out-Degree],"&gt;= "&amp;H20)-COUNTIF(Vertices[Out-Degree],"&gt;="&amp;H21)</f>
        <v>1</v>
      </c>
      <c r="J20" s="38">
        <f t="shared" si="4"/>
        <v>70.58823511764707</v>
      </c>
      <c r="K20" s="39">
        <f>COUNTIF(Vertices[Betweenness Centrality],"&gt;= "&amp;J20)-COUNTIF(Vertices[Betweenness Centrality],"&gt;="&amp;J21)</f>
        <v>0</v>
      </c>
      <c r="L20" s="38">
        <f t="shared" si="5"/>
        <v>0.2802769411764706</v>
      </c>
      <c r="M20" s="39">
        <f>COUNTIF(Vertices[Closeness Centrality],"&gt;= "&amp;L20)-COUNTIF(Vertices[Closeness Centrality],"&gt;="&amp;L21)</f>
        <v>3</v>
      </c>
      <c r="N20" s="38">
        <f t="shared" si="6"/>
        <v>0.2784160588235293</v>
      </c>
      <c r="O20" s="39">
        <f>COUNTIF(Vertices[Eigenvector Centrality],"&gt;= "&amp;N20)-COUNTIF(Vertices[Eigenvector Centrality],"&gt;="&amp;N21)</f>
        <v>0</v>
      </c>
      <c r="P20" s="38">
        <f t="shared" si="7"/>
        <v>0.051173882352941145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0.17647058823529413</v>
      </c>
      <c r="D21" s="33">
        <f t="shared" si="1"/>
        <v>0</v>
      </c>
      <c r="E21" s="3">
        <f>COUNTIF(Vertices[Degree],"&gt;= "&amp;D21)-COUNTIF(Vertices[Degree],"&gt;="&amp;D22)</f>
        <v>0</v>
      </c>
      <c r="F21" s="40">
        <f t="shared" si="2"/>
        <v>2.235294117647059</v>
      </c>
      <c r="G21" s="41">
        <f>COUNTIF(Vertices[In-Degree],"&gt;= "&amp;F21)-COUNTIF(Vertices[In-Degree],"&gt;="&amp;F22)</f>
        <v>0</v>
      </c>
      <c r="H21" s="40">
        <f t="shared" si="3"/>
        <v>7.264705882352944</v>
      </c>
      <c r="I21" s="41">
        <f>COUNTIF(Vertices[Out-Degree],"&gt;= "&amp;H21)-COUNTIF(Vertices[Out-Degree],"&gt;="&amp;H22)</f>
        <v>0</v>
      </c>
      <c r="J21" s="40">
        <f t="shared" si="4"/>
        <v>74.50980373529413</v>
      </c>
      <c r="K21" s="41">
        <f>COUNTIF(Vertices[Betweenness Centrality],"&gt;= "&amp;J21)-COUNTIF(Vertices[Betweenness Centrality],"&gt;="&amp;J22)</f>
        <v>0</v>
      </c>
      <c r="L21" s="40">
        <f t="shared" si="5"/>
        <v>0.2958478823529412</v>
      </c>
      <c r="M21" s="41">
        <f>COUNTIF(Vertices[Closeness Centrality],"&gt;= "&amp;L21)-COUNTIF(Vertices[Closeness Centrality],"&gt;="&amp;L22)</f>
        <v>6</v>
      </c>
      <c r="N21" s="40">
        <f t="shared" si="6"/>
        <v>0.2938836176470587</v>
      </c>
      <c r="O21" s="41">
        <f>COUNTIF(Vertices[Eigenvector Centrality],"&gt;= "&amp;N21)-COUNTIF(Vertices[Eigenvector Centrality],"&gt;="&amp;N22)</f>
        <v>0</v>
      </c>
      <c r="P21" s="40">
        <f t="shared" si="7"/>
        <v>0.05215776470588232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8"/>
      <c r="B22" s="98"/>
      <c r="D22" s="33">
        <f t="shared" si="1"/>
        <v>0</v>
      </c>
      <c r="E22" s="3">
        <f>COUNTIF(Vertices[Degree],"&gt;= "&amp;D22)-COUNTIF(Vertices[Degree],"&gt;="&amp;D23)</f>
        <v>0</v>
      </c>
      <c r="F22" s="38">
        <f t="shared" si="2"/>
        <v>2.3529411764705883</v>
      </c>
      <c r="G22" s="39">
        <f>COUNTIF(Vertices[In-Degree],"&gt;= "&amp;F22)-COUNTIF(Vertices[In-Degree],"&gt;="&amp;F23)</f>
        <v>0</v>
      </c>
      <c r="H22" s="38">
        <f t="shared" si="3"/>
        <v>7.647058823529415</v>
      </c>
      <c r="I22" s="39">
        <f>COUNTIF(Vertices[Out-Degree],"&gt;= "&amp;H22)-COUNTIF(Vertices[Out-Degree],"&gt;="&amp;H23)</f>
        <v>1</v>
      </c>
      <c r="J22" s="38">
        <f t="shared" si="4"/>
        <v>78.43137235294118</v>
      </c>
      <c r="K22" s="39">
        <f>COUNTIF(Vertices[Betweenness Centrality],"&gt;= "&amp;J22)-COUNTIF(Vertices[Betweenness Centrality],"&gt;="&amp;J23)</f>
        <v>0</v>
      </c>
      <c r="L22" s="38">
        <f t="shared" si="5"/>
        <v>0.31141882352941175</v>
      </c>
      <c r="M22" s="39">
        <f>COUNTIF(Vertices[Closeness Centrality],"&gt;= "&amp;L22)-COUNTIF(Vertices[Closeness Centrality],"&gt;="&amp;L23)</f>
        <v>1</v>
      </c>
      <c r="N22" s="38">
        <f t="shared" si="6"/>
        <v>0.30935117647058813</v>
      </c>
      <c r="O22" s="39">
        <f>COUNTIF(Vertices[Eigenvector Centrality],"&gt;= "&amp;N22)-COUNTIF(Vertices[Eigenvector Centrality],"&gt;="&amp;N23)</f>
        <v>0</v>
      </c>
      <c r="P22" s="38">
        <f t="shared" si="7"/>
        <v>0.053141647058823495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2.4705882352941178</v>
      </c>
      <c r="G23" s="41">
        <f>COUNTIF(Vertices[In-Degree],"&gt;= "&amp;F23)-COUNTIF(Vertices[In-Degree],"&gt;="&amp;F24)</f>
        <v>0</v>
      </c>
      <c r="H23" s="40">
        <f t="shared" si="3"/>
        <v>8.029411764705886</v>
      </c>
      <c r="I23" s="41">
        <f>COUNTIF(Vertices[Out-Degree],"&gt;= "&amp;H23)-COUNTIF(Vertices[Out-Degree],"&gt;="&amp;H24)</f>
        <v>0</v>
      </c>
      <c r="J23" s="40">
        <f t="shared" si="4"/>
        <v>82.35294097058824</v>
      </c>
      <c r="K23" s="41">
        <f>COUNTIF(Vertices[Betweenness Centrality],"&gt;= "&amp;J23)-COUNTIF(Vertices[Betweenness Centrality],"&gt;="&amp;J24)</f>
        <v>0</v>
      </c>
      <c r="L23" s="40">
        <f t="shared" si="5"/>
        <v>0.3269897647058823</v>
      </c>
      <c r="M23" s="41">
        <f>COUNTIF(Vertices[Closeness Centrality],"&gt;= "&amp;L23)-COUNTIF(Vertices[Closeness Centrality],"&gt;="&amp;L24)</f>
        <v>1</v>
      </c>
      <c r="N23" s="40">
        <f t="shared" si="6"/>
        <v>0.32481873529411753</v>
      </c>
      <c r="O23" s="41">
        <f>COUNTIF(Vertices[Eigenvector Centrality],"&gt;= "&amp;N23)-COUNTIF(Vertices[Eigenvector Centrality],"&gt;="&amp;N24)</f>
        <v>0</v>
      </c>
      <c r="P23" s="40">
        <f t="shared" si="7"/>
        <v>0.05412552941176467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2.588235294117647</v>
      </c>
      <c r="G24" s="39">
        <f>COUNTIF(Vertices[In-Degree],"&gt;= "&amp;F24)-COUNTIF(Vertices[In-Degree],"&gt;="&amp;F25)</f>
        <v>0</v>
      </c>
      <c r="H24" s="38">
        <f t="shared" si="3"/>
        <v>8.411764705882357</v>
      </c>
      <c r="I24" s="39">
        <f>COUNTIF(Vertices[Out-Degree],"&gt;= "&amp;H24)-COUNTIF(Vertices[Out-Degree],"&gt;="&amp;H25)</f>
        <v>0</v>
      </c>
      <c r="J24" s="38">
        <f t="shared" si="4"/>
        <v>86.27450958823529</v>
      </c>
      <c r="K24" s="39">
        <f>COUNTIF(Vertices[Betweenness Centrality],"&gt;= "&amp;J24)-COUNTIF(Vertices[Betweenness Centrality],"&gt;="&amp;J25)</f>
        <v>0</v>
      </c>
      <c r="L24" s="38">
        <f t="shared" si="5"/>
        <v>0.3425607058823529</v>
      </c>
      <c r="M24" s="39">
        <f>COUNTIF(Vertices[Closeness Centrality],"&gt;= "&amp;L24)-COUNTIF(Vertices[Closeness Centrality],"&gt;="&amp;L25)</f>
        <v>0</v>
      </c>
      <c r="N24" s="38">
        <f t="shared" si="6"/>
        <v>0.34028629411764694</v>
      </c>
      <c r="O24" s="39">
        <f>COUNTIF(Vertices[Eigenvector Centrality],"&gt;= "&amp;N24)-COUNTIF(Vertices[Eigenvector Centrality],"&gt;="&amp;N25)</f>
        <v>0</v>
      </c>
      <c r="P24" s="38">
        <f t="shared" si="7"/>
        <v>0.055109411764705844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16</v>
      </c>
      <c r="D25" s="33">
        <f t="shared" si="1"/>
        <v>0</v>
      </c>
      <c r="E25" s="3">
        <f>COUNTIF(Vertices[Degree],"&gt;= "&amp;D25)-COUNTIF(Vertices[Degree],"&gt;="&amp;D26)</f>
        <v>0</v>
      </c>
      <c r="F25" s="40">
        <f t="shared" si="2"/>
        <v>2.7058823529411766</v>
      </c>
      <c r="G25" s="41">
        <f>COUNTIF(Vertices[In-Degree],"&gt;= "&amp;F25)-COUNTIF(Vertices[In-Degree],"&gt;="&amp;F26)</f>
        <v>0</v>
      </c>
      <c r="H25" s="40">
        <f t="shared" si="3"/>
        <v>8.794117647058828</v>
      </c>
      <c r="I25" s="41">
        <f>COUNTIF(Vertices[Out-Degree],"&gt;= "&amp;H25)-COUNTIF(Vertices[Out-Degree],"&gt;="&amp;H26)</f>
        <v>0</v>
      </c>
      <c r="J25" s="40">
        <f t="shared" si="4"/>
        <v>90.19607820588234</v>
      </c>
      <c r="K25" s="41">
        <f>COUNTIF(Vertices[Betweenness Centrality],"&gt;= "&amp;J25)-COUNTIF(Vertices[Betweenness Centrality],"&gt;="&amp;J26)</f>
        <v>0</v>
      </c>
      <c r="L25" s="40">
        <f t="shared" si="5"/>
        <v>0.35813164705882344</v>
      </c>
      <c r="M25" s="41">
        <f>COUNTIF(Vertices[Closeness Centrality],"&gt;= "&amp;L25)-COUNTIF(Vertices[Closeness Centrality],"&gt;="&amp;L26)</f>
        <v>0</v>
      </c>
      <c r="N25" s="40">
        <f t="shared" si="6"/>
        <v>0.35575385294117634</v>
      </c>
      <c r="O25" s="41">
        <f>COUNTIF(Vertices[Eigenvector Centrality],"&gt;= "&amp;N25)-COUNTIF(Vertices[Eigenvector Centrality],"&gt;="&amp;N26)</f>
        <v>0</v>
      </c>
      <c r="P25" s="40">
        <f t="shared" si="7"/>
        <v>0.05609329411764702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41</v>
      </c>
      <c r="D26" s="33">
        <f t="shared" si="1"/>
        <v>0</v>
      </c>
      <c r="E26" s="3">
        <f>COUNTIF(Vertices[Degree],"&gt;= "&amp;D26)-COUNTIF(Vertices[Degree],"&gt;="&amp;D27)</f>
        <v>0</v>
      </c>
      <c r="F26" s="38">
        <f t="shared" si="2"/>
        <v>2.823529411764706</v>
      </c>
      <c r="G26" s="39">
        <f>COUNTIF(Vertices[In-Degree],"&gt;= "&amp;F26)-COUNTIF(Vertices[In-Degree],"&gt;="&amp;F27)</f>
        <v>0</v>
      </c>
      <c r="H26" s="38">
        <f t="shared" si="3"/>
        <v>9.176470588235299</v>
      </c>
      <c r="I26" s="39">
        <f>COUNTIF(Vertices[Out-Degree],"&gt;= "&amp;H26)-COUNTIF(Vertices[Out-Degree],"&gt;="&amp;H27)</f>
        <v>0</v>
      </c>
      <c r="J26" s="38">
        <f t="shared" si="4"/>
        <v>94.1176468235294</v>
      </c>
      <c r="K26" s="39">
        <f>COUNTIF(Vertices[Betweenness Centrality],"&gt;= "&amp;J26)-COUNTIF(Vertices[Betweenness Centrality],"&gt;="&amp;J27)</f>
        <v>0</v>
      </c>
      <c r="L26" s="38">
        <f t="shared" si="5"/>
        <v>0.373702588235294</v>
      </c>
      <c r="M26" s="39">
        <f>COUNTIF(Vertices[Closeness Centrality],"&gt;= "&amp;L26)-COUNTIF(Vertices[Closeness Centrality],"&gt;="&amp;L27)</f>
        <v>1</v>
      </c>
      <c r="N26" s="38">
        <f t="shared" si="6"/>
        <v>0.37122141176470574</v>
      </c>
      <c r="O26" s="39">
        <f>COUNTIF(Vertices[Eigenvector Centrality],"&gt;= "&amp;N26)-COUNTIF(Vertices[Eigenvector Centrality],"&gt;="&amp;N27)</f>
        <v>0</v>
      </c>
      <c r="P26" s="38">
        <f t="shared" si="7"/>
        <v>0.057077176470588194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8"/>
      <c r="B27" s="98"/>
      <c r="D27" s="33">
        <f t="shared" si="1"/>
        <v>0</v>
      </c>
      <c r="E27" s="3">
        <f>COUNTIF(Vertices[Degree],"&gt;= "&amp;D27)-COUNTIF(Vertices[Degree],"&gt;="&amp;D28)</f>
        <v>0</v>
      </c>
      <c r="F27" s="40">
        <f t="shared" si="2"/>
        <v>2.9411764705882355</v>
      </c>
      <c r="G27" s="41">
        <f>COUNTIF(Vertices[In-Degree],"&gt;= "&amp;F27)-COUNTIF(Vertices[In-Degree],"&gt;="&amp;F28)</f>
        <v>3</v>
      </c>
      <c r="H27" s="40">
        <f t="shared" si="3"/>
        <v>9.55882352941177</v>
      </c>
      <c r="I27" s="41">
        <f>COUNTIF(Vertices[Out-Degree],"&gt;= "&amp;H27)-COUNTIF(Vertices[Out-Degree],"&gt;="&amp;H28)</f>
        <v>0</v>
      </c>
      <c r="J27" s="40">
        <f t="shared" si="4"/>
        <v>98.03921544117645</v>
      </c>
      <c r="K27" s="41">
        <f>COUNTIF(Vertices[Betweenness Centrality],"&gt;= "&amp;J27)-COUNTIF(Vertices[Betweenness Centrality],"&gt;="&amp;J28)</f>
        <v>0</v>
      </c>
      <c r="L27" s="40">
        <f t="shared" si="5"/>
        <v>0.3892735294117646</v>
      </c>
      <c r="M27" s="41">
        <f>COUNTIF(Vertices[Closeness Centrality],"&gt;= "&amp;L27)-COUNTIF(Vertices[Closeness Centrality],"&gt;="&amp;L28)</f>
        <v>0</v>
      </c>
      <c r="N27" s="40">
        <f t="shared" si="6"/>
        <v>0.38668897058823515</v>
      </c>
      <c r="O27" s="41">
        <f>COUNTIF(Vertices[Eigenvector Centrality],"&gt;= "&amp;N27)-COUNTIF(Vertices[Eigenvector Centrality],"&gt;="&amp;N28)</f>
        <v>1</v>
      </c>
      <c r="P27" s="40">
        <f t="shared" si="7"/>
        <v>0.05806105882352937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3.058823529411765</v>
      </c>
      <c r="G28" s="39">
        <f>COUNTIF(Vertices[In-Degree],"&gt;= "&amp;F28)-COUNTIF(Vertices[In-Degree],"&gt;="&amp;F29)</f>
        <v>0</v>
      </c>
      <c r="H28" s="38">
        <f t="shared" si="3"/>
        <v>9.94117647058824</v>
      </c>
      <c r="I28" s="39">
        <f>COUNTIF(Vertices[Out-Degree],"&gt;= "&amp;H28)-COUNTIF(Vertices[Out-Degree],"&gt;="&amp;H29)</f>
        <v>0</v>
      </c>
      <c r="J28" s="38">
        <f t="shared" si="4"/>
        <v>101.9607840588235</v>
      </c>
      <c r="K28" s="39">
        <f>COUNTIF(Vertices[Betweenness Centrality],"&gt;= "&amp;J28)-COUNTIF(Vertices[Betweenness Centrality],"&gt;="&amp;J29)</f>
        <v>0</v>
      </c>
      <c r="L28" s="38">
        <f t="shared" si="5"/>
        <v>0.40484447058823514</v>
      </c>
      <c r="M28" s="39">
        <f>COUNTIF(Vertices[Closeness Centrality],"&gt;= "&amp;L28)-COUNTIF(Vertices[Closeness Centrality],"&gt;="&amp;L29)</f>
        <v>1</v>
      </c>
      <c r="N28" s="38">
        <f t="shared" si="6"/>
        <v>0.40215652941176455</v>
      </c>
      <c r="O28" s="39">
        <f>COUNTIF(Vertices[Eigenvector Centrality],"&gt;= "&amp;N28)-COUNTIF(Vertices[Eigenvector Centrality],"&gt;="&amp;N29)</f>
        <v>0</v>
      </c>
      <c r="P28" s="38">
        <f t="shared" si="7"/>
        <v>0.05904494117647054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1.751825</v>
      </c>
      <c r="D29" s="33">
        <f t="shared" si="1"/>
        <v>0</v>
      </c>
      <c r="E29" s="3">
        <f>COUNTIF(Vertices[Degree],"&gt;= "&amp;D29)-COUNTIF(Vertices[Degree],"&gt;="&amp;D30)</f>
        <v>0</v>
      </c>
      <c r="F29" s="40">
        <f t="shared" si="2"/>
        <v>3.1764705882352944</v>
      </c>
      <c r="G29" s="41">
        <f>COUNTIF(Vertices[In-Degree],"&gt;= "&amp;F29)-COUNTIF(Vertices[In-Degree],"&gt;="&amp;F30)</f>
        <v>0</v>
      </c>
      <c r="H29" s="40">
        <f t="shared" si="3"/>
        <v>10.323529411764712</v>
      </c>
      <c r="I29" s="41">
        <f>COUNTIF(Vertices[Out-Degree],"&gt;= "&amp;H29)-COUNTIF(Vertices[Out-Degree],"&gt;="&amp;H30)</f>
        <v>0</v>
      </c>
      <c r="J29" s="40">
        <f t="shared" si="4"/>
        <v>105.88235267647056</v>
      </c>
      <c r="K29" s="41">
        <f>COUNTIF(Vertices[Betweenness Centrality],"&gt;= "&amp;J29)-COUNTIF(Vertices[Betweenness Centrality],"&gt;="&amp;J30)</f>
        <v>0</v>
      </c>
      <c r="L29" s="40">
        <f t="shared" si="5"/>
        <v>0.4204154117647057</v>
      </c>
      <c r="M29" s="41">
        <f>COUNTIF(Vertices[Closeness Centrality],"&gt;= "&amp;L29)-COUNTIF(Vertices[Closeness Centrality],"&gt;="&amp;L30)</f>
        <v>0</v>
      </c>
      <c r="N29" s="40">
        <f t="shared" si="6"/>
        <v>0.41762408823529396</v>
      </c>
      <c r="O29" s="41">
        <f>COUNTIF(Vertices[Eigenvector Centrality],"&gt;= "&amp;N29)-COUNTIF(Vertices[Eigenvector Centrality],"&gt;="&amp;N30)</f>
        <v>1</v>
      </c>
      <c r="P29" s="40">
        <f t="shared" si="7"/>
        <v>0.06002882352941172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8"/>
      <c r="B30" s="98"/>
      <c r="D30" s="33">
        <f t="shared" si="1"/>
        <v>0</v>
      </c>
      <c r="E30" s="3">
        <f>COUNTIF(Vertices[Degree],"&gt;= "&amp;D30)-COUNTIF(Vertices[Degree],"&gt;="&amp;D31)</f>
        <v>0</v>
      </c>
      <c r="F30" s="38">
        <f t="shared" si="2"/>
        <v>3.294117647058824</v>
      </c>
      <c r="G30" s="39">
        <f>COUNTIF(Vertices[In-Degree],"&gt;= "&amp;F30)-COUNTIF(Vertices[In-Degree],"&gt;="&amp;F31)</f>
        <v>0</v>
      </c>
      <c r="H30" s="38">
        <f t="shared" si="3"/>
        <v>10.705882352941183</v>
      </c>
      <c r="I30" s="39">
        <f>COUNTIF(Vertices[Out-Degree],"&gt;= "&amp;H30)-COUNTIF(Vertices[Out-Degree],"&gt;="&amp;H31)</f>
        <v>0</v>
      </c>
      <c r="J30" s="38">
        <f t="shared" si="4"/>
        <v>109.80392129411761</v>
      </c>
      <c r="K30" s="39">
        <f>COUNTIF(Vertices[Betweenness Centrality],"&gt;= "&amp;J30)-COUNTIF(Vertices[Betweenness Centrality],"&gt;="&amp;J31)</f>
        <v>0</v>
      </c>
      <c r="L30" s="38">
        <f t="shared" si="5"/>
        <v>0.43598635294117627</v>
      </c>
      <c r="M30" s="39">
        <f>COUNTIF(Vertices[Closeness Centrality],"&gt;= "&amp;L30)-COUNTIF(Vertices[Closeness Centrality],"&gt;="&amp;L31)</f>
        <v>0</v>
      </c>
      <c r="N30" s="38">
        <f t="shared" si="6"/>
        <v>0.43309164705882336</v>
      </c>
      <c r="O30" s="39">
        <f>COUNTIF(Vertices[Eigenvector Centrality],"&gt;= "&amp;N30)-COUNTIF(Vertices[Eigenvector Centrality],"&gt;="&amp;N31)</f>
        <v>0</v>
      </c>
      <c r="P30" s="38">
        <f t="shared" si="7"/>
        <v>0.06101270588235289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0.052307692307692305</v>
      </c>
      <c r="D31" s="33">
        <f t="shared" si="1"/>
        <v>0</v>
      </c>
      <c r="E31" s="3">
        <f>COUNTIF(Vertices[Degree],"&gt;= "&amp;D31)-COUNTIF(Vertices[Degree],"&gt;="&amp;D32)</f>
        <v>0</v>
      </c>
      <c r="F31" s="40">
        <f t="shared" si="2"/>
        <v>3.4117647058823533</v>
      </c>
      <c r="G31" s="41">
        <f>COUNTIF(Vertices[In-Degree],"&gt;= "&amp;F31)-COUNTIF(Vertices[In-Degree],"&gt;="&amp;F32)</f>
        <v>0</v>
      </c>
      <c r="H31" s="40">
        <f t="shared" si="3"/>
        <v>11.088235294117654</v>
      </c>
      <c r="I31" s="41">
        <f>COUNTIF(Vertices[Out-Degree],"&gt;= "&amp;H31)-COUNTIF(Vertices[Out-Degree],"&gt;="&amp;H32)</f>
        <v>0</v>
      </c>
      <c r="J31" s="40">
        <f t="shared" si="4"/>
        <v>113.72548991176467</v>
      </c>
      <c r="K31" s="41">
        <f>COUNTIF(Vertices[Betweenness Centrality],"&gt;= "&amp;J31)-COUNTIF(Vertices[Betweenness Centrality],"&gt;="&amp;J32)</f>
        <v>0</v>
      </c>
      <c r="L31" s="40">
        <f t="shared" si="5"/>
        <v>0.45155729411764683</v>
      </c>
      <c r="M31" s="41">
        <f>COUNTIF(Vertices[Closeness Centrality],"&gt;= "&amp;L31)-COUNTIF(Vertices[Closeness Centrality],"&gt;="&amp;L32)</f>
        <v>0</v>
      </c>
      <c r="N31" s="40">
        <f t="shared" si="6"/>
        <v>0.44855920588235276</v>
      </c>
      <c r="O31" s="41">
        <f>COUNTIF(Vertices[Eigenvector Centrality],"&gt;= "&amp;N31)-COUNTIF(Vertices[Eigenvector Centrality],"&gt;="&amp;N32)</f>
        <v>0</v>
      </c>
      <c r="P31" s="40">
        <f t="shared" si="7"/>
        <v>0.06199658823529407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424</v>
      </c>
      <c r="B32" s="35">
        <v>0.28151</v>
      </c>
      <c r="D32" s="33">
        <f t="shared" si="1"/>
        <v>0</v>
      </c>
      <c r="E32" s="3">
        <f>COUNTIF(Vertices[Degree],"&gt;= "&amp;D32)-COUNTIF(Vertices[Degree],"&gt;="&amp;D33)</f>
        <v>0</v>
      </c>
      <c r="F32" s="38">
        <f t="shared" si="2"/>
        <v>3.5294117647058827</v>
      </c>
      <c r="G32" s="39">
        <f>COUNTIF(Vertices[In-Degree],"&gt;= "&amp;F32)-COUNTIF(Vertices[In-Degree],"&gt;="&amp;F33)</f>
        <v>0</v>
      </c>
      <c r="H32" s="38">
        <f t="shared" si="3"/>
        <v>11.470588235294125</v>
      </c>
      <c r="I32" s="39">
        <f>COUNTIF(Vertices[Out-Degree],"&gt;= "&amp;H32)-COUNTIF(Vertices[Out-Degree],"&gt;="&amp;H33)</f>
        <v>0</v>
      </c>
      <c r="J32" s="38">
        <f t="shared" si="4"/>
        <v>117.64705852941172</v>
      </c>
      <c r="K32" s="39">
        <f>COUNTIF(Vertices[Betweenness Centrality],"&gt;= "&amp;J32)-COUNTIF(Vertices[Betweenness Centrality],"&gt;="&amp;J33)</f>
        <v>0</v>
      </c>
      <c r="L32" s="38">
        <f t="shared" si="5"/>
        <v>0.4671282352941174</v>
      </c>
      <c r="M32" s="39">
        <f>COUNTIF(Vertices[Closeness Centrality],"&gt;= "&amp;L32)-COUNTIF(Vertices[Closeness Centrality],"&gt;="&amp;L33)</f>
        <v>0</v>
      </c>
      <c r="N32" s="38">
        <f t="shared" si="6"/>
        <v>0.46402676470588217</v>
      </c>
      <c r="O32" s="39">
        <f>COUNTIF(Vertices[Eigenvector Centrality],"&gt;= "&amp;N32)-COUNTIF(Vertices[Eigenvector Centrality],"&gt;="&amp;N33)</f>
        <v>0</v>
      </c>
      <c r="P32" s="38">
        <f t="shared" si="7"/>
        <v>0.06298047058823525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8"/>
      <c r="B33" s="98"/>
      <c r="D33" s="33">
        <f t="shared" si="1"/>
        <v>0</v>
      </c>
      <c r="E33" s="3">
        <f>COUNTIF(Vertices[Degree],"&gt;= "&amp;D33)-COUNTIF(Vertices[Degree],"&gt;="&amp;D34)</f>
        <v>0</v>
      </c>
      <c r="F33" s="40">
        <f t="shared" si="2"/>
        <v>3.647058823529412</v>
      </c>
      <c r="G33" s="41">
        <f>COUNTIF(Vertices[In-Degree],"&gt;= "&amp;F33)-COUNTIF(Vertices[In-Degree],"&gt;="&amp;F34)</f>
        <v>0</v>
      </c>
      <c r="H33" s="40">
        <f t="shared" si="3"/>
        <v>11.852941176470596</v>
      </c>
      <c r="I33" s="41">
        <f>COUNTIF(Vertices[Out-Degree],"&gt;= "&amp;H33)-COUNTIF(Vertices[Out-Degree],"&gt;="&amp;H34)</f>
        <v>0</v>
      </c>
      <c r="J33" s="40">
        <f t="shared" si="4"/>
        <v>121.56862714705878</v>
      </c>
      <c r="K33" s="41">
        <f>COUNTIF(Vertices[Betweenness Centrality],"&gt;= "&amp;J33)-COUNTIF(Vertices[Betweenness Centrality],"&gt;="&amp;J34)</f>
        <v>0</v>
      </c>
      <c r="L33" s="40">
        <f t="shared" si="5"/>
        <v>0.48269917647058797</v>
      </c>
      <c r="M33" s="41">
        <f>COUNTIF(Vertices[Closeness Centrality],"&gt;= "&amp;L33)-COUNTIF(Vertices[Closeness Centrality],"&gt;="&amp;L34)</f>
        <v>0</v>
      </c>
      <c r="N33" s="40">
        <f t="shared" si="6"/>
        <v>0.47949432352941157</v>
      </c>
      <c r="O33" s="41">
        <f>COUNTIF(Vertices[Eigenvector Centrality],"&gt;= "&amp;N33)-COUNTIF(Vertices[Eigenvector Centrality],"&gt;="&amp;N34)</f>
        <v>0</v>
      </c>
      <c r="P33" s="40">
        <f t="shared" si="7"/>
        <v>0.06396435294117643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425</v>
      </c>
      <c r="B34" s="35" t="s">
        <v>440</v>
      </c>
      <c r="D34" s="33">
        <f t="shared" si="1"/>
        <v>0</v>
      </c>
      <c r="E34" s="3">
        <f>COUNTIF(Vertices[Degree],"&gt;= "&amp;D34)-COUNTIF(Vertices[Degree],"&gt;="&amp;D35)</f>
        <v>0</v>
      </c>
      <c r="F34" s="38">
        <f t="shared" si="2"/>
        <v>3.7647058823529416</v>
      </c>
      <c r="G34" s="39">
        <f>COUNTIF(Vertices[In-Degree],"&gt;= "&amp;F34)-COUNTIF(Vertices[In-Degree],"&gt;="&amp;F35)</f>
        <v>0</v>
      </c>
      <c r="H34" s="38">
        <f t="shared" si="3"/>
        <v>12.235294117647067</v>
      </c>
      <c r="I34" s="39">
        <f>COUNTIF(Vertices[Out-Degree],"&gt;= "&amp;H34)-COUNTIF(Vertices[Out-Degree],"&gt;="&amp;H35)</f>
        <v>0</v>
      </c>
      <c r="J34" s="38">
        <f t="shared" si="4"/>
        <v>125.49019576470583</v>
      </c>
      <c r="K34" s="39">
        <f>COUNTIF(Vertices[Betweenness Centrality],"&gt;= "&amp;J34)-COUNTIF(Vertices[Betweenness Centrality],"&gt;="&amp;J35)</f>
        <v>0</v>
      </c>
      <c r="L34" s="38">
        <f t="shared" si="5"/>
        <v>0.49827011764705853</v>
      </c>
      <c r="M34" s="39">
        <f>COUNTIF(Vertices[Closeness Centrality],"&gt;= "&amp;L34)-COUNTIF(Vertices[Closeness Centrality],"&gt;="&amp;L35)</f>
        <v>0</v>
      </c>
      <c r="N34" s="38">
        <f t="shared" si="6"/>
        <v>0.494961882352941</v>
      </c>
      <c r="O34" s="39">
        <f>COUNTIF(Vertices[Eigenvector Centrality],"&gt;= "&amp;N34)-COUNTIF(Vertices[Eigenvector Centrality],"&gt;="&amp;N35)</f>
        <v>0</v>
      </c>
      <c r="P34" s="38">
        <f t="shared" si="7"/>
        <v>0.06494823529411761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8"/>
      <c r="B35" s="98"/>
      <c r="D35" s="33">
        <f t="shared" si="1"/>
        <v>0</v>
      </c>
      <c r="E35" s="3">
        <f>COUNTIF(Vertices[Degree],"&gt;= "&amp;D35)-COUNTIF(Vertices[Degree],"&gt;="&amp;D36)</f>
        <v>0</v>
      </c>
      <c r="F35" s="40">
        <f t="shared" si="2"/>
        <v>3.882352941176471</v>
      </c>
      <c r="G35" s="41">
        <f>COUNTIF(Vertices[In-Degree],"&gt;= "&amp;F35)-COUNTIF(Vertices[In-Degree],"&gt;="&amp;F36)</f>
        <v>0</v>
      </c>
      <c r="H35" s="40">
        <f t="shared" si="3"/>
        <v>12.617647058823538</v>
      </c>
      <c r="I35" s="41">
        <f>COUNTIF(Vertices[Out-Degree],"&gt;= "&amp;H35)-COUNTIF(Vertices[Out-Degree],"&gt;="&amp;H36)</f>
        <v>0</v>
      </c>
      <c r="J35" s="40">
        <f t="shared" si="4"/>
        <v>129.41176438235289</v>
      </c>
      <c r="K35" s="41">
        <f>COUNTIF(Vertices[Betweenness Centrality],"&gt;= "&amp;J35)-COUNTIF(Vertices[Betweenness Centrality],"&gt;="&amp;J36)</f>
        <v>0</v>
      </c>
      <c r="L35" s="40">
        <f t="shared" si="5"/>
        <v>0.5138410588235292</v>
      </c>
      <c r="M35" s="41">
        <f>COUNTIF(Vertices[Closeness Centrality],"&gt;= "&amp;L35)-COUNTIF(Vertices[Closeness Centrality],"&gt;="&amp;L36)</f>
        <v>0</v>
      </c>
      <c r="N35" s="40">
        <f t="shared" si="6"/>
        <v>0.5104294411764704</v>
      </c>
      <c r="O35" s="41">
        <f>COUNTIF(Vertices[Eigenvector Centrality],"&gt;= "&amp;N35)-COUNTIF(Vertices[Eigenvector Centrality],"&gt;="&amp;N36)</f>
        <v>0</v>
      </c>
      <c r="P35" s="40">
        <f t="shared" si="7"/>
        <v>0.0659321176470588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426</v>
      </c>
      <c r="B36" s="35" t="s">
        <v>1035</v>
      </c>
      <c r="D36" s="33">
        <f>MAX(Vertices[Degree])</f>
        <v>0</v>
      </c>
      <c r="E36" s="3">
        <f>COUNTIF(Vertices[Degree],"&gt;= "&amp;D36)-COUNTIF(Vertices[Degree],"&gt;="&amp;#REF!)</f>
        <v>0</v>
      </c>
      <c r="F36" s="42">
        <f>MAX(Vertices[In-Degree])</f>
        <v>4</v>
      </c>
      <c r="G36" s="43">
        <f>COUNTIF(Vertices[In-Degree],"&gt;= "&amp;F36)-COUNTIF(Vertices[In-Degree],"&gt;="&amp;#REF!)</f>
        <v>1</v>
      </c>
      <c r="H36" s="42">
        <f>MAX(Vertices[Out-Degree])</f>
        <v>13</v>
      </c>
      <c r="I36" s="43">
        <f>COUNTIF(Vertices[Out-Degree],"&gt;= "&amp;H36)-COUNTIF(Vertices[Out-Degree],"&gt;="&amp;#REF!)</f>
        <v>1</v>
      </c>
      <c r="J36" s="42">
        <f>MAX(Vertices[Betweenness Centrality])</f>
        <v>133.333333</v>
      </c>
      <c r="K36" s="43">
        <f>COUNTIF(Vertices[Betweenness Centrality],"&gt;= "&amp;J36)-COUNTIF(Vertices[Betweenness Centrality],"&gt;="&amp;#REF!)</f>
        <v>1</v>
      </c>
      <c r="L36" s="42">
        <f>MAX(Vertices[Closeness Centrality])</f>
        <v>0.529412</v>
      </c>
      <c r="M36" s="43">
        <f>COUNTIF(Vertices[Closeness Centrality],"&gt;= "&amp;L36)-COUNTIF(Vertices[Closeness Centrality],"&gt;="&amp;#REF!)</f>
        <v>1</v>
      </c>
      <c r="N36" s="42">
        <f>MAX(Vertices[Eigenvector Centrality])</f>
        <v>0.525897</v>
      </c>
      <c r="O36" s="43">
        <f>COUNTIF(Vertices[Eigenvector Centrality],"&gt;= "&amp;N36)-COUNTIF(Vertices[Eigenvector Centrality],"&gt;="&amp;#REF!)</f>
        <v>1</v>
      </c>
      <c r="P36" s="42">
        <f>MAX(Vertices[PageRank])</f>
        <v>0.066916</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427</v>
      </c>
      <c r="B37" s="35" t="s">
        <v>1036</v>
      </c>
    </row>
    <row r="38" spans="1:2" ht="15">
      <c r="A38" s="98"/>
      <c r="B38" s="98"/>
    </row>
    <row r="39" spans="1:2" ht="15">
      <c r="A39" s="35" t="s">
        <v>428</v>
      </c>
      <c r="B39" s="35" t="s">
        <v>571</v>
      </c>
    </row>
    <row r="40" spans="1:2" ht="15">
      <c r="A40" s="35" t="s">
        <v>429</v>
      </c>
      <c r="B40" s="35" t="s">
        <v>623</v>
      </c>
    </row>
    <row r="41" spans="1:2" ht="409.6">
      <c r="A41" s="35" t="s">
        <v>430</v>
      </c>
      <c r="B41" s="54" t="s">
        <v>1034</v>
      </c>
    </row>
    <row r="42" spans="1:2" ht="15">
      <c r="A42" s="35" t="s">
        <v>431</v>
      </c>
      <c r="B42" s="35" t="s">
        <v>572</v>
      </c>
    </row>
    <row r="43" spans="1:2" ht="15">
      <c r="A43" s="35" t="s">
        <v>432</v>
      </c>
      <c r="B43" s="35" t="s">
        <v>573</v>
      </c>
    </row>
    <row r="44" spans="1:2" ht="15">
      <c r="A44" s="35" t="s">
        <v>433</v>
      </c>
      <c r="B44" s="35" t="s">
        <v>313</v>
      </c>
    </row>
    <row r="45" spans="1:2" ht="15">
      <c r="A45" s="35" t="s">
        <v>434</v>
      </c>
      <c r="B45" s="35" t="s">
        <v>313</v>
      </c>
    </row>
    <row r="46" spans="1:2" ht="15">
      <c r="A46" s="35" t="s">
        <v>435</v>
      </c>
      <c r="B46" s="35" t="s">
        <v>313</v>
      </c>
    </row>
    <row r="47" spans="1:2" ht="15">
      <c r="A47" s="35" t="s">
        <v>436</v>
      </c>
      <c r="B47" s="35"/>
    </row>
    <row r="48" spans="1:2" ht="15">
      <c r="A48" s="35" t="s">
        <v>21</v>
      </c>
      <c r="B48" s="35"/>
    </row>
    <row r="49" spans="1:2" ht="15">
      <c r="A49" s="35" t="s">
        <v>437</v>
      </c>
      <c r="B49" s="35" t="s">
        <v>34</v>
      </c>
    </row>
    <row r="50" spans="1:2" ht="15">
      <c r="A50" s="35" t="s">
        <v>438</v>
      </c>
      <c r="B50" s="35"/>
    </row>
    <row r="51" spans="1:2" ht="15">
      <c r="A51" s="35" t="s">
        <v>439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1.4615384615384615</v>
      </c>
    </row>
    <row r="84" spans="1:2" ht="15">
      <c r="A84" s="34" t="s">
        <v>91</v>
      </c>
      <c r="B84" s="48">
        <f>_xlfn.IFERROR(MEDIAN(Vertices[In-Degree]),NoMetricMessage)</f>
        <v>1.5</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1.4615384615384615</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133.333333</v>
      </c>
    </row>
    <row r="111" spans="1:2" ht="15">
      <c r="A111" s="34" t="s">
        <v>102</v>
      </c>
      <c r="B111" s="48">
        <f>_xlfn.IFERROR(AVERAGE(Vertices[Betweenness Centrality]),NoMetricMessage)</f>
        <v>8.923076884615385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0.529412</v>
      </c>
    </row>
    <row r="125" spans="1:2" ht="15">
      <c r="A125" s="34" t="s">
        <v>108</v>
      </c>
      <c r="B125" s="48">
        <f>_xlfn.IFERROR(AVERAGE(Vertices[Closeness Centrality]),NoMetricMessage)</f>
        <v>0.2082200769230769</v>
      </c>
    </row>
    <row r="126" spans="1:2" ht="15">
      <c r="A126" s="34" t="s">
        <v>109</v>
      </c>
      <c r="B126" s="48">
        <f>_xlfn.IFERROR(MEDIAN(Vertices[Closeness Centrality]),NoMetricMessage)</f>
        <v>0.290323</v>
      </c>
    </row>
    <row r="137" spans="1:2" ht="15">
      <c r="A137" s="34" t="s">
        <v>112</v>
      </c>
      <c r="B137" s="48">
        <f>IF(COUNT(Vertices[Eigenvector Centrality])&gt;0,N2,NoMetricMessage)</f>
        <v>0</v>
      </c>
    </row>
    <row r="138" spans="1:2" ht="15">
      <c r="A138" s="34" t="s">
        <v>113</v>
      </c>
      <c r="B138" s="48">
        <f>IF(COUNT(Vertices[Eigenvector Centrality])&gt;0,N36,NoMetricMessage)</f>
        <v>0.525897</v>
      </c>
    </row>
    <row r="139" spans="1:2" ht="15">
      <c r="A139" s="34" t="s">
        <v>114</v>
      </c>
      <c r="B139" s="48">
        <f>_xlfn.IFERROR(AVERAGE(Vertices[Eigenvector Centrality]),NoMetricMessage)</f>
        <v>0.13031673076923075</v>
      </c>
    </row>
    <row r="140" spans="1:2" ht="15">
      <c r="A140" s="34" t="s">
        <v>115</v>
      </c>
      <c r="B140" s="48">
        <f>_xlfn.IFERROR(MEDIAN(Vertices[Eigenvector Centrality]),NoMetricMessage)</f>
        <v>0.099581</v>
      </c>
    </row>
    <row r="151" spans="1:2" ht="15">
      <c r="A151" s="34" t="s">
        <v>140</v>
      </c>
      <c r="B151" s="48">
        <f>IF(COUNT(Vertices[PageRank])&gt;0,P2,NoMetricMessage)</f>
        <v>0.033464</v>
      </c>
    </row>
    <row r="152" spans="1:2" ht="15">
      <c r="A152" s="34" t="s">
        <v>141</v>
      </c>
      <c r="B152" s="48">
        <f>IF(COUNT(Vertices[PageRank])&gt;0,P36,NoMetricMessage)</f>
        <v>0.066916</v>
      </c>
    </row>
    <row r="153" spans="1:2" ht="15">
      <c r="A153" s="34" t="s">
        <v>142</v>
      </c>
      <c r="B153" s="48">
        <f>_xlfn.IFERROR(AVERAGE(Vertices[PageRank]),NoMetricMessage)</f>
        <v>0.03846157692307693</v>
      </c>
    </row>
    <row r="154" spans="1:2" ht="15">
      <c r="A154" s="34" t="s">
        <v>143</v>
      </c>
      <c r="B154" s="48">
        <f>_xlfn.IFERROR(MEDIAN(Vertices[PageRank]),NoMetricMessage)</f>
        <v>0.03712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0.28273809523809523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8"/>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21</v>
      </c>
      <c r="R6" t="s">
        <v>129</v>
      </c>
    </row>
    <row r="7" spans="1:11" ht="409.6">
      <c r="A7">
        <v>2</v>
      </c>
      <c r="B7">
        <v>1</v>
      </c>
      <c r="C7">
        <v>0</v>
      </c>
      <c r="D7" t="s">
        <v>60</v>
      </c>
      <c r="E7" t="s">
        <v>60</v>
      </c>
      <c r="F7">
        <v>2</v>
      </c>
      <c r="H7" t="s">
        <v>72</v>
      </c>
      <c r="J7" t="s">
        <v>175</v>
      </c>
      <c r="K7" s="13" t="s">
        <v>176</v>
      </c>
    </row>
    <row r="8" spans="1:11" ht="409.6">
      <c r="A8"/>
      <c r="B8">
        <v>2</v>
      </c>
      <c r="C8">
        <v>2</v>
      </c>
      <c r="D8" t="s">
        <v>61</v>
      </c>
      <c r="E8" t="s">
        <v>61</v>
      </c>
      <c r="H8" t="s">
        <v>73</v>
      </c>
      <c r="J8" t="s">
        <v>177</v>
      </c>
      <c r="K8" s="13" t="s">
        <v>178</v>
      </c>
    </row>
    <row r="9" spans="1:11" ht="409.6">
      <c r="A9"/>
      <c r="B9">
        <v>3</v>
      </c>
      <c r="C9">
        <v>4</v>
      </c>
      <c r="D9" t="s">
        <v>62</v>
      </c>
      <c r="E9" t="s">
        <v>62</v>
      </c>
      <c r="H9" t="s">
        <v>74</v>
      </c>
      <c r="J9" t="s">
        <v>179</v>
      </c>
      <c r="K9" s="13" t="s">
        <v>180</v>
      </c>
    </row>
    <row r="10" spans="1:11" ht="409.6">
      <c r="A10"/>
      <c r="B10">
        <v>4</v>
      </c>
      <c r="D10" t="s">
        <v>63</v>
      </c>
      <c r="E10" t="s">
        <v>63</v>
      </c>
      <c r="H10" t="s">
        <v>75</v>
      </c>
      <c r="J10" t="s">
        <v>181</v>
      </c>
      <c r="K10" s="13" t="s">
        <v>182</v>
      </c>
    </row>
    <row r="11" spans="1:11" ht="409.6">
      <c r="A11"/>
      <c r="B11">
        <v>5</v>
      </c>
      <c r="D11" t="s">
        <v>46</v>
      </c>
      <c r="E11">
        <v>1</v>
      </c>
      <c r="H11" t="s">
        <v>76</v>
      </c>
      <c r="J11" t="s">
        <v>183</v>
      </c>
      <c r="K11" s="13" t="s">
        <v>184</v>
      </c>
    </row>
    <row r="12" spans="1:11" ht="409.6">
      <c r="A12"/>
      <c r="B12"/>
      <c r="D12" t="s">
        <v>64</v>
      </c>
      <c r="E12">
        <v>2</v>
      </c>
      <c r="H12">
        <v>0</v>
      </c>
      <c r="J12" t="s">
        <v>185</v>
      </c>
      <c r="K12" s="13" t="s">
        <v>186</v>
      </c>
    </row>
    <row r="13" spans="1:11" ht="409.6">
      <c r="A13"/>
      <c r="B13"/>
      <c r="D13">
        <v>1</v>
      </c>
      <c r="E13">
        <v>3</v>
      </c>
      <c r="H13">
        <v>1</v>
      </c>
      <c r="J13" t="s">
        <v>187</v>
      </c>
      <c r="K13" s="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15">
      <c r="D21">
        <v>9</v>
      </c>
      <c r="H21">
        <v>9</v>
      </c>
      <c r="J21" t="s">
        <v>203</v>
      </c>
      <c r="K21" t="s">
        <v>204</v>
      </c>
    </row>
    <row r="22" spans="4:11" ht="15">
      <c r="D22">
        <v>10</v>
      </c>
      <c r="J22" t="s">
        <v>205</v>
      </c>
      <c r="K22" t="s">
        <v>206</v>
      </c>
    </row>
    <row r="23" spans="4:11" ht="15">
      <c r="D23">
        <v>11</v>
      </c>
      <c r="J23" t="s">
        <v>207</v>
      </c>
      <c r="K23" t="s">
        <v>208</v>
      </c>
    </row>
    <row r="24" spans="10:11" ht="409.6">
      <c r="J24" t="s">
        <v>209</v>
      </c>
      <c r="K24" s="13" t="s">
        <v>210</v>
      </c>
    </row>
    <row r="25" spans="10:11" ht="409.6">
      <c r="J25" t="s">
        <v>211</v>
      </c>
      <c r="K25" s="13" t="s">
        <v>212</v>
      </c>
    </row>
    <row r="26" spans="10:11" ht="409.6">
      <c r="J26" t="s">
        <v>213</v>
      </c>
      <c r="K26" s="13" t="s">
        <v>1037</v>
      </c>
    </row>
    <row r="27" spans="10:11" ht="15">
      <c r="J27" t="s">
        <v>214</v>
      </c>
      <c r="K27" t="s">
        <v>1032</v>
      </c>
    </row>
    <row r="28" spans="10:11" ht="409.6">
      <c r="J28" t="s">
        <v>215</v>
      </c>
      <c r="K28" s="13" t="s">
        <v>1033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862F1-6195-466B-83C9-B94BFC7916EB}">
  <dimension ref="A1:G272"/>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334</v>
      </c>
      <c r="B1" s="13" t="s">
        <v>390</v>
      </c>
      <c r="C1" s="13" t="s">
        <v>394</v>
      </c>
      <c r="D1" s="13" t="s">
        <v>144</v>
      </c>
      <c r="E1" s="13" t="s">
        <v>396</v>
      </c>
      <c r="F1" s="13" t="s">
        <v>397</v>
      </c>
      <c r="G1" s="13" t="s">
        <v>398</v>
      </c>
    </row>
    <row r="2" spans="1:7" ht="15">
      <c r="A2" s="80" t="s">
        <v>335</v>
      </c>
      <c r="B2" s="80" t="s">
        <v>391</v>
      </c>
      <c r="C2" s="93"/>
      <c r="D2" s="80"/>
      <c r="E2" s="80"/>
      <c r="F2" s="80"/>
      <c r="G2" s="80"/>
    </row>
    <row r="3" spans="1:7" ht="15">
      <c r="A3" s="81" t="s">
        <v>336</v>
      </c>
      <c r="B3" s="80" t="s">
        <v>392</v>
      </c>
      <c r="C3" s="93"/>
      <c r="D3" s="80"/>
      <c r="E3" s="80"/>
      <c r="F3" s="80"/>
      <c r="G3" s="80"/>
    </row>
    <row r="4" spans="1:7" ht="15">
      <c r="A4" s="81" t="s">
        <v>337</v>
      </c>
      <c r="B4" s="80" t="s">
        <v>393</v>
      </c>
      <c r="C4" s="93"/>
      <c r="D4" s="80"/>
      <c r="E4" s="80"/>
      <c r="F4" s="80"/>
      <c r="G4" s="80"/>
    </row>
    <row r="5" spans="1:7" ht="15">
      <c r="A5" s="81" t="s">
        <v>338</v>
      </c>
      <c r="B5" s="80">
        <v>33</v>
      </c>
      <c r="C5" s="93">
        <v>0.03618421052631579</v>
      </c>
      <c r="D5" s="80"/>
      <c r="E5" s="80"/>
      <c r="F5" s="80"/>
      <c r="G5" s="80"/>
    </row>
    <row r="6" spans="1:7" ht="15">
      <c r="A6" s="81" t="s">
        <v>339</v>
      </c>
      <c r="B6" s="80">
        <v>22</v>
      </c>
      <c r="C6" s="93">
        <v>0.024122807017543862</v>
      </c>
      <c r="D6" s="80"/>
      <c r="E6" s="80"/>
      <c r="F6" s="80"/>
      <c r="G6" s="80"/>
    </row>
    <row r="7" spans="1:7" ht="15">
      <c r="A7" s="81" t="s">
        <v>340</v>
      </c>
      <c r="B7" s="80">
        <v>0</v>
      </c>
      <c r="C7" s="93">
        <v>0</v>
      </c>
      <c r="D7" s="80"/>
      <c r="E7" s="80"/>
      <c r="F7" s="80"/>
      <c r="G7" s="80"/>
    </row>
    <row r="8" spans="1:7" ht="15">
      <c r="A8" s="81" t="s">
        <v>341</v>
      </c>
      <c r="B8" s="80">
        <v>857</v>
      </c>
      <c r="C8" s="93">
        <v>0.9396929824561404</v>
      </c>
      <c r="D8" s="80"/>
      <c r="E8" s="80"/>
      <c r="F8" s="80"/>
      <c r="G8" s="80"/>
    </row>
    <row r="9" spans="1:7" ht="15">
      <c r="A9" s="81" t="s">
        <v>342</v>
      </c>
      <c r="B9" s="80">
        <v>912</v>
      </c>
      <c r="C9" s="93">
        <v>1</v>
      </c>
      <c r="D9" s="80"/>
      <c r="E9" s="80"/>
      <c r="F9" s="80"/>
      <c r="G9" s="80"/>
    </row>
    <row r="10" spans="1:7" ht="15">
      <c r="A10" s="86" t="s">
        <v>797</v>
      </c>
      <c r="B10" s="89">
        <v>24</v>
      </c>
      <c r="C10" s="94">
        <v>0.003996289196208512</v>
      </c>
      <c r="D10" s="89" t="s">
        <v>395</v>
      </c>
      <c r="E10" s="89" t="b">
        <v>0</v>
      </c>
      <c r="F10" s="89" t="b">
        <v>0</v>
      </c>
      <c r="G10" s="89" t="b">
        <v>0</v>
      </c>
    </row>
    <row r="11" spans="1:7" ht="15">
      <c r="A11" s="86" t="s">
        <v>344</v>
      </c>
      <c r="B11" s="89">
        <v>13</v>
      </c>
      <c r="C11" s="94">
        <v>0.014117357029502186</v>
      </c>
      <c r="D11" s="89" t="s">
        <v>395</v>
      </c>
      <c r="E11" s="89" t="b">
        <v>0</v>
      </c>
      <c r="F11" s="89" t="b">
        <v>0</v>
      </c>
      <c r="G11" s="89" t="b">
        <v>0</v>
      </c>
    </row>
    <row r="12" spans="1:7" ht="15">
      <c r="A12" s="86" t="s">
        <v>798</v>
      </c>
      <c r="B12" s="89">
        <v>11</v>
      </c>
      <c r="C12" s="94">
        <v>0.009882587969216003</v>
      </c>
      <c r="D12" s="89" t="s">
        <v>395</v>
      </c>
      <c r="E12" s="89" t="b">
        <v>0</v>
      </c>
      <c r="F12" s="89" t="b">
        <v>0</v>
      </c>
      <c r="G12" s="89" t="b">
        <v>0</v>
      </c>
    </row>
    <row r="13" spans="1:7" ht="15">
      <c r="A13" s="86" t="s">
        <v>799</v>
      </c>
      <c r="B13" s="89">
        <v>10</v>
      </c>
      <c r="C13" s="94">
        <v>0.009863080201507198</v>
      </c>
      <c r="D13" s="89" t="s">
        <v>395</v>
      </c>
      <c r="E13" s="89" t="b">
        <v>0</v>
      </c>
      <c r="F13" s="89" t="b">
        <v>0</v>
      </c>
      <c r="G13" s="89" t="b">
        <v>0</v>
      </c>
    </row>
    <row r="14" spans="1:7" ht="15">
      <c r="A14" s="86" t="s">
        <v>348</v>
      </c>
      <c r="B14" s="89">
        <v>10</v>
      </c>
      <c r="C14" s="94">
        <v>0.009863080201507198</v>
      </c>
      <c r="D14" s="89" t="s">
        <v>395</v>
      </c>
      <c r="E14" s="89" t="b">
        <v>0</v>
      </c>
      <c r="F14" s="89" t="b">
        <v>0</v>
      </c>
      <c r="G14" s="89" t="b">
        <v>0</v>
      </c>
    </row>
    <row r="15" spans="1:7" ht="15">
      <c r="A15" s="86" t="s">
        <v>800</v>
      </c>
      <c r="B15" s="89">
        <v>10</v>
      </c>
      <c r="C15" s="94">
        <v>0.009863080201507198</v>
      </c>
      <c r="D15" s="89" t="s">
        <v>395</v>
      </c>
      <c r="E15" s="89" t="b">
        <v>0</v>
      </c>
      <c r="F15" s="89" t="b">
        <v>0</v>
      </c>
      <c r="G15" s="89" t="b">
        <v>0</v>
      </c>
    </row>
    <row r="16" spans="1:7" ht="15">
      <c r="A16" s="86" t="s">
        <v>801</v>
      </c>
      <c r="B16" s="89">
        <v>9</v>
      </c>
      <c r="C16" s="94">
        <v>0.008085753792994912</v>
      </c>
      <c r="D16" s="89" t="s">
        <v>395</v>
      </c>
      <c r="E16" s="89" t="b">
        <v>0</v>
      </c>
      <c r="F16" s="89" t="b">
        <v>0</v>
      </c>
      <c r="G16" s="89" t="b">
        <v>0</v>
      </c>
    </row>
    <row r="17" spans="1:7" ht="15">
      <c r="A17" s="86" t="s">
        <v>345</v>
      </c>
      <c r="B17" s="89">
        <v>9</v>
      </c>
      <c r="C17" s="94">
        <v>0.009773554866578438</v>
      </c>
      <c r="D17" s="89" t="s">
        <v>395</v>
      </c>
      <c r="E17" s="89" t="b">
        <v>0</v>
      </c>
      <c r="F17" s="89" t="b">
        <v>0</v>
      </c>
      <c r="G17" s="89" t="b">
        <v>0</v>
      </c>
    </row>
    <row r="18" spans="1:7" ht="15">
      <c r="A18" s="86" t="s">
        <v>802</v>
      </c>
      <c r="B18" s="89">
        <v>9</v>
      </c>
      <c r="C18" s="94">
        <v>0.009773554866578438</v>
      </c>
      <c r="D18" s="89" t="s">
        <v>395</v>
      </c>
      <c r="E18" s="89" t="b">
        <v>0</v>
      </c>
      <c r="F18" s="89" t="b">
        <v>0</v>
      </c>
      <c r="G18" s="89" t="b">
        <v>0</v>
      </c>
    </row>
    <row r="19" spans="1:7" ht="15">
      <c r="A19" s="86" t="s">
        <v>587</v>
      </c>
      <c r="B19" s="89">
        <v>8</v>
      </c>
      <c r="C19" s="94">
        <v>0.007890464161205757</v>
      </c>
      <c r="D19" s="89" t="s">
        <v>395</v>
      </c>
      <c r="E19" s="89" t="b">
        <v>0</v>
      </c>
      <c r="F19" s="89" t="b">
        <v>0</v>
      </c>
      <c r="G19" s="89" t="b">
        <v>0</v>
      </c>
    </row>
    <row r="20" spans="1:7" ht="15">
      <c r="A20" s="86" t="s">
        <v>360</v>
      </c>
      <c r="B20" s="89">
        <v>7</v>
      </c>
      <c r="C20" s="94">
        <v>0.007601653785116562</v>
      </c>
      <c r="D20" s="89" t="s">
        <v>395</v>
      </c>
      <c r="E20" s="89" t="b">
        <v>0</v>
      </c>
      <c r="F20" s="89" t="b">
        <v>0</v>
      </c>
      <c r="G20" s="89" t="b">
        <v>0</v>
      </c>
    </row>
    <row r="21" spans="1:7" ht="15">
      <c r="A21" s="86" t="s">
        <v>803</v>
      </c>
      <c r="B21" s="89">
        <v>7</v>
      </c>
      <c r="C21" s="94">
        <v>0.007601653785116562</v>
      </c>
      <c r="D21" s="89" t="s">
        <v>395</v>
      </c>
      <c r="E21" s="89" t="b">
        <v>0</v>
      </c>
      <c r="F21" s="89" t="b">
        <v>1</v>
      </c>
      <c r="G21" s="89" t="b">
        <v>0</v>
      </c>
    </row>
    <row r="22" spans="1:7" ht="15">
      <c r="A22" s="86" t="s">
        <v>369</v>
      </c>
      <c r="B22" s="89">
        <v>7</v>
      </c>
      <c r="C22" s="94">
        <v>0.009359207478841076</v>
      </c>
      <c r="D22" s="89" t="s">
        <v>395</v>
      </c>
      <c r="E22" s="89" t="b">
        <v>1</v>
      </c>
      <c r="F22" s="89" t="b">
        <v>0</v>
      </c>
      <c r="G22" s="89" t="b">
        <v>0</v>
      </c>
    </row>
    <row r="23" spans="1:7" ht="15">
      <c r="A23" s="86" t="s">
        <v>804</v>
      </c>
      <c r="B23" s="89">
        <v>6</v>
      </c>
      <c r="C23" s="94">
        <v>0.007205876333361019</v>
      </c>
      <c r="D23" s="89" t="s">
        <v>395</v>
      </c>
      <c r="E23" s="89" t="b">
        <v>0</v>
      </c>
      <c r="F23" s="89" t="b">
        <v>0</v>
      </c>
      <c r="G23" s="89" t="b">
        <v>0</v>
      </c>
    </row>
    <row r="24" spans="1:7" ht="15">
      <c r="A24" s="86" t="s">
        <v>375</v>
      </c>
      <c r="B24" s="89">
        <v>6</v>
      </c>
      <c r="C24" s="94">
        <v>0.007205876333361019</v>
      </c>
      <c r="D24" s="89" t="s">
        <v>395</v>
      </c>
      <c r="E24" s="89" t="b">
        <v>0</v>
      </c>
      <c r="F24" s="89" t="b">
        <v>0</v>
      </c>
      <c r="G24" s="89" t="b">
        <v>0</v>
      </c>
    </row>
    <row r="25" spans="1:7" ht="15">
      <c r="A25" s="86" t="s">
        <v>623</v>
      </c>
      <c r="B25" s="89">
        <v>6</v>
      </c>
      <c r="C25" s="94">
        <v>0.007205876333361019</v>
      </c>
      <c r="D25" s="89" t="s">
        <v>395</v>
      </c>
      <c r="E25" s="89" t="b">
        <v>0</v>
      </c>
      <c r="F25" s="89" t="b">
        <v>0</v>
      </c>
      <c r="G25" s="89" t="b">
        <v>0</v>
      </c>
    </row>
    <row r="26" spans="1:7" ht="15">
      <c r="A26" s="86" t="s">
        <v>805</v>
      </c>
      <c r="B26" s="89">
        <v>5</v>
      </c>
      <c r="C26" s="94">
        <v>0.006685148199172197</v>
      </c>
      <c r="D26" s="89" t="s">
        <v>395</v>
      </c>
      <c r="E26" s="89" t="b">
        <v>0</v>
      </c>
      <c r="F26" s="89" t="b">
        <v>0</v>
      </c>
      <c r="G26" s="89" t="b">
        <v>0</v>
      </c>
    </row>
    <row r="27" spans="1:7" ht="15">
      <c r="A27" s="86" t="s">
        <v>380</v>
      </c>
      <c r="B27" s="89">
        <v>5</v>
      </c>
      <c r="C27" s="94">
        <v>0.006685148199172197</v>
      </c>
      <c r="D27" s="89" t="s">
        <v>395</v>
      </c>
      <c r="E27" s="89" t="b">
        <v>0</v>
      </c>
      <c r="F27" s="89" t="b">
        <v>0</v>
      </c>
      <c r="G27" s="89" t="b">
        <v>0</v>
      </c>
    </row>
    <row r="28" spans="1:7" ht="15">
      <c r="A28" s="86" t="s">
        <v>595</v>
      </c>
      <c r="B28" s="89">
        <v>5</v>
      </c>
      <c r="C28" s="94">
        <v>0.006685148199172197</v>
      </c>
      <c r="D28" s="89" t="s">
        <v>395</v>
      </c>
      <c r="E28" s="89" t="b">
        <v>0</v>
      </c>
      <c r="F28" s="89" t="b">
        <v>0</v>
      </c>
      <c r="G28" s="89" t="b">
        <v>0</v>
      </c>
    </row>
    <row r="29" spans="1:7" ht="15">
      <c r="A29" s="86" t="s">
        <v>806</v>
      </c>
      <c r="B29" s="89">
        <v>5</v>
      </c>
      <c r="C29" s="94">
        <v>0.006685148199172197</v>
      </c>
      <c r="D29" s="89" t="s">
        <v>395</v>
      </c>
      <c r="E29" s="89" t="b">
        <v>0</v>
      </c>
      <c r="F29" s="89" t="b">
        <v>0</v>
      </c>
      <c r="G29" s="89" t="b">
        <v>0</v>
      </c>
    </row>
    <row r="30" spans="1:7" ht="15">
      <c r="A30" s="86" t="s">
        <v>582</v>
      </c>
      <c r="B30" s="89">
        <v>5</v>
      </c>
      <c r="C30" s="94">
        <v>0.006685148199172197</v>
      </c>
      <c r="D30" s="89" t="s">
        <v>395</v>
      </c>
      <c r="E30" s="89" t="b">
        <v>0</v>
      </c>
      <c r="F30" s="89" t="b">
        <v>0</v>
      </c>
      <c r="G30" s="89" t="b">
        <v>0</v>
      </c>
    </row>
    <row r="31" spans="1:7" ht="15">
      <c r="A31" s="86" t="s">
        <v>354</v>
      </c>
      <c r="B31" s="89">
        <v>5</v>
      </c>
      <c r="C31" s="94">
        <v>0.006685148199172197</v>
      </c>
      <c r="D31" s="89" t="s">
        <v>395</v>
      </c>
      <c r="E31" s="89" t="b">
        <v>0</v>
      </c>
      <c r="F31" s="89" t="b">
        <v>0</v>
      </c>
      <c r="G31" s="89" t="b">
        <v>0</v>
      </c>
    </row>
    <row r="32" spans="1:7" ht="15">
      <c r="A32" s="86" t="s">
        <v>807</v>
      </c>
      <c r="B32" s="89">
        <v>4</v>
      </c>
      <c r="C32" s="94">
        <v>0.0060141667587058426</v>
      </c>
      <c r="D32" s="89" t="s">
        <v>395</v>
      </c>
      <c r="E32" s="89" t="b">
        <v>0</v>
      </c>
      <c r="F32" s="89" t="b">
        <v>0</v>
      </c>
      <c r="G32" s="89" t="b">
        <v>0</v>
      </c>
    </row>
    <row r="33" spans="1:7" ht="15">
      <c r="A33" s="86" t="s">
        <v>808</v>
      </c>
      <c r="B33" s="89">
        <v>4</v>
      </c>
      <c r="C33" s="94">
        <v>0.0060141667587058426</v>
      </c>
      <c r="D33" s="89" t="s">
        <v>395</v>
      </c>
      <c r="E33" s="89" t="b">
        <v>0</v>
      </c>
      <c r="F33" s="89" t="b">
        <v>0</v>
      </c>
      <c r="G33" s="89" t="b">
        <v>0</v>
      </c>
    </row>
    <row r="34" spans="1:7" ht="15">
      <c r="A34" s="86" t="s">
        <v>809</v>
      </c>
      <c r="B34" s="89">
        <v>4</v>
      </c>
      <c r="C34" s="94">
        <v>0.0060141667587058426</v>
      </c>
      <c r="D34" s="89" t="s">
        <v>395</v>
      </c>
      <c r="E34" s="89" t="b">
        <v>0</v>
      </c>
      <c r="F34" s="89" t="b">
        <v>0</v>
      </c>
      <c r="G34" s="89" t="b">
        <v>0</v>
      </c>
    </row>
    <row r="35" spans="1:7" ht="15">
      <c r="A35" s="86" t="s">
        <v>810</v>
      </c>
      <c r="B35" s="89">
        <v>4</v>
      </c>
      <c r="C35" s="94">
        <v>0.0060141667587058426</v>
      </c>
      <c r="D35" s="89" t="s">
        <v>395</v>
      </c>
      <c r="E35" s="89" t="b">
        <v>0</v>
      </c>
      <c r="F35" s="89" t="b">
        <v>0</v>
      </c>
      <c r="G35" s="89" t="b">
        <v>0</v>
      </c>
    </row>
    <row r="36" spans="1:7" ht="15">
      <c r="A36" s="86" t="s">
        <v>343</v>
      </c>
      <c r="B36" s="89">
        <v>4</v>
      </c>
      <c r="C36" s="94">
        <v>0.0060141667587058426</v>
      </c>
      <c r="D36" s="89" t="s">
        <v>395</v>
      </c>
      <c r="E36" s="89" t="b">
        <v>0</v>
      </c>
      <c r="F36" s="89" t="b">
        <v>0</v>
      </c>
      <c r="G36" s="89" t="b">
        <v>0</v>
      </c>
    </row>
    <row r="37" spans="1:7" ht="15">
      <c r="A37" s="86" t="s">
        <v>811</v>
      </c>
      <c r="B37" s="89">
        <v>3</v>
      </c>
      <c r="C37" s="94">
        <v>0.005154639175257732</v>
      </c>
      <c r="D37" s="89" t="s">
        <v>395</v>
      </c>
      <c r="E37" s="89" t="b">
        <v>0</v>
      </c>
      <c r="F37" s="89" t="b">
        <v>0</v>
      </c>
      <c r="G37" s="89" t="b">
        <v>0</v>
      </c>
    </row>
    <row r="38" spans="1:7" ht="15">
      <c r="A38" s="86" t="s">
        <v>812</v>
      </c>
      <c r="B38" s="89">
        <v>3</v>
      </c>
      <c r="C38" s="94">
        <v>0.005154639175257732</v>
      </c>
      <c r="D38" s="89" t="s">
        <v>395</v>
      </c>
      <c r="E38" s="89" t="b">
        <v>0</v>
      </c>
      <c r="F38" s="89" t="b">
        <v>0</v>
      </c>
      <c r="G38" s="89" t="b">
        <v>0</v>
      </c>
    </row>
    <row r="39" spans="1:7" ht="15">
      <c r="A39" s="86" t="s">
        <v>813</v>
      </c>
      <c r="B39" s="89">
        <v>3</v>
      </c>
      <c r="C39" s="94">
        <v>0.005154639175257732</v>
      </c>
      <c r="D39" s="89" t="s">
        <v>395</v>
      </c>
      <c r="E39" s="89" t="b">
        <v>0</v>
      </c>
      <c r="F39" s="89" t="b">
        <v>0</v>
      </c>
      <c r="G39" s="89" t="b">
        <v>0</v>
      </c>
    </row>
    <row r="40" spans="1:7" ht="15">
      <c r="A40" s="86" t="s">
        <v>363</v>
      </c>
      <c r="B40" s="89">
        <v>3</v>
      </c>
      <c r="C40" s="94">
        <v>0.005154639175257732</v>
      </c>
      <c r="D40" s="89" t="s">
        <v>395</v>
      </c>
      <c r="E40" s="89" t="b">
        <v>0</v>
      </c>
      <c r="F40" s="89" t="b">
        <v>0</v>
      </c>
      <c r="G40" s="89" t="b">
        <v>0</v>
      </c>
    </row>
    <row r="41" spans="1:7" ht="15">
      <c r="A41" s="86" t="s">
        <v>814</v>
      </c>
      <c r="B41" s="89">
        <v>3</v>
      </c>
      <c r="C41" s="94">
        <v>0.005154639175257732</v>
      </c>
      <c r="D41" s="89" t="s">
        <v>395</v>
      </c>
      <c r="E41" s="89" t="b">
        <v>0</v>
      </c>
      <c r="F41" s="89" t="b">
        <v>0</v>
      </c>
      <c r="G41" s="89" t="b">
        <v>0</v>
      </c>
    </row>
    <row r="42" spans="1:7" ht="15">
      <c r="A42" s="86" t="s">
        <v>353</v>
      </c>
      <c r="B42" s="89">
        <v>3</v>
      </c>
      <c r="C42" s="94">
        <v>0.005154639175257732</v>
      </c>
      <c r="D42" s="89" t="s">
        <v>395</v>
      </c>
      <c r="E42" s="89" t="b">
        <v>0</v>
      </c>
      <c r="F42" s="89" t="b">
        <v>0</v>
      </c>
      <c r="G42" s="89" t="b">
        <v>0</v>
      </c>
    </row>
    <row r="43" spans="1:7" ht="15">
      <c r="A43" s="86" t="s">
        <v>815</v>
      </c>
      <c r="B43" s="89">
        <v>3</v>
      </c>
      <c r="C43" s="94">
        <v>0.005154639175257732</v>
      </c>
      <c r="D43" s="89" t="s">
        <v>395</v>
      </c>
      <c r="E43" s="89" t="b">
        <v>0</v>
      </c>
      <c r="F43" s="89" t="b">
        <v>0</v>
      </c>
      <c r="G43" s="89" t="b">
        <v>0</v>
      </c>
    </row>
    <row r="44" spans="1:7" ht="15">
      <c r="A44" s="86" t="s">
        <v>816</v>
      </c>
      <c r="B44" s="89">
        <v>3</v>
      </c>
      <c r="C44" s="94">
        <v>0.005154639175257732</v>
      </c>
      <c r="D44" s="89" t="s">
        <v>395</v>
      </c>
      <c r="E44" s="89" t="b">
        <v>1</v>
      </c>
      <c r="F44" s="89" t="b">
        <v>0</v>
      </c>
      <c r="G44" s="89" t="b">
        <v>0</v>
      </c>
    </row>
    <row r="45" spans="1:7" ht="15">
      <c r="A45" s="86" t="s">
        <v>257</v>
      </c>
      <c r="B45" s="89">
        <v>3</v>
      </c>
      <c r="C45" s="94">
        <v>0.005154639175257732</v>
      </c>
      <c r="D45" s="89" t="s">
        <v>395</v>
      </c>
      <c r="E45" s="89" t="b">
        <v>0</v>
      </c>
      <c r="F45" s="89" t="b">
        <v>0</v>
      </c>
      <c r="G45" s="89" t="b">
        <v>0</v>
      </c>
    </row>
    <row r="46" spans="1:7" ht="15">
      <c r="A46" s="86" t="s">
        <v>580</v>
      </c>
      <c r="B46" s="89">
        <v>3</v>
      </c>
      <c r="C46" s="94">
        <v>0.005154639175257732</v>
      </c>
      <c r="D46" s="89" t="s">
        <v>395</v>
      </c>
      <c r="E46" s="89" t="b">
        <v>0</v>
      </c>
      <c r="F46" s="89" t="b">
        <v>0</v>
      </c>
      <c r="G46" s="89" t="b">
        <v>0</v>
      </c>
    </row>
    <row r="47" spans="1:7" ht="15">
      <c r="A47" s="86" t="s">
        <v>817</v>
      </c>
      <c r="B47" s="89">
        <v>3</v>
      </c>
      <c r="C47" s="94">
        <v>0.005154639175257732</v>
      </c>
      <c r="D47" s="89" t="s">
        <v>395</v>
      </c>
      <c r="E47" s="89" t="b">
        <v>1</v>
      </c>
      <c r="F47" s="89" t="b">
        <v>0</v>
      </c>
      <c r="G47" s="89" t="b">
        <v>0</v>
      </c>
    </row>
    <row r="48" spans="1:7" ht="15">
      <c r="A48" s="86" t="s">
        <v>374</v>
      </c>
      <c r="B48" s="89">
        <v>3</v>
      </c>
      <c r="C48" s="94">
        <v>0.005154639175257732</v>
      </c>
      <c r="D48" s="89" t="s">
        <v>395</v>
      </c>
      <c r="E48" s="89" t="b">
        <v>0</v>
      </c>
      <c r="F48" s="89" t="b">
        <v>0</v>
      </c>
      <c r="G48" s="89" t="b">
        <v>0</v>
      </c>
    </row>
    <row r="49" spans="1:7" ht="15">
      <c r="A49" s="86" t="s">
        <v>307</v>
      </c>
      <c r="B49" s="89">
        <v>3</v>
      </c>
      <c r="C49" s="94">
        <v>0.005154639175257732</v>
      </c>
      <c r="D49" s="89" t="s">
        <v>395</v>
      </c>
      <c r="E49" s="89" t="b">
        <v>0</v>
      </c>
      <c r="F49" s="89" t="b">
        <v>0</v>
      </c>
      <c r="G49" s="89" t="b">
        <v>0</v>
      </c>
    </row>
    <row r="50" spans="1:7" ht="15">
      <c r="A50" s="86" t="s">
        <v>818</v>
      </c>
      <c r="B50" s="89">
        <v>3</v>
      </c>
      <c r="C50" s="94">
        <v>0.005154639175257732</v>
      </c>
      <c r="D50" s="89" t="s">
        <v>395</v>
      </c>
      <c r="E50" s="89" t="b">
        <v>0</v>
      </c>
      <c r="F50" s="89" t="b">
        <v>0</v>
      </c>
      <c r="G50" s="89" t="b">
        <v>0</v>
      </c>
    </row>
    <row r="51" spans="1:7" ht="15">
      <c r="A51" s="86" t="s">
        <v>588</v>
      </c>
      <c r="B51" s="89">
        <v>3</v>
      </c>
      <c r="C51" s="94">
        <v>0.005154639175257732</v>
      </c>
      <c r="D51" s="89" t="s">
        <v>395</v>
      </c>
      <c r="E51" s="89" t="b">
        <v>0</v>
      </c>
      <c r="F51" s="89" t="b">
        <v>0</v>
      </c>
      <c r="G51" s="89" t="b">
        <v>0</v>
      </c>
    </row>
    <row r="52" spans="1:7" ht="15">
      <c r="A52" s="86" t="s">
        <v>819</v>
      </c>
      <c r="B52" s="89">
        <v>3</v>
      </c>
      <c r="C52" s="94">
        <v>0.005154639175257732</v>
      </c>
      <c r="D52" s="89" t="s">
        <v>395</v>
      </c>
      <c r="E52" s="89" t="b">
        <v>0</v>
      </c>
      <c r="F52" s="89" t="b">
        <v>0</v>
      </c>
      <c r="G52" s="89" t="b">
        <v>0</v>
      </c>
    </row>
    <row r="53" spans="1:7" ht="15">
      <c r="A53" s="86" t="s">
        <v>383</v>
      </c>
      <c r="B53" s="89">
        <v>3</v>
      </c>
      <c r="C53" s="94">
        <v>0.005154639175257732</v>
      </c>
      <c r="D53" s="89" t="s">
        <v>395</v>
      </c>
      <c r="E53" s="89" t="b">
        <v>0</v>
      </c>
      <c r="F53" s="89" t="b">
        <v>0</v>
      </c>
      <c r="G53" s="89" t="b">
        <v>0</v>
      </c>
    </row>
    <row r="54" spans="1:7" ht="15">
      <c r="A54" s="86" t="s">
        <v>372</v>
      </c>
      <c r="B54" s="89">
        <v>3</v>
      </c>
      <c r="C54" s="94">
        <v>0.005154639175257732</v>
      </c>
      <c r="D54" s="89" t="s">
        <v>395</v>
      </c>
      <c r="E54" s="89" t="b">
        <v>0</v>
      </c>
      <c r="F54" s="89" t="b">
        <v>0</v>
      </c>
      <c r="G54" s="89" t="b">
        <v>0</v>
      </c>
    </row>
    <row r="55" spans="1:7" ht="15">
      <c r="A55" s="86" t="s">
        <v>820</v>
      </c>
      <c r="B55" s="89">
        <v>3</v>
      </c>
      <c r="C55" s="94">
        <v>0.005154639175257732</v>
      </c>
      <c r="D55" s="89" t="s">
        <v>395</v>
      </c>
      <c r="E55" s="89" t="b">
        <v>0</v>
      </c>
      <c r="F55" s="89" t="b">
        <v>0</v>
      </c>
      <c r="G55" s="89" t="b">
        <v>0</v>
      </c>
    </row>
    <row r="56" spans="1:7" ht="15">
      <c r="A56" s="86" t="s">
        <v>821</v>
      </c>
      <c r="B56" s="89">
        <v>3</v>
      </c>
      <c r="C56" s="94">
        <v>0.005154639175257732</v>
      </c>
      <c r="D56" s="89" t="s">
        <v>395</v>
      </c>
      <c r="E56" s="89" t="b">
        <v>0</v>
      </c>
      <c r="F56" s="89" t="b">
        <v>0</v>
      </c>
      <c r="G56" s="89" t="b">
        <v>0</v>
      </c>
    </row>
    <row r="57" spans="1:7" ht="15">
      <c r="A57" s="86" t="s">
        <v>358</v>
      </c>
      <c r="B57" s="89">
        <v>3</v>
      </c>
      <c r="C57" s="94">
        <v>0.005154639175257732</v>
      </c>
      <c r="D57" s="89" t="s">
        <v>395</v>
      </c>
      <c r="E57" s="89" t="b">
        <v>0</v>
      </c>
      <c r="F57" s="89" t="b">
        <v>0</v>
      </c>
      <c r="G57" s="89" t="b">
        <v>0</v>
      </c>
    </row>
    <row r="58" spans="1:7" ht="15">
      <c r="A58" s="86" t="s">
        <v>822</v>
      </c>
      <c r="B58" s="89">
        <v>3</v>
      </c>
      <c r="C58" s="94">
        <v>0.005154639175257732</v>
      </c>
      <c r="D58" s="89" t="s">
        <v>395</v>
      </c>
      <c r="E58" s="89" t="b">
        <v>0</v>
      </c>
      <c r="F58" s="89" t="b">
        <v>0</v>
      </c>
      <c r="G58" s="89" t="b">
        <v>0</v>
      </c>
    </row>
    <row r="59" spans="1:7" ht="15">
      <c r="A59" s="86" t="s">
        <v>386</v>
      </c>
      <c r="B59" s="89">
        <v>3</v>
      </c>
      <c r="C59" s="94">
        <v>0.005154639175257732</v>
      </c>
      <c r="D59" s="89" t="s">
        <v>395</v>
      </c>
      <c r="E59" s="89" t="b">
        <v>0</v>
      </c>
      <c r="F59" s="89" t="b">
        <v>0</v>
      </c>
      <c r="G59" s="89" t="b">
        <v>0</v>
      </c>
    </row>
    <row r="60" spans="1:7" ht="15">
      <c r="A60" s="86" t="s">
        <v>365</v>
      </c>
      <c r="B60" s="89">
        <v>3</v>
      </c>
      <c r="C60" s="94">
        <v>0.005154639175257732</v>
      </c>
      <c r="D60" s="89" t="s">
        <v>395</v>
      </c>
      <c r="E60" s="89" t="b">
        <v>0</v>
      </c>
      <c r="F60" s="89" t="b">
        <v>0</v>
      </c>
      <c r="G60" s="89" t="b">
        <v>0</v>
      </c>
    </row>
    <row r="61" spans="1:7" ht="15">
      <c r="A61" s="86" t="s">
        <v>823</v>
      </c>
      <c r="B61" s="89">
        <v>3</v>
      </c>
      <c r="C61" s="94">
        <v>0.005154639175257732</v>
      </c>
      <c r="D61" s="89" t="s">
        <v>395</v>
      </c>
      <c r="E61" s="89" t="b">
        <v>0</v>
      </c>
      <c r="F61" s="89" t="b">
        <v>0</v>
      </c>
      <c r="G61" s="89" t="b">
        <v>0</v>
      </c>
    </row>
    <row r="62" spans="1:7" ht="15">
      <c r="A62" s="86" t="s">
        <v>824</v>
      </c>
      <c r="B62" s="89">
        <v>3</v>
      </c>
      <c r="C62" s="94">
        <v>0.005154639175257732</v>
      </c>
      <c r="D62" s="89" t="s">
        <v>395</v>
      </c>
      <c r="E62" s="89" t="b">
        <v>0</v>
      </c>
      <c r="F62" s="89" t="b">
        <v>0</v>
      </c>
      <c r="G62" s="89" t="b">
        <v>0</v>
      </c>
    </row>
    <row r="63" spans="1:7" ht="15">
      <c r="A63" s="86" t="s">
        <v>376</v>
      </c>
      <c r="B63" s="89">
        <v>2</v>
      </c>
      <c r="C63" s="94">
        <v>0.004041550718404403</v>
      </c>
      <c r="D63" s="89" t="s">
        <v>395</v>
      </c>
      <c r="E63" s="89" t="b">
        <v>0</v>
      </c>
      <c r="F63" s="89" t="b">
        <v>0</v>
      </c>
      <c r="G63" s="89" t="b">
        <v>0</v>
      </c>
    </row>
    <row r="64" spans="1:7" ht="15">
      <c r="A64" s="86" t="s">
        <v>825</v>
      </c>
      <c r="B64" s="89">
        <v>2</v>
      </c>
      <c r="C64" s="94">
        <v>0.004041550718404403</v>
      </c>
      <c r="D64" s="89" t="s">
        <v>395</v>
      </c>
      <c r="E64" s="89" t="b">
        <v>0</v>
      </c>
      <c r="F64" s="89" t="b">
        <v>0</v>
      </c>
      <c r="G64" s="89" t="b">
        <v>0</v>
      </c>
    </row>
    <row r="65" spans="1:7" ht="15">
      <c r="A65" s="86" t="s">
        <v>826</v>
      </c>
      <c r="B65" s="89">
        <v>2</v>
      </c>
      <c r="C65" s="94">
        <v>0.004041550718404403</v>
      </c>
      <c r="D65" s="89" t="s">
        <v>395</v>
      </c>
      <c r="E65" s="89" t="b">
        <v>0</v>
      </c>
      <c r="F65" s="89" t="b">
        <v>0</v>
      </c>
      <c r="G65" s="89" t="b">
        <v>0</v>
      </c>
    </row>
    <row r="66" spans="1:7" ht="15">
      <c r="A66" s="86" t="s">
        <v>827</v>
      </c>
      <c r="B66" s="89">
        <v>2</v>
      </c>
      <c r="C66" s="94">
        <v>0.004041550718404403</v>
      </c>
      <c r="D66" s="89" t="s">
        <v>395</v>
      </c>
      <c r="E66" s="89" t="b">
        <v>0</v>
      </c>
      <c r="F66" s="89" t="b">
        <v>0</v>
      </c>
      <c r="G66" s="89" t="b">
        <v>0</v>
      </c>
    </row>
    <row r="67" spans="1:7" ht="15">
      <c r="A67" s="86" t="s">
        <v>828</v>
      </c>
      <c r="B67" s="89">
        <v>2</v>
      </c>
      <c r="C67" s="94">
        <v>0.004041550718404403</v>
      </c>
      <c r="D67" s="89" t="s">
        <v>395</v>
      </c>
      <c r="E67" s="89" t="b">
        <v>0</v>
      </c>
      <c r="F67" s="89" t="b">
        <v>0</v>
      </c>
      <c r="G67" s="89" t="b">
        <v>0</v>
      </c>
    </row>
    <row r="68" spans="1:7" ht="15">
      <c r="A68" s="86" t="s">
        <v>829</v>
      </c>
      <c r="B68" s="89">
        <v>2</v>
      </c>
      <c r="C68" s="94">
        <v>0.004041550718404403</v>
      </c>
      <c r="D68" s="89" t="s">
        <v>395</v>
      </c>
      <c r="E68" s="89" t="b">
        <v>0</v>
      </c>
      <c r="F68" s="89" t="b">
        <v>0</v>
      </c>
      <c r="G68" s="89" t="b">
        <v>0</v>
      </c>
    </row>
    <row r="69" spans="1:7" ht="15">
      <c r="A69" s="86" t="s">
        <v>830</v>
      </c>
      <c r="B69" s="89">
        <v>2</v>
      </c>
      <c r="C69" s="94">
        <v>0.004041550718404403</v>
      </c>
      <c r="D69" s="89" t="s">
        <v>395</v>
      </c>
      <c r="E69" s="89" t="b">
        <v>0</v>
      </c>
      <c r="F69" s="89" t="b">
        <v>0</v>
      </c>
      <c r="G69" s="89" t="b">
        <v>0</v>
      </c>
    </row>
    <row r="70" spans="1:7" ht="15">
      <c r="A70" s="86" t="s">
        <v>831</v>
      </c>
      <c r="B70" s="89">
        <v>2</v>
      </c>
      <c r="C70" s="94">
        <v>0.004041550718404403</v>
      </c>
      <c r="D70" s="89" t="s">
        <v>395</v>
      </c>
      <c r="E70" s="89" t="b">
        <v>0</v>
      </c>
      <c r="F70" s="89" t="b">
        <v>0</v>
      </c>
      <c r="G70" s="89" t="b">
        <v>0</v>
      </c>
    </row>
    <row r="71" spans="1:7" ht="15">
      <c r="A71" s="86" t="s">
        <v>832</v>
      </c>
      <c r="B71" s="89">
        <v>2</v>
      </c>
      <c r="C71" s="94">
        <v>0.004041550718404403</v>
      </c>
      <c r="D71" s="89" t="s">
        <v>395</v>
      </c>
      <c r="E71" s="89" t="b">
        <v>0</v>
      </c>
      <c r="F71" s="89" t="b">
        <v>0</v>
      </c>
      <c r="G71" s="89" t="b">
        <v>0</v>
      </c>
    </row>
    <row r="72" spans="1:7" ht="15">
      <c r="A72" s="86" t="s">
        <v>368</v>
      </c>
      <c r="B72" s="89">
        <v>2</v>
      </c>
      <c r="C72" s="94">
        <v>0.004041550718404403</v>
      </c>
      <c r="D72" s="89" t="s">
        <v>395</v>
      </c>
      <c r="E72" s="89" t="b">
        <v>0</v>
      </c>
      <c r="F72" s="89" t="b">
        <v>0</v>
      </c>
      <c r="G72" s="89" t="b">
        <v>0</v>
      </c>
    </row>
    <row r="73" spans="1:7" ht="15">
      <c r="A73" s="86" t="s">
        <v>361</v>
      </c>
      <c r="B73" s="89">
        <v>2</v>
      </c>
      <c r="C73" s="94">
        <v>0.004041550718404403</v>
      </c>
      <c r="D73" s="89" t="s">
        <v>395</v>
      </c>
      <c r="E73" s="89" t="b">
        <v>1</v>
      </c>
      <c r="F73" s="89" t="b">
        <v>0</v>
      </c>
      <c r="G73" s="89" t="b">
        <v>0</v>
      </c>
    </row>
    <row r="74" spans="1:7" ht="15">
      <c r="A74" s="86" t="s">
        <v>833</v>
      </c>
      <c r="B74" s="89">
        <v>2</v>
      </c>
      <c r="C74" s="94">
        <v>0.004041550718404403</v>
      </c>
      <c r="D74" s="89" t="s">
        <v>395</v>
      </c>
      <c r="E74" s="89" t="b">
        <v>0</v>
      </c>
      <c r="F74" s="89" t="b">
        <v>0</v>
      </c>
      <c r="G74" s="89" t="b">
        <v>0</v>
      </c>
    </row>
    <row r="75" spans="1:7" ht="15">
      <c r="A75" s="86" t="s">
        <v>834</v>
      </c>
      <c r="B75" s="89">
        <v>2</v>
      </c>
      <c r="C75" s="94">
        <v>0.004041550718404403</v>
      </c>
      <c r="D75" s="89" t="s">
        <v>395</v>
      </c>
      <c r="E75" s="89" t="b">
        <v>0</v>
      </c>
      <c r="F75" s="89" t="b">
        <v>0</v>
      </c>
      <c r="G75" s="89" t="b">
        <v>0</v>
      </c>
    </row>
    <row r="76" spans="1:7" ht="15">
      <c r="A76" s="86" t="s">
        <v>357</v>
      </c>
      <c r="B76" s="89">
        <v>2</v>
      </c>
      <c r="C76" s="94">
        <v>0.004041550718404403</v>
      </c>
      <c r="D76" s="89" t="s">
        <v>395</v>
      </c>
      <c r="E76" s="89" t="b">
        <v>0</v>
      </c>
      <c r="F76" s="89" t="b">
        <v>0</v>
      </c>
      <c r="G76" s="89" t="b">
        <v>0</v>
      </c>
    </row>
    <row r="77" spans="1:7" ht="15">
      <c r="A77" s="86" t="s">
        <v>835</v>
      </c>
      <c r="B77" s="89">
        <v>2</v>
      </c>
      <c r="C77" s="94">
        <v>0.004041550718404403</v>
      </c>
      <c r="D77" s="89" t="s">
        <v>395</v>
      </c>
      <c r="E77" s="89" t="b">
        <v>0</v>
      </c>
      <c r="F77" s="89" t="b">
        <v>0</v>
      </c>
      <c r="G77" s="89" t="b">
        <v>0</v>
      </c>
    </row>
    <row r="78" spans="1:7" ht="15">
      <c r="A78" s="86" t="s">
        <v>836</v>
      </c>
      <c r="B78" s="89">
        <v>2</v>
      </c>
      <c r="C78" s="94">
        <v>0.004041550718404403</v>
      </c>
      <c r="D78" s="89" t="s">
        <v>395</v>
      </c>
      <c r="E78" s="89" t="b">
        <v>0</v>
      </c>
      <c r="F78" s="89" t="b">
        <v>0</v>
      </c>
      <c r="G78" s="89" t="b">
        <v>0</v>
      </c>
    </row>
    <row r="79" spans="1:7" ht="15">
      <c r="A79" s="86" t="s">
        <v>309</v>
      </c>
      <c r="B79" s="89">
        <v>2</v>
      </c>
      <c r="C79" s="94">
        <v>0.004041550718404403</v>
      </c>
      <c r="D79" s="89" t="s">
        <v>395</v>
      </c>
      <c r="E79" s="89" t="b">
        <v>0</v>
      </c>
      <c r="F79" s="89" t="b">
        <v>0</v>
      </c>
      <c r="G79" s="89" t="b">
        <v>0</v>
      </c>
    </row>
    <row r="80" spans="1:7" ht="15">
      <c r="A80" s="86" t="s">
        <v>837</v>
      </c>
      <c r="B80" s="89">
        <v>2</v>
      </c>
      <c r="C80" s="94">
        <v>0.004041550718404403</v>
      </c>
      <c r="D80" s="89" t="s">
        <v>395</v>
      </c>
      <c r="E80" s="89" t="b">
        <v>0</v>
      </c>
      <c r="F80" s="89" t="b">
        <v>0</v>
      </c>
      <c r="G80" s="89" t="b">
        <v>0</v>
      </c>
    </row>
    <row r="81" spans="1:7" ht="15">
      <c r="A81" s="86" t="s">
        <v>838</v>
      </c>
      <c r="B81" s="89">
        <v>2</v>
      </c>
      <c r="C81" s="94">
        <v>0.004041550718404403</v>
      </c>
      <c r="D81" s="89" t="s">
        <v>395</v>
      </c>
      <c r="E81" s="89" t="b">
        <v>0</v>
      </c>
      <c r="F81" s="89" t="b">
        <v>0</v>
      </c>
      <c r="G81" s="89" t="b">
        <v>0</v>
      </c>
    </row>
    <row r="82" spans="1:7" ht="15">
      <c r="A82" s="86" t="s">
        <v>839</v>
      </c>
      <c r="B82" s="89">
        <v>2</v>
      </c>
      <c r="C82" s="94">
        <v>0.004041550718404403</v>
      </c>
      <c r="D82" s="89" t="s">
        <v>395</v>
      </c>
      <c r="E82" s="89" t="b">
        <v>0</v>
      </c>
      <c r="F82" s="89" t="b">
        <v>0</v>
      </c>
      <c r="G82" s="89" t="b">
        <v>0</v>
      </c>
    </row>
    <row r="83" spans="1:7" ht="15">
      <c r="A83" s="86" t="s">
        <v>840</v>
      </c>
      <c r="B83" s="89">
        <v>2</v>
      </c>
      <c r="C83" s="94">
        <v>0.004041550718404403</v>
      </c>
      <c r="D83" s="89" t="s">
        <v>395</v>
      </c>
      <c r="E83" s="89" t="b">
        <v>0</v>
      </c>
      <c r="F83" s="89" t="b">
        <v>0</v>
      </c>
      <c r="G83" s="89" t="b">
        <v>0</v>
      </c>
    </row>
    <row r="84" spans="1:7" ht="15">
      <c r="A84" s="86" t="s">
        <v>841</v>
      </c>
      <c r="B84" s="89">
        <v>2</v>
      </c>
      <c r="C84" s="94">
        <v>0.004041550718404403</v>
      </c>
      <c r="D84" s="89" t="s">
        <v>395</v>
      </c>
      <c r="E84" s="89" t="b">
        <v>0</v>
      </c>
      <c r="F84" s="89" t="b">
        <v>0</v>
      </c>
      <c r="G84" s="89" t="b">
        <v>0</v>
      </c>
    </row>
    <row r="85" spans="1:7" ht="15">
      <c r="A85" s="86" t="s">
        <v>842</v>
      </c>
      <c r="B85" s="89">
        <v>2</v>
      </c>
      <c r="C85" s="94">
        <v>0.004041550718404403</v>
      </c>
      <c r="D85" s="89" t="s">
        <v>395</v>
      </c>
      <c r="E85" s="89" t="b">
        <v>0</v>
      </c>
      <c r="F85" s="89" t="b">
        <v>0</v>
      </c>
      <c r="G85" s="89" t="b">
        <v>0</v>
      </c>
    </row>
    <row r="86" spans="1:7" ht="15">
      <c r="A86" s="86" t="s">
        <v>597</v>
      </c>
      <c r="B86" s="89">
        <v>2</v>
      </c>
      <c r="C86" s="94">
        <v>0.004041550718404403</v>
      </c>
      <c r="D86" s="89" t="s">
        <v>395</v>
      </c>
      <c r="E86" s="89" t="b">
        <v>0</v>
      </c>
      <c r="F86" s="89" t="b">
        <v>0</v>
      </c>
      <c r="G86" s="89" t="b">
        <v>0</v>
      </c>
    </row>
    <row r="87" spans="1:7" ht="15">
      <c r="A87" s="86" t="s">
        <v>381</v>
      </c>
      <c r="B87" s="89">
        <v>2</v>
      </c>
      <c r="C87" s="94">
        <v>0.004041550718404403</v>
      </c>
      <c r="D87" s="89" t="s">
        <v>395</v>
      </c>
      <c r="E87" s="89" t="b">
        <v>0</v>
      </c>
      <c r="F87" s="89" t="b">
        <v>0</v>
      </c>
      <c r="G87" s="89" t="b">
        <v>0</v>
      </c>
    </row>
    <row r="88" spans="1:7" ht="15">
      <c r="A88" s="86" t="s">
        <v>596</v>
      </c>
      <c r="B88" s="89">
        <v>2</v>
      </c>
      <c r="C88" s="94">
        <v>0.004041550718404403</v>
      </c>
      <c r="D88" s="89" t="s">
        <v>395</v>
      </c>
      <c r="E88" s="89" t="b">
        <v>0</v>
      </c>
      <c r="F88" s="89" t="b">
        <v>0</v>
      </c>
      <c r="G88" s="89" t="b">
        <v>0</v>
      </c>
    </row>
    <row r="89" spans="1:7" ht="15">
      <c r="A89" s="86" t="s">
        <v>843</v>
      </c>
      <c r="B89" s="89">
        <v>2</v>
      </c>
      <c r="C89" s="94">
        <v>0.004041550718404403</v>
      </c>
      <c r="D89" s="89" t="s">
        <v>395</v>
      </c>
      <c r="E89" s="89" t="b">
        <v>0</v>
      </c>
      <c r="F89" s="89" t="b">
        <v>0</v>
      </c>
      <c r="G89" s="89" t="b">
        <v>0</v>
      </c>
    </row>
    <row r="90" spans="1:7" ht="15">
      <c r="A90" s="86" t="s">
        <v>359</v>
      </c>
      <c r="B90" s="89">
        <v>2</v>
      </c>
      <c r="C90" s="94">
        <v>0.004041550718404403</v>
      </c>
      <c r="D90" s="89" t="s">
        <v>395</v>
      </c>
      <c r="E90" s="89" t="b">
        <v>0</v>
      </c>
      <c r="F90" s="89" t="b">
        <v>0</v>
      </c>
      <c r="G90" s="89" t="b">
        <v>0</v>
      </c>
    </row>
    <row r="91" spans="1:7" ht="15">
      <c r="A91" s="86" t="s">
        <v>349</v>
      </c>
      <c r="B91" s="89">
        <v>2</v>
      </c>
      <c r="C91" s="94">
        <v>0.004041550718404403</v>
      </c>
      <c r="D91" s="89" t="s">
        <v>395</v>
      </c>
      <c r="E91" s="89" t="b">
        <v>0</v>
      </c>
      <c r="F91" s="89" t="b">
        <v>0</v>
      </c>
      <c r="G91" s="89" t="b">
        <v>0</v>
      </c>
    </row>
    <row r="92" spans="1:7" ht="15">
      <c r="A92" s="86" t="s">
        <v>373</v>
      </c>
      <c r="B92" s="89">
        <v>2</v>
      </c>
      <c r="C92" s="94">
        <v>0.004041550718404403</v>
      </c>
      <c r="D92" s="89" t="s">
        <v>395</v>
      </c>
      <c r="E92" s="89" t="b">
        <v>0</v>
      </c>
      <c r="F92" s="89" t="b">
        <v>0</v>
      </c>
      <c r="G92" s="89" t="b">
        <v>0</v>
      </c>
    </row>
    <row r="93" spans="1:7" ht="15">
      <c r="A93" s="86" t="s">
        <v>844</v>
      </c>
      <c r="B93" s="89">
        <v>2</v>
      </c>
      <c r="C93" s="94">
        <v>0.004041550718404403</v>
      </c>
      <c r="D93" s="89" t="s">
        <v>395</v>
      </c>
      <c r="E93" s="89" t="b">
        <v>0</v>
      </c>
      <c r="F93" s="89" t="b">
        <v>0</v>
      </c>
      <c r="G93" s="89" t="b">
        <v>0</v>
      </c>
    </row>
    <row r="94" spans="1:7" ht="15">
      <c r="A94" s="86" t="s">
        <v>845</v>
      </c>
      <c r="B94" s="89">
        <v>2</v>
      </c>
      <c r="C94" s="94">
        <v>0.004041550718404403</v>
      </c>
      <c r="D94" s="89" t="s">
        <v>395</v>
      </c>
      <c r="E94" s="89" t="b">
        <v>0</v>
      </c>
      <c r="F94" s="89" t="b">
        <v>0</v>
      </c>
      <c r="G94" s="89" t="b">
        <v>0</v>
      </c>
    </row>
    <row r="95" spans="1:7" ht="15">
      <c r="A95" s="86" t="s">
        <v>351</v>
      </c>
      <c r="B95" s="89">
        <v>2</v>
      </c>
      <c r="C95" s="94">
        <v>0.004041550718404403</v>
      </c>
      <c r="D95" s="89" t="s">
        <v>395</v>
      </c>
      <c r="E95" s="89" t="b">
        <v>0</v>
      </c>
      <c r="F95" s="89" t="b">
        <v>0</v>
      </c>
      <c r="G95" s="89" t="b">
        <v>0</v>
      </c>
    </row>
    <row r="96" spans="1:7" ht="15">
      <c r="A96" s="86" t="s">
        <v>846</v>
      </c>
      <c r="B96" s="89">
        <v>2</v>
      </c>
      <c r="C96" s="94">
        <v>0.004041550718404403</v>
      </c>
      <c r="D96" s="89" t="s">
        <v>395</v>
      </c>
      <c r="E96" s="89" t="b">
        <v>0</v>
      </c>
      <c r="F96" s="89" t="b">
        <v>0</v>
      </c>
      <c r="G96" s="89" t="b">
        <v>0</v>
      </c>
    </row>
    <row r="97" spans="1:7" ht="15">
      <c r="A97" s="86" t="s">
        <v>847</v>
      </c>
      <c r="B97" s="89">
        <v>2</v>
      </c>
      <c r="C97" s="94">
        <v>0.004041550718404403</v>
      </c>
      <c r="D97" s="89" t="s">
        <v>395</v>
      </c>
      <c r="E97" s="89" t="b">
        <v>0</v>
      </c>
      <c r="F97" s="89" t="b">
        <v>1</v>
      </c>
      <c r="G97" s="89" t="b">
        <v>0</v>
      </c>
    </row>
    <row r="98" spans="1:7" ht="15">
      <c r="A98" s="86" t="s">
        <v>848</v>
      </c>
      <c r="B98" s="89">
        <v>2</v>
      </c>
      <c r="C98" s="94">
        <v>0.004041550718404403</v>
      </c>
      <c r="D98" s="89" t="s">
        <v>395</v>
      </c>
      <c r="E98" s="89" t="b">
        <v>0</v>
      </c>
      <c r="F98" s="89" t="b">
        <v>0</v>
      </c>
      <c r="G98" s="89" t="b">
        <v>0</v>
      </c>
    </row>
    <row r="99" spans="1:7" ht="15">
      <c r="A99" s="86" t="s">
        <v>849</v>
      </c>
      <c r="B99" s="89">
        <v>2</v>
      </c>
      <c r="C99" s="94">
        <v>0.004041550718404403</v>
      </c>
      <c r="D99" s="89" t="s">
        <v>395</v>
      </c>
      <c r="E99" s="89" t="b">
        <v>0</v>
      </c>
      <c r="F99" s="89" t="b">
        <v>0</v>
      </c>
      <c r="G99" s="89" t="b">
        <v>0</v>
      </c>
    </row>
    <row r="100" spans="1:7" ht="15">
      <c r="A100" s="86" t="s">
        <v>364</v>
      </c>
      <c r="B100" s="89">
        <v>2</v>
      </c>
      <c r="C100" s="94">
        <v>0.004041550718404403</v>
      </c>
      <c r="D100" s="89" t="s">
        <v>395</v>
      </c>
      <c r="E100" s="89" t="b">
        <v>1</v>
      </c>
      <c r="F100" s="89" t="b">
        <v>0</v>
      </c>
      <c r="G100" s="89" t="b">
        <v>0</v>
      </c>
    </row>
    <row r="101" spans="1:7" ht="15">
      <c r="A101" s="86" t="s">
        <v>379</v>
      </c>
      <c r="B101" s="89">
        <v>2</v>
      </c>
      <c r="C101" s="94">
        <v>0.004041550718404403</v>
      </c>
      <c r="D101" s="89" t="s">
        <v>395</v>
      </c>
      <c r="E101" s="89" t="b">
        <v>0</v>
      </c>
      <c r="F101" s="89" t="b">
        <v>0</v>
      </c>
      <c r="G101" s="89" t="b">
        <v>0</v>
      </c>
    </row>
    <row r="102" spans="1:7" ht="15">
      <c r="A102" s="86" t="s">
        <v>366</v>
      </c>
      <c r="B102" s="89">
        <v>2</v>
      </c>
      <c r="C102" s="94">
        <v>0.004041550718404403</v>
      </c>
      <c r="D102" s="89" t="s">
        <v>395</v>
      </c>
      <c r="E102" s="89" t="b">
        <v>0</v>
      </c>
      <c r="F102" s="89" t="b">
        <v>0</v>
      </c>
      <c r="G102" s="89" t="b">
        <v>0</v>
      </c>
    </row>
    <row r="103" spans="1:7" ht="15">
      <c r="A103" s="86" t="s">
        <v>382</v>
      </c>
      <c r="B103" s="89">
        <v>2</v>
      </c>
      <c r="C103" s="94">
        <v>0.004041550718404403</v>
      </c>
      <c r="D103" s="89" t="s">
        <v>395</v>
      </c>
      <c r="E103" s="89" t="b">
        <v>0</v>
      </c>
      <c r="F103" s="89" t="b">
        <v>0</v>
      </c>
      <c r="G103" s="89" t="b">
        <v>0</v>
      </c>
    </row>
    <row r="104" spans="1:7" ht="15">
      <c r="A104" s="86" t="s">
        <v>850</v>
      </c>
      <c r="B104" s="89">
        <v>2</v>
      </c>
      <c r="C104" s="94">
        <v>0.004041550718404403</v>
      </c>
      <c r="D104" s="89" t="s">
        <v>395</v>
      </c>
      <c r="E104" s="89" t="b">
        <v>0</v>
      </c>
      <c r="F104" s="89" t="b">
        <v>0</v>
      </c>
      <c r="G104" s="89" t="b">
        <v>0</v>
      </c>
    </row>
    <row r="105" spans="1:7" ht="15">
      <c r="A105" s="86" t="s">
        <v>851</v>
      </c>
      <c r="B105" s="89">
        <v>2</v>
      </c>
      <c r="C105" s="94">
        <v>0.004041550718404403</v>
      </c>
      <c r="D105" s="89" t="s">
        <v>395</v>
      </c>
      <c r="E105" s="89" t="b">
        <v>0</v>
      </c>
      <c r="F105" s="89" t="b">
        <v>0</v>
      </c>
      <c r="G105" s="89" t="b">
        <v>0</v>
      </c>
    </row>
    <row r="106" spans="1:7" ht="15">
      <c r="A106" s="86" t="s">
        <v>346</v>
      </c>
      <c r="B106" s="89">
        <v>2</v>
      </c>
      <c r="C106" s="94">
        <v>0.004041550718404403</v>
      </c>
      <c r="D106" s="89" t="s">
        <v>395</v>
      </c>
      <c r="E106" s="89" t="b">
        <v>0</v>
      </c>
      <c r="F106" s="89" t="b">
        <v>0</v>
      </c>
      <c r="G106" s="89" t="b">
        <v>0</v>
      </c>
    </row>
    <row r="107" spans="1:7" ht="15">
      <c r="A107" s="86" t="s">
        <v>852</v>
      </c>
      <c r="B107" s="89">
        <v>2</v>
      </c>
      <c r="C107" s="94">
        <v>0.0050760180574558845</v>
      </c>
      <c r="D107" s="89" t="s">
        <v>395</v>
      </c>
      <c r="E107" s="89" t="b">
        <v>0</v>
      </c>
      <c r="F107" s="89" t="b">
        <v>0</v>
      </c>
      <c r="G107" s="89" t="b">
        <v>0</v>
      </c>
    </row>
    <row r="108" spans="1:7" ht="15">
      <c r="A108" s="86" t="s">
        <v>377</v>
      </c>
      <c r="B108" s="89">
        <v>2</v>
      </c>
      <c r="C108" s="94">
        <v>0.004041550718404403</v>
      </c>
      <c r="D108" s="89" t="s">
        <v>395</v>
      </c>
      <c r="E108" s="89" t="b">
        <v>0</v>
      </c>
      <c r="F108" s="89" t="b">
        <v>0</v>
      </c>
      <c r="G108" s="89" t="b">
        <v>0</v>
      </c>
    </row>
    <row r="109" spans="1:7" ht="15">
      <c r="A109" s="86" t="s">
        <v>385</v>
      </c>
      <c r="B109" s="89">
        <v>2</v>
      </c>
      <c r="C109" s="94">
        <v>0.004041550718404403</v>
      </c>
      <c r="D109" s="89" t="s">
        <v>395</v>
      </c>
      <c r="E109" s="89" t="b">
        <v>0</v>
      </c>
      <c r="F109" s="89" t="b">
        <v>0</v>
      </c>
      <c r="G109" s="89" t="b">
        <v>0</v>
      </c>
    </row>
    <row r="110" spans="1:7" ht="15">
      <c r="A110" s="86" t="s">
        <v>853</v>
      </c>
      <c r="B110" s="89">
        <v>2</v>
      </c>
      <c r="C110" s="94">
        <v>0.004041550718404403</v>
      </c>
      <c r="D110" s="89" t="s">
        <v>395</v>
      </c>
      <c r="E110" s="89" t="b">
        <v>0</v>
      </c>
      <c r="F110" s="89" t="b">
        <v>0</v>
      </c>
      <c r="G110" s="89" t="b">
        <v>0</v>
      </c>
    </row>
    <row r="111" spans="1:7" ht="15">
      <c r="A111" s="86" t="s">
        <v>854</v>
      </c>
      <c r="B111" s="89">
        <v>2</v>
      </c>
      <c r="C111" s="94">
        <v>0.004041550718404403</v>
      </c>
      <c r="D111" s="89" t="s">
        <v>395</v>
      </c>
      <c r="E111" s="89" t="b">
        <v>0</v>
      </c>
      <c r="F111" s="89" t="b">
        <v>0</v>
      </c>
      <c r="G111" s="89" t="b">
        <v>0</v>
      </c>
    </row>
    <row r="112" spans="1:7" ht="15">
      <c r="A112" s="86" t="s">
        <v>387</v>
      </c>
      <c r="B112" s="89">
        <v>2</v>
      </c>
      <c r="C112" s="94">
        <v>0.004041550718404403</v>
      </c>
      <c r="D112" s="89" t="s">
        <v>395</v>
      </c>
      <c r="E112" s="89" t="b">
        <v>0</v>
      </c>
      <c r="F112" s="89" t="b">
        <v>0</v>
      </c>
      <c r="G112" s="89" t="b">
        <v>0</v>
      </c>
    </row>
    <row r="113" spans="1:7" ht="15">
      <c r="A113" s="86" t="s">
        <v>855</v>
      </c>
      <c r="B113" s="89">
        <v>2</v>
      </c>
      <c r="C113" s="94">
        <v>0.004041550718404403</v>
      </c>
      <c r="D113" s="89" t="s">
        <v>395</v>
      </c>
      <c r="E113" s="89" t="b">
        <v>0</v>
      </c>
      <c r="F113" s="89" t="b">
        <v>0</v>
      </c>
      <c r="G113" s="89" t="b">
        <v>0</v>
      </c>
    </row>
    <row r="114" spans="1:7" ht="15">
      <c r="A114" s="86" t="s">
        <v>371</v>
      </c>
      <c r="B114" s="89">
        <v>2</v>
      </c>
      <c r="C114" s="94">
        <v>0.004041550718404403</v>
      </c>
      <c r="D114" s="89" t="s">
        <v>395</v>
      </c>
      <c r="E114" s="89" t="b">
        <v>0</v>
      </c>
      <c r="F114" s="89" t="b">
        <v>0</v>
      </c>
      <c r="G114" s="89" t="b">
        <v>0</v>
      </c>
    </row>
    <row r="115" spans="1:7" ht="15">
      <c r="A115" s="86" t="s">
        <v>593</v>
      </c>
      <c r="B115" s="89">
        <v>2</v>
      </c>
      <c r="C115" s="94">
        <v>0.004041550718404403</v>
      </c>
      <c r="D115" s="89" t="s">
        <v>395</v>
      </c>
      <c r="E115" s="89" t="b">
        <v>0</v>
      </c>
      <c r="F115" s="89" t="b">
        <v>0</v>
      </c>
      <c r="G115" s="89" t="b">
        <v>0</v>
      </c>
    </row>
    <row r="116" spans="1:7" ht="15">
      <c r="A116" s="86" t="s">
        <v>592</v>
      </c>
      <c r="B116" s="89">
        <v>2</v>
      </c>
      <c r="C116" s="94">
        <v>0.004041550718404403</v>
      </c>
      <c r="D116" s="89" t="s">
        <v>395</v>
      </c>
      <c r="E116" s="89" t="b">
        <v>0</v>
      </c>
      <c r="F116" s="89" t="b">
        <v>0</v>
      </c>
      <c r="G116" s="89" t="b">
        <v>0</v>
      </c>
    </row>
    <row r="117" spans="1:7" ht="15">
      <c r="A117" s="86" t="s">
        <v>347</v>
      </c>
      <c r="B117" s="89">
        <v>2</v>
      </c>
      <c r="C117" s="94">
        <v>0.004041550718404403</v>
      </c>
      <c r="D117" s="89" t="s">
        <v>395</v>
      </c>
      <c r="E117" s="89" t="b">
        <v>0</v>
      </c>
      <c r="F117" s="89" t="b">
        <v>0</v>
      </c>
      <c r="G117" s="89" t="b">
        <v>0</v>
      </c>
    </row>
    <row r="118" spans="1:7" ht="15">
      <c r="A118" s="86" t="s">
        <v>856</v>
      </c>
      <c r="B118" s="89">
        <v>2</v>
      </c>
      <c r="C118" s="94">
        <v>0.004041550718404403</v>
      </c>
      <c r="D118" s="89" t="s">
        <v>395</v>
      </c>
      <c r="E118" s="89" t="b">
        <v>0</v>
      </c>
      <c r="F118" s="89" t="b">
        <v>0</v>
      </c>
      <c r="G118" s="89" t="b">
        <v>0</v>
      </c>
    </row>
    <row r="119" spans="1:7" ht="15">
      <c r="A119" s="86" t="s">
        <v>389</v>
      </c>
      <c r="B119" s="89">
        <v>2</v>
      </c>
      <c r="C119" s="94">
        <v>0.004041550718404403</v>
      </c>
      <c r="D119" s="89" t="s">
        <v>395</v>
      </c>
      <c r="E119" s="89" t="b">
        <v>0</v>
      </c>
      <c r="F119" s="89" t="b">
        <v>0</v>
      </c>
      <c r="G119" s="89" t="b">
        <v>0</v>
      </c>
    </row>
    <row r="120" spans="1:7" ht="15">
      <c r="A120" s="86" t="s">
        <v>857</v>
      </c>
      <c r="B120" s="89">
        <v>2</v>
      </c>
      <c r="C120" s="94">
        <v>0.004041550718404403</v>
      </c>
      <c r="D120" s="89" t="s">
        <v>395</v>
      </c>
      <c r="E120" s="89" t="b">
        <v>0</v>
      </c>
      <c r="F120" s="89" t="b">
        <v>0</v>
      </c>
      <c r="G120" s="89" t="b">
        <v>0</v>
      </c>
    </row>
    <row r="121" spans="1:7" ht="15">
      <c r="A121" s="86" t="s">
        <v>858</v>
      </c>
      <c r="B121" s="89">
        <v>2</v>
      </c>
      <c r="C121" s="94">
        <v>0.004041550718404403</v>
      </c>
      <c r="D121" s="89" t="s">
        <v>395</v>
      </c>
      <c r="E121" s="89" t="b">
        <v>1</v>
      </c>
      <c r="F121" s="89" t="b">
        <v>0</v>
      </c>
      <c r="G121" s="89" t="b">
        <v>0</v>
      </c>
    </row>
    <row r="122" spans="1:7" ht="15">
      <c r="A122" s="86" t="s">
        <v>859</v>
      </c>
      <c r="B122" s="89">
        <v>2</v>
      </c>
      <c r="C122" s="94">
        <v>0.004041550718404403</v>
      </c>
      <c r="D122" s="89" t="s">
        <v>395</v>
      </c>
      <c r="E122" s="89" t="b">
        <v>1</v>
      </c>
      <c r="F122" s="89" t="b">
        <v>0</v>
      </c>
      <c r="G122" s="89" t="b">
        <v>0</v>
      </c>
    </row>
    <row r="123" spans="1:7" ht="15">
      <c r="A123" s="86" t="s">
        <v>367</v>
      </c>
      <c r="B123" s="89">
        <v>2</v>
      </c>
      <c r="C123" s="94">
        <v>0.004041550718404403</v>
      </c>
      <c r="D123" s="89" t="s">
        <v>395</v>
      </c>
      <c r="E123" s="89" t="b">
        <v>0</v>
      </c>
      <c r="F123" s="89" t="b">
        <v>1</v>
      </c>
      <c r="G123" s="89" t="b">
        <v>0</v>
      </c>
    </row>
    <row r="124" spans="1:7" ht="15">
      <c r="A124" s="86" t="s">
        <v>860</v>
      </c>
      <c r="B124" s="89">
        <v>2</v>
      </c>
      <c r="C124" s="94">
        <v>0.004041550718404403</v>
      </c>
      <c r="D124" s="89" t="s">
        <v>395</v>
      </c>
      <c r="E124" s="89" t="b">
        <v>0</v>
      </c>
      <c r="F124" s="89" t="b">
        <v>0</v>
      </c>
      <c r="G124" s="89" t="b">
        <v>0</v>
      </c>
    </row>
    <row r="125" spans="1:7" ht="15">
      <c r="A125" s="86" t="s">
        <v>378</v>
      </c>
      <c r="B125" s="89">
        <v>2</v>
      </c>
      <c r="C125" s="94">
        <v>0.004041550718404403</v>
      </c>
      <c r="D125" s="89" t="s">
        <v>395</v>
      </c>
      <c r="E125" s="89" t="b">
        <v>0</v>
      </c>
      <c r="F125" s="89" t="b">
        <v>0</v>
      </c>
      <c r="G125" s="89" t="b">
        <v>0</v>
      </c>
    </row>
    <row r="126" spans="1:7" ht="15">
      <c r="A126" s="86" t="s">
        <v>861</v>
      </c>
      <c r="B126" s="89">
        <v>2</v>
      </c>
      <c r="C126" s="94">
        <v>0.004041550718404403</v>
      </c>
      <c r="D126" s="89" t="s">
        <v>395</v>
      </c>
      <c r="E126" s="89" t="b">
        <v>0</v>
      </c>
      <c r="F126" s="89" t="b">
        <v>0</v>
      </c>
      <c r="G126" s="89" t="b">
        <v>0</v>
      </c>
    </row>
    <row r="127" spans="1:7" ht="15">
      <c r="A127" s="86" t="s">
        <v>862</v>
      </c>
      <c r="B127" s="89">
        <v>2</v>
      </c>
      <c r="C127" s="94">
        <v>0.004041550718404403</v>
      </c>
      <c r="D127" s="89" t="s">
        <v>395</v>
      </c>
      <c r="E127" s="89" t="b">
        <v>0</v>
      </c>
      <c r="F127" s="89" t="b">
        <v>0</v>
      </c>
      <c r="G127" s="89" t="b">
        <v>0</v>
      </c>
    </row>
    <row r="128" spans="1:7" ht="15">
      <c r="A128" s="86" t="s">
        <v>863</v>
      </c>
      <c r="B128" s="89">
        <v>2</v>
      </c>
      <c r="C128" s="94">
        <v>0.004041550718404403</v>
      </c>
      <c r="D128" s="89" t="s">
        <v>395</v>
      </c>
      <c r="E128" s="89" t="b">
        <v>0</v>
      </c>
      <c r="F128" s="89" t="b">
        <v>0</v>
      </c>
      <c r="G128" s="89" t="b">
        <v>0</v>
      </c>
    </row>
    <row r="129" spans="1:7" ht="15">
      <c r="A129" s="86" t="s">
        <v>370</v>
      </c>
      <c r="B129" s="89">
        <v>2</v>
      </c>
      <c r="C129" s="94">
        <v>0.004041550718404403</v>
      </c>
      <c r="D129" s="89" t="s">
        <v>395</v>
      </c>
      <c r="E129" s="89" t="b">
        <v>0</v>
      </c>
      <c r="F129" s="89" t="b">
        <v>0</v>
      </c>
      <c r="G129" s="89" t="b">
        <v>0</v>
      </c>
    </row>
    <row r="130" spans="1:7" ht="15">
      <c r="A130" s="86" t="s">
        <v>355</v>
      </c>
      <c r="B130" s="89">
        <v>2</v>
      </c>
      <c r="C130" s="94">
        <v>0.004041550718404403</v>
      </c>
      <c r="D130" s="89" t="s">
        <v>395</v>
      </c>
      <c r="E130" s="89" t="b">
        <v>1</v>
      </c>
      <c r="F130" s="89" t="b">
        <v>0</v>
      </c>
      <c r="G130" s="89" t="b">
        <v>0</v>
      </c>
    </row>
    <row r="131" spans="1:7" ht="15">
      <c r="A131" s="86" t="s">
        <v>864</v>
      </c>
      <c r="B131" s="89">
        <v>2</v>
      </c>
      <c r="C131" s="94">
        <v>0.004041550718404403</v>
      </c>
      <c r="D131" s="89" t="s">
        <v>395</v>
      </c>
      <c r="E131" s="89" t="b">
        <v>0</v>
      </c>
      <c r="F131" s="89" t="b">
        <v>0</v>
      </c>
      <c r="G131" s="89" t="b">
        <v>0</v>
      </c>
    </row>
    <row r="132" spans="1:7" ht="15">
      <c r="A132" s="86" t="s">
        <v>350</v>
      </c>
      <c r="B132" s="89">
        <v>2</v>
      </c>
      <c r="C132" s="94">
        <v>0.004041550718404403</v>
      </c>
      <c r="D132" s="89" t="s">
        <v>395</v>
      </c>
      <c r="E132" s="89" t="b">
        <v>0</v>
      </c>
      <c r="F132" s="89" t="b">
        <v>0</v>
      </c>
      <c r="G132" s="89" t="b">
        <v>0</v>
      </c>
    </row>
    <row r="133" spans="1:7" ht="15">
      <c r="A133" s="86" t="s">
        <v>865</v>
      </c>
      <c r="B133" s="89">
        <v>2</v>
      </c>
      <c r="C133" s="94">
        <v>0.004041550718404403</v>
      </c>
      <c r="D133" s="89" t="s">
        <v>395</v>
      </c>
      <c r="E133" s="89" t="b">
        <v>0</v>
      </c>
      <c r="F133" s="89" t="b">
        <v>0</v>
      </c>
      <c r="G133" s="89" t="b">
        <v>0</v>
      </c>
    </row>
    <row r="134" spans="1:7" ht="15">
      <c r="A134" s="86" t="s">
        <v>352</v>
      </c>
      <c r="B134" s="89">
        <v>2</v>
      </c>
      <c r="C134" s="94">
        <v>0.004041550718404403</v>
      </c>
      <c r="D134" s="89" t="s">
        <v>395</v>
      </c>
      <c r="E134" s="89" t="b">
        <v>0</v>
      </c>
      <c r="F134" s="89" t="b">
        <v>0</v>
      </c>
      <c r="G134" s="89" t="b">
        <v>0</v>
      </c>
    </row>
    <row r="135" spans="1:7" ht="15">
      <c r="A135" s="86" t="s">
        <v>388</v>
      </c>
      <c r="B135" s="89">
        <v>2</v>
      </c>
      <c r="C135" s="94">
        <v>0.004041550718404403</v>
      </c>
      <c r="D135" s="89" t="s">
        <v>395</v>
      </c>
      <c r="E135" s="89" t="b">
        <v>1</v>
      </c>
      <c r="F135" s="89" t="b">
        <v>0</v>
      </c>
      <c r="G135" s="89" t="b">
        <v>0</v>
      </c>
    </row>
    <row r="136" spans="1:7" ht="15">
      <c r="A136" s="86" t="s">
        <v>866</v>
      </c>
      <c r="B136" s="89">
        <v>2</v>
      </c>
      <c r="C136" s="94">
        <v>0.0050760180574558845</v>
      </c>
      <c r="D136" s="89" t="s">
        <v>395</v>
      </c>
      <c r="E136" s="89" t="b">
        <v>0</v>
      </c>
      <c r="F136" s="89" t="b">
        <v>0</v>
      </c>
      <c r="G136" s="89" t="b">
        <v>0</v>
      </c>
    </row>
    <row r="137" spans="1:7" ht="15">
      <c r="A137" s="86" t="s">
        <v>867</v>
      </c>
      <c r="B137" s="89">
        <v>2</v>
      </c>
      <c r="C137" s="94">
        <v>0.0050760180574558845</v>
      </c>
      <c r="D137" s="89" t="s">
        <v>395</v>
      </c>
      <c r="E137" s="89" t="b">
        <v>0</v>
      </c>
      <c r="F137" s="89" t="b">
        <v>0</v>
      </c>
      <c r="G137" s="89" t="b">
        <v>0</v>
      </c>
    </row>
    <row r="138" spans="1:7" ht="15">
      <c r="A138" s="86" t="s">
        <v>868</v>
      </c>
      <c r="B138" s="89">
        <v>2</v>
      </c>
      <c r="C138" s="94">
        <v>0.0050760180574558845</v>
      </c>
      <c r="D138" s="89" t="s">
        <v>395</v>
      </c>
      <c r="E138" s="89" t="b">
        <v>0</v>
      </c>
      <c r="F138" s="89" t="b">
        <v>0</v>
      </c>
      <c r="G138" s="89" t="b">
        <v>0</v>
      </c>
    </row>
    <row r="139" spans="1:7" ht="15">
      <c r="A139" s="86" t="s">
        <v>362</v>
      </c>
      <c r="B139" s="89">
        <v>2</v>
      </c>
      <c r="C139" s="94">
        <v>0.0050760180574558845</v>
      </c>
      <c r="D139" s="89" t="s">
        <v>395</v>
      </c>
      <c r="E139" s="89" t="b">
        <v>0</v>
      </c>
      <c r="F139" s="89" t="b">
        <v>0</v>
      </c>
      <c r="G139" s="89" t="b">
        <v>0</v>
      </c>
    </row>
    <row r="140" spans="1:7" ht="15">
      <c r="A140" s="86" t="s">
        <v>344</v>
      </c>
      <c r="B140" s="89">
        <v>11</v>
      </c>
      <c r="C140" s="94">
        <v>0.007047826167647688</v>
      </c>
      <c r="D140" s="89" t="s">
        <v>314</v>
      </c>
      <c r="E140" s="89" t="b">
        <v>0</v>
      </c>
      <c r="F140" s="89" t="b">
        <v>0</v>
      </c>
      <c r="G140" s="89" t="b">
        <v>0</v>
      </c>
    </row>
    <row r="141" spans="1:7" ht="15">
      <c r="A141" s="86" t="s">
        <v>798</v>
      </c>
      <c r="B141" s="89">
        <v>8</v>
      </c>
      <c r="C141" s="94">
        <v>0.005125691758289228</v>
      </c>
      <c r="D141" s="89" t="s">
        <v>314</v>
      </c>
      <c r="E141" s="89" t="b">
        <v>0</v>
      </c>
      <c r="F141" s="89" t="b">
        <v>0</v>
      </c>
      <c r="G141" s="89" t="b">
        <v>0</v>
      </c>
    </row>
    <row r="142" spans="1:7" ht="15">
      <c r="A142" s="86" t="s">
        <v>802</v>
      </c>
      <c r="B142" s="89">
        <v>7</v>
      </c>
      <c r="C142" s="94">
        <v>0.007327383992776787</v>
      </c>
      <c r="D142" s="89" t="s">
        <v>314</v>
      </c>
      <c r="E142" s="89" t="b">
        <v>0</v>
      </c>
      <c r="F142" s="89" t="b">
        <v>0</v>
      </c>
      <c r="G142" s="89" t="b">
        <v>0</v>
      </c>
    </row>
    <row r="143" spans="1:7" ht="15">
      <c r="A143" s="86" t="s">
        <v>797</v>
      </c>
      <c r="B143" s="89">
        <v>6</v>
      </c>
      <c r="C143" s="94">
        <v>0.003844268818716921</v>
      </c>
      <c r="D143" s="89" t="s">
        <v>314</v>
      </c>
      <c r="E143" s="89" t="b">
        <v>0</v>
      </c>
      <c r="F143" s="89" t="b">
        <v>0</v>
      </c>
      <c r="G143" s="89" t="b">
        <v>0</v>
      </c>
    </row>
    <row r="144" spans="1:7" ht="15">
      <c r="A144" s="86" t="s">
        <v>587</v>
      </c>
      <c r="B144" s="89">
        <v>5</v>
      </c>
      <c r="C144" s="94">
        <v>0.005233845709126277</v>
      </c>
      <c r="D144" s="89" t="s">
        <v>314</v>
      </c>
      <c r="E144" s="89" t="b">
        <v>0</v>
      </c>
      <c r="F144" s="89" t="b">
        <v>0</v>
      </c>
      <c r="G144" s="89" t="b">
        <v>0</v>
      </c>
    </row>
    <row r="145" spans="1:7" ht="15">
      <c r="A145" s="86" t="s">
        <v>345</v>
      </c>
      <c r="B145" s="89">
        <v>5</v>
      </c>
      <c r="C145" s="94">
        <v>0.010922275186468745</v>
      </c>
      <c r="D145" s="89" t="s">
        <v>314</v>
      </c>
      <c r="E145" s="89" t="b">
        <v>0</v>
      </c>
      <c r="F145" s="89" t="b">
        <v>0</v>
      </c>
      <c r="G145" s="89" t="b">
        <v>0</v>
      </c>
    </row>
    <row r="146" spans="1:7" ht="15">
      <c r="A146" s="86" t="s">
        <v>803</v>
      </c>
      <c r="B146" s="89">
        <v>5</v>
      </c>
      <c r="C146" s="94">
        <v>0.005233845709126277</v>
      </c>
      <c r="D146" s="89" t="s">
        <v>314</v>
      </c>
      <c r="E146" s="89" t="b">
        <v>0</v>
      </c>
      <c r="F146" s="89" t="b">
        <v>1</v>
      </c>
      <c r="G146" s="89" t="b">
        <v>0</v>
      </c>
    </row>
    <row r="147" spans="1:7" ht="15">
      <c r="A147" s="86" t="s">
        <v>348</v>
      </c>
      <c r="B147" s="89">
        <v>5</v>
      </c>
      <c r="C147" s="94">
        <v>0.007718717837537979</v>
      </c>
      <c r="D147" s="89" t="s">
        <v>314</v>
      </c>
      <c r="E147" s="89" t="b">
        <v>0</v>
      </c>
      <c r="F147" s="89" t="b">
        <v>0</v>
      </c>
      <c r="G147" s="89" t="b">
        <v>0</v>
      </c>
    </row>
    <row r="148" spans="1:7" ht="15">
      <c r="A148" s="86" t="s">
        <v>380</v>
      </c>
      <c r="B148" s="89">
        <v>4</v>
      </c>
      <c r="C148" s="94">
        <v>0.006174974270030383</v>
      </c>
      <c r="D148" s="89" t="s">
        <v>314</v>
      </c>
      <c r="E148" s="89" t="b">
        <v>0</v>
      </c>
      <c r="F148" s="89" t="b">
        <v>0</v>
      </c>
      <c r="G148" s="89" t="b">
        <v>0</v>
      </c>
    </row>
    <row r="149" spans="1:7" ht="15">
      <c r="A149" s="86" t="s">
        <v>804</v>
      </c>
      <c r="B149" s="89">
        <v>4</v>
      </c>
      <c r="C149" s="94">
        <v>0.006174974270030383</v>
      </c>
      <c r="D149" s="89" t="s">
        <v>314</v>
      </c>
      <c r="E149" s="89" t="b">
        <v>0</v>
      </c>
      <c r="F149" s="89" t="b">
        <v>0</v>
      </c>
      <c r="G149" s="89" t="b">
        <v>0</v>
      </c>
    </row>
    <row r="150" spans="1:7" ht="15">
      <c r="A150" s="86" t="s">
        <v>375</v>
      </c>
      <c r="B150" s="89">
        <v>4</v>
      </c>
      <c r="C150" s="94">
        <v>0.006174974270030383</v>
      </c>
      <c r="D150" s="89" t="s">
        <v>314</v>
      </c>
      <c r="E150" s="89" t="b">
        <v>0</v>
      </c>
      <c r="F150" s="89" t="b">
        <v>0</v>
      </c>
      <c r="G150" s="89" t="b">
        <v>0</v>
      </c>
    </row>
    <row r="151" spans="1:7" ht="15">
      <c r="A151" s="86" t="s">
        <v>809</v>
      </c>
      <c r="B151" s="89">
        <v>3</v>
      </c>
      <c r="C151" s="94">
        <v>0.006553365111881248</v>
      </c>
      <c r="D151" s="89" t="s">
        <v>314</v>
      </c>
      <c r="E151" s="89" t="b">
        <v>0</v>
      </c>
      <c r="F151" s="89" t="b">
        <v>0</v>
      </c>
      <c r="G151" s="89" t="b">
        <v>0</v>
      </c>
    </row>
    <row r="152" spans="1:7" ht="15">
      <c r="A152" s="86" t="s">
        <v>810</v>
      </c>
      <c r="B152" s="89">
        <v>3</v>
      </c>
      <c r="C152" s="94">
        <v>0.006553365111881248</v>
      </c>
      <c r="D152" s="89" t="s">
        <v>314</v>
      </c>
      <c r="E152" s="89" t="b">
        <v>0</v>
      </c>
      <c r="F152" s="89" t="b">
        <v>0</v>
      </c>
      <c r="G152" s="89" t="b">
        <v>0</v>
      </c>
    </row>
    <row r="153" spans="1:7" ht="15">
      <c r="A153" s="86" t="s">
        <v>360</v>
      </c>
      <c r="B153" s="89">
        <v>3</v>
      </c>
      <c r="C153" s="94">
        <v>0.006553365111881248</v>
      </c>
      <c r="D153" s="89" t="s">
        <v>314</v>
      </c>
      <c r="E153" s="89" t="b">
        <v>0</v>
      </c>
      <c r="F153" s="89" t="b">
        <v>0</v>
      </c>
      <c r="G153" s="89" t="b">
        <v>0</v>
      </c>
    </row>
    <row r="154" spans="1:7" ht="15">
      <c r="A154" s="86" t="s">
        <v>595</v>
      </c>
      <c r="B154" s="89">
        <v>3</v>
      </c>
      <c r="C154" s="94">
        <v>0.006553365111881248</v>
      </c>
      <c r="D154" s="89" t="s">
        <v>314</v>
      </c>
      <c r="E154" s="89" t="b">
        <v>0</v>
      </c>
      <c r="F154" s="89" t="b">
        <v>0</v>
      </c>
      <c r="G154" s="89" t="b">
        <v>0</v>
      </c>
    </row>
    <row r="155" spans="1:7" ht="15">
      <c r="A155" s="86" t="s">
        <v>806</v>
      </c>
      <c r="B155" s="89">
        <v>3</v>
      </c>
      <c r="C155" s="94">
        <v>0.006553365111881248</v>
      </c>
      <c r="D155" s="89" t="s">
        <v>314</v>
      </c>
      <c r="E155" s="89" t="b">
        <v>0</v>
      </c>
      <c r="F155" s="89" t="b">
        <v>0</v>
      </c>
      <c r="G155" s="89" t="b">
        <v>0</v>
      </c>
    </row>
    <row r="156" spans="1:7" ht="15">
      <c r="A156" s="86" t="s">
        <v>582</v>
      </c>
      <c r="B156" s="89">
        <v>3</v>
      </c>
      <c r="C156" s="94">
        <v>0.006553365111881248</v>
      </c>
      <c r="D156" s="89" t="s">
        <v>314</v>
      </c>
      <c r="E156" s="89" t="b">
        <v>0</v>
      </c>
      <c r="F156" s="89" t="b">
        <v>0</v>
      </c>
      <c r="G156" s="89" t="b">
        <v>0</v>
      </c>
    </row>
    <row r="157" spans="1:7" ht="15">
      <c r="A157" s="86" t="s">
        <v>343</v>
      </c>
      <c r="B157" s="89">
        <v>3</v>
      </c>
      <c r="C157" s="94">
        <v>0.006553365111881248</v>
      </c>
      <c r="D157" s="89" t="s">
        <v>314</v>
      </c>
      <c r="E157" s="89" t="b">
        <v>0</v>
      </c>
      <c r="F157" s="89" t="b">
        <v>0</v>
      </c>
      <c r="G157" s="89" t="b">
        <v>0</v>
      </c>
    </row>
    <row r="158" spans="1:7" ht="15">
      <c r="A158" s="86" t="s">
        <v>842</v>
      </c>
      <c r="B158" s="89">
        <v>2</v>
      </c>
      <c r="C158" s="94">
        <v>0.006174974270030383</v>
      </c>
      <c r="D158" s="89" t="s">
        <v>314</v>
      </c>
      <c r="E158" s="89" t="b">
        <v>0</v>
      </c>
      <c r="F158" s="89" t="b">
        <v>0</v>
      </c>
      <c r="G158" s="89" t="b">
        <v>0</v>
      </c>
    </row>
    <row r="159" spans="1:7" ht="15">
      <c r="A159" s="86" t="s">
        <v>597</v>
      </c>
      <c r="B159" s="89">
        <v>2</v>
      </c>
      <c r="C159" s="94">
        <v>0.006174974270030383</v>
      </c>
      <c r="D159" s="89" t="s">
        <v>314</v>
      </c>
      <c r="E159" s="89" t="b">
        <v>0</v>
      </c>
      <c r="F159" s="89" t="b">
        <v>0</v>
      </c>
      <c r="G159" s="89" t="b">
        <v>0</v>
      </c>
    </row>
    <row r="160" spans="1:7" ht="15">
      <c r="A160" s="86" t="s">
        <v>381</v>
      </c>
      <c r="B160" s="89">
        <v>2</v>
      </c>
      <c r="C160" s="94">
        <v>0.006174974270030383</v>
      </c>
      <c r="D160" s="89" t="s">
        <v>314</v>
      </c>
      <c r="E160" s="89" t="b">
        <v>0</v>
      </c>
      <c r="F160" s="89" t="b">
        <v>0</v>
      </c>
      <c r="G160" s="89" t="b">
        <v>0</v>
      </c>
    </row>
    <row r="161" spans="1:7" ht="15">
      <c r="A161" s="86" t="s">
        <v>596</v>
      </c>
      <c r="B161" s="89">
        <v>2</v>
      </c>
      <c r="C161" s="94">
        <v>0.006174974270030383</v>
      </c>
      <c r="D161" s="89" t="s">
        <v>314</v>
      </c>
      <c r="E161" s="89" t="b">
        <v>0</v>
      </c>
      <c r="F161" s="89" t="b">
        <v>0</v>
      </c>
      <c r="G161" s="89" t="b">
        <v>0</v>
      </c>
    </row>
    <row r="162" spans="1:7" ht="15">
      <c r="A162" s="86" t="s">
        <v>353</v>
      </c>
      <c r="B162" s="89">
        <v>2</v>
      </c>
      <c r="C162" s="94">
        <v>0.006174974270030383</v>
      </c>
      <c r="D162" s="89" t="s">
        <v>314</v>
      </c>
      <c r="E162" s="89" t="b">
        <v>0</v>
      </c>
      <c r="F162" s="89" t="b">
        <v>0</v>
      </c>
      <c r="G162" s="89" t="b">
        <v>0</v>
      </c>
    </row>
    <row r="163" spans="1:7" ht="15">
      <c r="A163" s="86" t="s">
        <v>843</v>
      </c>
      <c r="B163" s="89">
        <v>2</v>
      </c>
      <c r="C163" s="94">
        <v>0.006174974270030383</v>
      </c>
      <c r="D163" s="89" t="s">
        <v>314</v>
      </c>
      <c r="E163" s="89" t="b">
        <v>0</v>
      </c>
      <c r="F163" s="89" t="b">
        <v>0</v>
      </c>
      <c r="G163" s="89" t="b">
        <v>0</v>
      </c>
    </row>
    <row r="164" spans="1:7" ht="15">
      <c r="A164" s="86" t="s">
        <v>359</v>
      </c>
      <c r="B164" s="89">
        <v>2</v>
      </c>
      <c r="C164" s="94">
        <v>0.006174974270030383</v>
      </c>
      <c r="D164" s="89" t="s">
        <v>314</v>
      </c>
      <c r="E164" s="89" t="b">
        <v>0</v>
      </c>
      <c r="F164" s="89" t="b">
        <v>0</v>
      </c>
      <c r="G164" s="89" t="b">
        <v>0</v>
      </c>
    </row>
    <row r="165" spans="1:7" ht="15">
      <c r="A165" s="86" t="s">
        <v>349</v>
      </c>
      <c r="B165" s="89">
        <v>2</v>
      </c>
      <c r="C165" s="94">
        <v>0.006174974270030383</v>
      </c>
      <c r="D165" s="89" t="s">
        <v>314</v>
      </c>
      <c r="E165" s="89" t="b">
        <v>0</v>
      </c>
      <c r="F165" s="89" t="b">
        <v>0</v>
      </c>
      <c r="G165" s="89" t="b">
        <v>0</v>
      </c>
    </row>
    <row r="166" spans="1:7" ht="15">
      <c r="A166" s="86" t="s">
        <v>373</v>
      </c>
      <c r="B166" s="89">
        <v>2</v>
      </c>
      <c r="C166" s="94">
        <v>0.006174974270030383</v>
      </c>
      <c r="D166" s="89" t="s">
        <v>314</v>
      </c>
      <c r="E166" s="89" t="b">
        <v>0</v>
      </c>
      <c r="F166" s="89" t="b">
        <v>0</v>
      </c>
      <c r="G166" s="89" t="b">
        <v>0</v>
      </c>
    </row>
    <row r="167" spans="1:7" ht="15">
      <c r="A167" s="86" t="s">
        <v>844</v>
      </c>
      <c r="B167" s="89">
        <v>2</v>
      </c>
      <c r="C167" s="94">
        <v>0.006174974270030383</v>
      </c>
      <c r="D167" s="89" t="s">
        <v>314</v>
      </c>
      <c r="E167" s="89" t="b">
        <v>0</v>
      </c>
      <c r="F167" s="89" t="b">
        <v>0</v>
      </c>
      <c r="G167" s="89" t="b">
        <v>0</v>
      </c>
    </row>
    <row r="168" spans="1:7" ht="15">
      <c r="A168" s="86" t="s">
        <v>845</v>
      </c>
      <c r="B168" s="89">
        <v>2</v>
      </c>
      <c r="C168" s="94">
        <v>0.006174974270030383</v>
      </c>
      <c r="D168" s="89" t="s">
        <v>314</v>
      </c>
      <c r="E168" s="89" t="b">
        <v>0</v>
      </c>
      <c r="F168" s="89" t="b">
        <v>0</v>
      </c>
      <c r="G168" s="89" t="b">
        <v>0</v>
      </c>
    </row>
    <row r="169" spans="1:7" ht="15">
      <c r="A169" s="86" t="s">
        <v>351</v>
      </c>
      <c r="B169" s="89">
        <v>2</v>
      </c>
      <c r="C169" s="94">
        <v>0.006174974270030383</v>
      </c>
      <c r="D169" s="89" t="s">
        <v>314</v>
      </c>
      <c r="E169" s="89" t="b">
        <v>0</v>
      </c>
      <c r="F169" s="89" t="b">
        <v>0</v>
      </c>
      <c r="G169" s="89" t="b">
        <v>0</v>
      </c>
    </row>
    <row r="170" spans="1:7" ht="15">
      <c r="A170" s="86" t="s">
        <v>846</v>
      </c>
      <c r="B170" s="89">
        <v>2</v>
      </c>
      <c r="C170" s="94">
        <v>0.006174974270030383</v>
      </c>
      <c r="D170" s="89" t="s">
        <v>314</v>
      </c>
      <c r="E170" s="89" t="b">
        <v>0</v>
      </c>
      <c r="F170" s="89" t="b">
        <v>0</v>
      </c>
      <c r="G170" s="89" t="b">
        <v>0</v>
      </c>
    </row>
    <row r="171" spans="1:7" ht="15">
      <c r="A171" s="86" t="s">
        <v>847</v>
      </c>
      <c r="B171" s="89">
        <v>2</v>
      </c>
      <c r="C171" s="94">
        <v>0.006174974270030383</v>
      </c>
      <c r="D171" s="89" t="s">
        <v>314</v>
      </c>
      <c r="E171" s="89" t="b">
        <v>0</v>
      </c>
      <c r="F171" s="89" t="b">
        <v>1</v>
      </c>
      <c r="G171" s="89" t="b">
        <v>0</v>
      </c>
    </row>
    <row r="172" spans="1:7" ht="15">
      <c r="A172" s="86" t="s">
        <v>848</v>
      </c>
      <c r="B172" s="89">
        <v>2</v>
      </c>
      <c r="C172" s="94">
        <v>0.006174974270030383</v>
      </c>
      <c r="D172" s="89" t="s">
        <v>314</v>
      </c>
      <c r="E172" s="89" t="b">
        <v>0</v>
      </c>
      <c r="F172" s="89" t="b">
        <v>0</v>
      </c>
      <c r="G172" s="89" t="b">
        <v>0</v>
      </c>
    </row>
    <row r="173" spans="1:7" ht="15">
      <c r="A173" s="86" t="s">
        <v>815</v>
      </c>
      <c r="B173" s="89">
        <v>2</v>
      </c>
      <c r="C173" s="94">
        <v>0.006174974270030383</v>
      </c>
      <c r="D173" s="89" t="s">
        <v>314</v>
      </c>
      <c r="E173" s="89" t="b">
        <v>0</v>
      </c>
      <c r="F173" s="89" t="b">
        <v>0</v>
      </c>
      <c r="G173" s="89" t="b">
        <v>0</v>
      </c>
    </row>
    <row r="174" spans="1:7" ht="15">
      <c r="A174" s="86" t="s">
        <v>816</v>
      </c>
      <c r="B174" s="89">
        <v>2</v>
      </c>
      <c r="C174" s="94">
        <v>0.006174974270030383</v>
      </c>
      <c r="D174" s="89" t="s">
        <v>314</v>
      </c>
      <c r="E174" s="89" t="b">
        <v>1</v>
      </c>
      <c r="F174" s="89" t="b">
        <v>0</v>
      </c>
      <c r="G174" s="89" t="b">
        <v>0</v>
      </c>
    </row>
    <row r="175" spans="1:7" ht="15">
      <c r="A175" s="86" t="s">
        <v>257</v>
      </c>
      <c r="B175" s="89">
        <v>2</v>
      </c>
      <c r="C175" s="94">
        <v>0.006174974270030383</v>
      </c>
      <c r="D175" s="89" t="s">
        <v>314</v>
      </c>
      <c r="E175" s="89" t="b">
        <v>0</v>
      </c>
      <c r="F175" s="89" t="b">
        <v>0</v>
      </c>
      <c r="G175" s="89" t="b">
        <v>0</v>
      </c>
    </row>
    <row r="176" spans="1:7" ht="15">
      <c r="A176" s="86" t="s">
        <v>580</v>
      </c>
      <c r="B176" s="89">
        <v>2</v>
      </c>
      <c r="C176" s="94">
        <v>0.006174974270030383</v>
      </c>
      <c r="D176" s="89" t="s">
        <v>314</v>
      </c>
      <c r="E176" s="89" t="b">
        <v>0</v>
      </c>
      <c r="F176" s="89" t="b">
        <v>0</v>
      </c>
      <c r="G176" s="89" t="b">
        <v>0</v>
      </c>
    </row>
    <row r="177" spans="1:7" ht="15">
      <c r="A177" s="86" t="s">
        <v>817</v>
      </c>
      <c r="B177" s="89">
        <v>2</v>
      </c>
      <c r="C177" s="94">
        <v>0.006174974270030383</v>
      </c>
      <c r="D177" s="89" t="s">
        <v>314</v>
      </c>
      <c r="E177" s="89" t="b">
        <v>1</v>
      </c>
      <c r="F177" s="89" t="b">
        <v>0</v>
      </c>
      <c r="G177" s="89" t="b">
        <v>0</v>
      </c>
    </row>
    <row r="178" spans="1:7" ht="15">
      <c r="A178" s="86" t="s">
        <v>374</v>
      </c>
      <c r="B178" s="89">
        <v>2</v>
      </c>
      <c r="C178" s="94">
        <v>0.006174974270030383</v>
      </c>
      <c r="D178" s="89" t="s">
        <v>314</v>
      </c>
      <c r="E178" s="89" t="b">
        <v>0</v>
      </c>
      <c r="F178" s="89" t="b">
        <v>0</v>
      </c>
      <c r="G178" s="89" t="b">
        <v>0</v>
      </c>
    </row>
    <row r="179" spans="1:7" ht="15">
      <c r="A179" s="86" t="s">
        <v>307</v>
      </c>
      <c r="B179" s="89">
        <v>2</v>
      </c>
      <c r="C179" s="94">
        <v>0.006174974270030383</v>
      </c>
      <c r="D179" s="89" t="s">
        <v>314</v>
      </c>
      <c r="E179" s="89" t="b">
        <v>0</v>
      </c>
      <c r="F179" s="89" t="b">
        <v>0</v>
      </c>
      <c r="G179" s="89" t="b">
        <v>0</v>
      </c>
    </row>
    <row r="180" spans="1:7" ht="15">
      <c r="A180" s="86" t="s">
        <v>818</v>
      </c>
      <c r="B180" s="89">
        <v>2</v>
      </c>
      <c r="C180" s="94">
        <v>0.006174974270030383</v>
      </c>
      <c r="D180" s="89" t="s">
        <v>314</v>
      </c>
      <c r="E180" s="89" t="b">
        <v>0</v>
      </c>
      <c r="F180" s="89" t="b">
        <v>0</v>
      </c>
      <c r="G180" s="89" t="b">
        <v>0</v>
      </c>
    </row>
    <row r="181" spans="1:7" ht="15">
      <c r="A181" s="86" t="s">
        <v>623</v>
      </c>
      <c r="B181" s="89">
        <v>2</v>
      </c>
      <c r="C181" s="94">
        <v>0.006174974270030383</v>
      </c>
      <c r="D181" s="89" t="s">
        <v>314</v>
      </c>
      <c r="E181" s="89" t="b">
        <v>0</v>
      </c>
      <c r="F181" s="89" t="b">
        <v>0</v>
      </c>
      <c r="G181" s="89" t="b">
        <v>0</v>
      </c>
    </row>
    <row r="182" spans="1:7" ht="15">
      <c r="A182" s="86" t="s">
        <v>852</v>
      </c>
      <c r="B182" s="89">
        <v>2</v>
      </c>
      <c r="C182" s="94">
        <v>0.009262461405045575</v>
      </c>
      <c r="D182" s="89" t="s">
        <v>314</v>
      </c>
      <c r="E182" s="89" t="b">
        <v>0</v>
      </c>
      <c r="F182" s="89" t="b">
        <v>0</v>
      </c>
      <c r="G182" s="89" t="b">
        <v>0</v>
      </c>
    </row>
    <row r="183" spans="1:7" ht="15">
      <c r="A183" s="86" t="s">
        <v>798</v>
      </c>
      <c r="B183" s="89">
        <v>3</v>
      </c>
      <c r="C183" s="94">
        <v>0.004744508985125314</v>
      </c>
      <c r="D183" s="89" t="s">
        <v>315</v>
      </c>
      <c r="E183" s="89" t="b">
        <v>0</v>
      </c>
      <c r="F183" s="89" t="b">
        <v>0</v>
      </c>
      <c r="G183" s="89" t="b">
        <v>0</v>
      </c>
    </row>
    <row r="184" spans="1:7" ht="15">
      <c r="A184" s="86" t="s">
        <v>797</v>
      </c>
      <c r="B184" s="89">
        <v>2</v>
      </c>
      <c r="C184" s="94">
        <v>0.00762101254845522</v>
      </c>
      <c r="D184" s="89" t="s">
        <v>315</v>
      </c>
      <c r="E184" s="89" t="b">
        <v>0</v>
      </c>
      <c r="F184" s="89" t="b">
        <v>0</v>
      </c>
      <c r="G184" s="89" t="b">
        <v>0</v>
      </c>
    </row>
    <row r="185" spans="1:7" ht="15">
      <c r="A185" s="86" t="s">
        <v>804</v>
      </c>
      <c r="B185" s="89">
        <v>2</v>
      </c>
      <c r="C185" s="94">
        <v>0.00762101254845522</v>
      </c>
      <c r="D185" s="89" t="s">
        <v>315</v>
      </c>
      <c r="E185" s="89" t="b">
        <v>0</v>
      </c>
      <c r="F185" s="89" t="b">
        <v>0</v>
      </c>
      <c r="G185" s="89" t="b">
        <v>0</v>
      </c>
    </row>
    <row r="186" spans="1:7" ht="15">
      <c r="A186" s="86" t="s">
        <v>344</v>
      </c>
      <c r="B186" s="89">
        <v>2</v>
      </c>
      <c r="C186" s="94">
        <v>0.01524202509691044</v>
      </c>
      <c r="D186" s="89" t="s">
        <v>315</v>
      </c>
      <c r="E186" s="89" t="b">
        <v>0</v>
      </c>
      <c r="F186" s="89" t="b">
        <v>0</v>
      </c>
      <c r="G186" s="89" t="b">
        <v>0</v>
      </c>
    </row>
    <row r="187" spans="1:7" ht="15">
      <c r="A187" s="86" t="s">
        <v>375</v>
      </c>
      <c r="B187" s="89">
        <v>2</v>
      </c>
      <c r="C187" s="94">
        <v>0.00762101254845522</v>
      </c>
      <c r="D187" s="89" t="s">
        <v>315</v>
      </c>
      <c r="E187" s="89" t="b">
        <v>0</v>
      </c>
      <c r="F187" s="89" t="b">
        <v>0</v>
      </c>
      <c r="G187" s="89" t="b">
        <v>0</v>
      </c>
    </row>
    <row r="188" spans="1:7" ht="15">
      <c r="A188" s="86" t="s">
        <v>360</v>
      </c>
      <c r="B188" s="89">
        <v>2</v>
      </c>
      <c r="C188" s="94">
        <v>0.00762101254845522</v>
      </c>
      <c r="D188" s="89" t="s">
        <v>315</v>
      </c>
      <c r="E188" s="89" t="b">
        <v>0</v>
      </c>
      <c r="F188" s="89" t="b">
        <v>0</v>
      </c>
      <c r="G188" s="89" t="b">
        <v>0</v>
      </c>
    </row>
    <row r="189" spans="1:7" ht="15">
      <c r="A189" s="86" t="s">
        <v>348</v>
      </c>
      <c r="B189" s="89">
        <v>2</v>
      </c>
      <c r="C189" s="94">
        <v>0.00762101254845522</v>
      </c>
      <c r="D189" s="89" t="s">
        <v>315</v>
      </c>
      <c r="E189" s="89" t="b">
        <v>0</v>
      </c>
      <c r="F189" s="89" t="b">
        <v>0</v>
      </c>
      <c r="G189" s="89" t="b">
        <v>0</v>
      </c>
    </row>
    <row r="190" spans="1:7" ht="15">
      <c r="A190" s="86" t="s">
        <v>587</v>
      </c>
      <c r="B190" s="89">
        <v>2</v>
      </c>
      <c r="C190" s="94">
        <v>0.00762101254845522</v>
      </c>
      <c r="D190" s="89" t="s">
        <v>315</v>
      </c>
      <c r="E190" s="89" t="b">
        <v>0</v>
      </c>
      <c r="F190" s="89" t="b">
        <v>0</v>
      </c>
      <c r="G190" s="89" t="b">
        <v>0</v>
      </c>
    </row>
    <row r="191" spans="1:7" ht="15">
      <c r="A191" s="86" t="s">
        <v>595</v>
      </c>
      <c r="B191" s="89">
        <v>2</v>
      </c>
      <c r="C191" s="94">
        <v>0.00762101254845522</v>
      </c>
      <c r="D191" s="89" t="s">
        <v>315</v>
      </c>
      <c r="E191" s="89" t="b">
        <v>0</v>
      </c>
      <c r="F191" s="89" t="b">
        <v>0</v>
      </c>
      <c r="G191" s="89" t="b">
        <v>0</v>
      </c>
    </row>
    <row r="192" spans="1:7" ht="15">
      <c r="A192" s="86" t="s">
        <v>806</v>
      </c>
      <c r="B192" s="89">
        <v>2</v>
      </c>
      <c r="C192" s="94">
        <v>0.00762101254845522</v>
      </c>
      <c r="D192" s="89" t="s">
        <v>315</v>
      </c>
      <c r="E192" s="89" t="b">
        <v>0</v>
      </c>
      <c r="F192" s="89" t="b">
        <v>0</v>
      </c>
      <c r="G192" s="89" t="b">
        <v>0</v>
      </c>
    </row>
    <row r="193" spans="1:7" ht="15">
      <c r="A193" s="86" t="s">
        <v>802</v>
      </c>
      <c r="B193" s="89">
        <v>2</v>
      </c>
      <c r="C193" s="94">
        <v>0.00762101254845522</v>
      </c>
      <c r="D193" s="89" t="s">
        <v>315</v>
      </c>
      <c r="E193" s="89" t="b">
        <v>0</v>
      </c>
      <c r="F193" s="89" t="b">
        <v>0</v>
      </c>
      <c r="G193" s="89" t="b">
        <v>0</v>
      </c>
    </row>
    <row r="194" spans="1:7" ht="15">
      <c r="A194" s="86" t="s">
        <v>582</v>
      </c>
      <c r="B194" s="89">
        <v>2</v>
      </c>
      <c r="C194" s="94">
        <v>0.00762101254845522</v>
      </c>
      <c r="D194" s="89" t="s">
        <v>315</v>
      </c>
      <c r="E194" s="89" t="b">
        <v>0</v>
      </c>
      <c r="F194" s="89" t="b">
        <v>0</v>
      </c>
      <c r="G194" s="89" t="b">
        <v>0</v>
      </c>
    </row>
    <row r="195" spans="1:7" ht="15">
      <c r="A195" s="86" t="s">
        <v>803</v>
      </c>
      <c r="B195" s="89">
        <v>2</v>
      </c>
      <c r="C195" s="94">
        <v>0.00762101254845522</v>
      </c>
      <c r="D195" s="89" t="s">
        <v>315</v>
      </c>
      <c r="E195" s="89" t="b">
        <v>0</v>
      </c>
      <c r="F195" s="89" t="b">
        <v>1</v>
      </c>
      <c r="G195" s="89" t="b">
        <v>0</v>
      </c>
    </row>
    <row r="196" spans="1:7" ht="15">
      <c r="A196" s="86" t="s">
        <v>354</v>
      </c>
      <c r="B196" s="89">
        <v>2</v>
      </c>
      <c r="C196" s="94">
        <v>0.00762101254845522</v>
      </c>
      <c r="D196" s="89" t="s">
        <v>315</v>
      </c>
      <c r="E196" s="89" t="b">
        <v>0</v>
      </c>
      <c r="F196" s="89" t="b">
        <v>0</v>
      </c>
      <c r="G196" s="89" t="b">
        <v>0</v>
      </c>
    </row>
    <row r="197" spans="1:7" ht="15">
      <c r="A197" s="86" t="s">
        <v>623</v>
      </c>
      <c r="B197" s="89">
        <v>2</v>
      </c>
      <c r="C197" s="94">
        <v>0.00762101254845522</v>
      </c>
      <c r="D197" s="89" t="s">
        <v>315</v>
      </c>
      <c r="E197" s="89" t="b">
        <v>0</v>
      </c>
      <c r="F197" s="89" t="b">
        <v>0</v>
      </c>
      <c r="G197" s="89" t="b">
        <v>0</v>
      </c>
    </row>
    <row r="198" spans="1:7" ht="15">
      <c r="A198" s="86" t="s">
        <v>588</v>
      </c>
      <c r="B198" s="89">
        <v>2</v>
      </c>
      <c r="C198" s="94">
        <v>0.00762101254845522</v>
      </c>
      <c r="D198" s="89" t="s">
        <v>315</v>
      </c>
      <c r="E198" s="89" t="b">
        <v>0</v>
      </c>
      <c r="F198" s="89" t="b">
        <v>0</v>
      </c>
      <c r="G198" s="89" t="b">
        <v>0</v>
      </c>
    </row>
    <row r="199" spans="1:7" ht="15">
      <c r="A199" s="86" t="s">
        <v>867</v>
      </c>
      <c r="B199" s="89">
        <v>2</v>
      </c>
      <c r="C199" s="94">
        <v>0.01524202509691044</v>
      </c>
      <c r="D199" s="89" t="s">
        <v>315</v>
      </c>
      <c r="E199" s="89" t="b">
        <v>0</v>
      </c>
      <c r="F199" s="89" t="b">
        <v>0</v>
      </c>
      <c r="G199" s="89" t="b">
        <v>0</v>
      </c>
    </row>
    <row r="200" spans="1:7" ht="15">
      <c r="A200" s="86" t="s">
        <v>868</v>
      </c>
      <c r="B200" s="89">
        <v>2</v>
      </c>
      <c r="C200" s="94">
        <v>0.01524202509691044</v>
      </c>
      <c r="D200" s="89" t="s">
        <v>315</v>
      </c>
      <c r="E200" s="89" t="b">
        <v>0</v>
      </c>
      <c r="F200" s="89" t="b">
        <v>0</v>
      </c>
      <c r="G200" s="89" t="b">
        <v>0</v>
      </c>
    </row>
    <row r="201" spans="1:7" ht="15">
      <c r="A201" s="86" t="s">
        <v>797</v>
      </c>
      <c r="B201" s="89">
        <v>3</v>
      </c>
      <c r="C201" s="94">
        <v>0</v>
      </c>
      <c r="D201" s="89" t="s">
        <v>316</v>
      </c>
      <c r="E201" s="89" t="b">
        <v>0</v>
      </c>
      <c r="F201" s="89" t="b">
        <v>0</v>
      </c>
      <c r="G201" s="89" t="b">
        <v>0</v>
      </c>
    </row>
    <row r="202" spans="1:7" ht="15">
      <c r="A202" s="86" t="s">
        <v>812</v>
      </c>
      <c r="B202" s="89">
        <v>3</v>
      </c>
      <c r="C202" s="94">
        <v>0</v>
      </c>
      <c r="D202" s="89" t="s">
        <v>316</v>
      </c>
      <c r="E202" s="89" t="b">
        <v>0</v>
      </c>
      <c r="F202" s="89" t="b">
        <v>0</v>
      </c>
      <c r="G202" s="89" t="b">
        <v>0</v>
      </c>
    </row>
    <row r="203" spans="1:7" ht="15">
      <c r="A203" s="86" t="s">
        <v>813</v>
      </c>
      <c r="B203" s="89">
        <v>3</v>
      </c>
      <c r="C203" s="94">
        <v>0</v>
      </c>
      <c r="D203" s="89" t="s">
        <v>316</v>
      </c>
      <c r="E203" s="89" t="b">
        <v>0</v>
      </c>
      <c r="F203" s="89" t="b">
        <v>0</v>
      </c>
      <c r="G203" s="89" t="b">
        <v>0</v>
      </c>
    </row>
    <row r="204" spans="1:7" ht="15">
      <c r="A204" s="86" t="s">
        <v>805</v>
      </c>
      <c r="B204" s="89">
        <v>3</v>
      </c>
      <c r="C204" s="94">
        <v>0</v>
      </c>
      <c r="D204" s="89" t="s">
        <v>316</v>
      </c>
      <c r="E204" s="89" t="b">
        <v>0</v>
      </c>
      <c r="F204" s="89" t="b">
        <v>0</v>
      </c>
      <c r="G204" s="89" t="b">
        <v>0</v>
      </c>
    </row>
    <row r="205" spans="1:7" ht="15">
      <c r="A205" s="86" t="s">
        <v>799</v>
      </c>
      <c r="B205" s="89">
        <v>2</v>
      </c>
      <c r="C205" s="94">
        <v>0.006178640668620394</v>
      </c>
      <c r="D205" s="89" t="s">
        <v>316</v>
      </c>
      <c r="E205" s="89" t="b">
        <v>0</v>
      </c>
      <c r="F205" s="89" t="b">
        <v>0</v>
      </c>
      <c r="G205" s="89" t="b">
        <v>0</v>
      </c>
    </row>
    <row r="206" spans="1:7" ht="15">
      <c r="A206" s="86" t="s">
        <v>807</v>
      </c>
      <c r="B206" s="89">
        <v>2</v>
      </c>
      <c r="C206" s="94">
        <v>0.006178640668620394</v>
      </c>
      <c r="D206" s="89" t="s">
        <v>316</v>
      </c>
      <c r="E206" s="89" t="b">
        <v>0</v>
      </c>
      <c r="F206" s="89" t="b">
        <v>0</v>
      </c>
      <c r="G206" s="89" t="b">
        <v>0</v>
      </c>
    </row>
    <row r="207" spans="1:7" ht="15">
      <c r="A207" s="86" t="s">
        <v>376</v>
      </c>
      <c r="B207" s="89">
        <v>2</v>
      </c>
      <c r="C207" s="94">
        <v>0.006178640668620394</v>
      </c>
      <c r="D207" s="89" t="s">
        <v>316</v>
      </c>
      <c r="E207" s="89" t="b">
        <v>0</v>
      </c>
      <c r="F207" s="89" t="b">
        <v>0</v>
      </c>
      <c r="G207" s="89" t="b">
        <v>0</v>
      </c>
    </row>
    <row r="208" spans="1:7" ht="15">
      <c r="A208" s="86" t="s">
        <v>825</v>
      </c>
      <c r="B208" s="89">
        <v>2</v>
      </c>
      <c r="C208" s="94">
        <v>0.006178640668620394</v>
      </c>
      <c r="D208" s="89" t="s">
        <v>316</v>
      </c>
      <c r="E208" s="89" t="b">
        <v>0</v>
      </c>
      <c r="F208" s="89" t="b">
        <v>0</v>
      </c>
      <c r="G208" s="89" t="b">
        <v>0</v>
      </c>
    </row>
    <row r="209" spans="1:7" ht="15">
      <c r="A209" s="86" t="s">
        <v>826</v>
      </c>
      <c r="B209" s="89">
        <v>2</v>
      </c>
      <c r="C209" s="94">
        <v>0.006178640668620394</v>
      </c>
      <c r="D209" s="89" t="s">
        <v>316</v>
      </c>
      <c r="E209" s="89" t="b">
        <v>0</v>
      </c>
      <c r="F209" s="89" t="b">
        <v>0</v>
      </c>
      <c r="G209" s="89" t="b">
        <v>0</v>
      </c>
    </row>
    <row r="210" spans="1:7" ht="15">
      <c r="A210" s="86" t="s">
        <v>827</v>
      </c>
      <c r="B210" s="89">
        <v>2</v>
      </c>
      <c r="C210" s="94">
        <v>0.006178640668620394</v>
      </c>
      <c r="D210" s="89" t="s">
        <v>316</v>
      </c>
      <c r="E210" s="89" t="b">
        <v>0</v>
      </c>
      <c r="F210" s="89" t="b">
        <v>0</v>
      </c>
      <c r="G210" s="89" t="b">
        <v>0</v>
      </c>
    </row>
    <row r="211" spans="1:7" ht="15">
      <c r="A211" s="86" t="s">
        <v>828</v>
      </c>
      <c r="B211" s="89">
        <v>2</v>
      </c>
      <c r="C211" s="94">
        <v>0.006178640668620394</v>
      </c>
      <c r="D211" s="89" t="s">
        <v>316</v>
      </c>
      <c r="E211" s="89" t="b">
        <v>0</v>
      </c>
      <c r="F211" s="89" t="b">
        <v>0</v>
      </c>
      <c r="G211" s="89" t="b">
        <v>0</v>
      </c>
    </row>
    <row r="212" spans="1:7" ht="15">
      <c r="A212" s="86" t="s">
        <v>829</v>
      </c>
      <c r="B212" s="89">
        <v>2</v>
      </c>
      <c r="C212" s="94">
        <v>0.006178640668620394</v>
      </c>
      <c r="D212" s="89" t="s">
        <v>316</v>
      </c>
      <c r="E212" s="89" t="b">
        <v>0</v>
      </c>
      <c r="F212" s="89" t="b">
        <v>0</v>
      </c>
      <c r="G212" s="89" t="b">
        <v>0</v>
      </c>
    </row>
    <row r="213" spans="1:7" ht="15">
      <c r="A213" s="86" t="s">
        <v>811</v>
      </c>
      <c r="B213" s="89">
        <v>2</v>
      </c>
      <c r="C213" s="94">
        <v>0.006178640668620394</v>
      </c>
      <c r="D213" s="89" t="s">
        <v>316</v>
      </c>
      <c r="E213" s="89" t="b">
        <v>0</v>
      </c>
      <c r="F213" s="89" t="b">
        <v>0</v>
      </c>
      <c r="G213" s="89" t="b">
        <v>0</v>
      </c>
    </row>
    <row r="214" spans="1:7" ht="15">
      <c r="A214" s="86" t="s">
        <v>830</v>
      </c>
      <c r="B214" s="89">
        <v>2</v>
      </c>
      <c r="C214" s="94">
        <v>0.006178640668620394</v>
      </c>
      <c r="D214" s="89" t="s">
        <v>316</v>
      </c>
      <c r="E214" s="89" t="b">
        <v>0</v>
      </c>
      <c r="F214" s="89" t="b">
        <v>0</v>
      </c>
      <c r="G214" s="89" t="b">
        <v>0</v>
      </c>
    </row>
    <row r="215" spans="1:7" ht="15">
      <c r="A215" s="86" t="s">
        <v>801</v>
      </c>
      <c r="B215" s="89">
        <v>2</v>
      </c>
      <c r="C215" s="94">
        <v>0.006178640668620394</v>
      </c>
      <c r="D215" s="89" t="s">
        <v>316</v>
      </c>
      <c r="E215" s="89" t="b">
        <v>0</v>
      </c>
      <c r="F215" s="89" t="b">
        <v>0</v>
      </c>
      <c r="G215" s="89" t="b">
        <v>0</v>
      </c>
    </row>
    <row r="216" spans="1:7" ht="15">
      <c r="A216" s="86" t="s">
        <v>808</v>
      </c>
      <c r="B216" s="89">
        <v>2</v>
      </c>
      <c r="C216" s="94">
        <v>0.006178640668620394</v>
      </c>
      <c r="D216" s="89" t="s">
        <v>316</v>
      </c>
      <c r="E216" s="89" t="b">
        <v>0</v>
      </c>
      <c r="F216" s="89" t="b">
        <v>0</v>
      </c>
      <c r="G216" s="89" t="b">
        <v>0</v>
      </c>
    </row>
    <row r="217" spans="1:7" ht="15">
      <c r="A217" s="86" t="s">
        <v>831</v>
      </c>
      <c r="B217" s="89">
        <v>2</v>
      </c>
      <c r="C217" s="94">
        <v>0.006178640668620394</v>
      </c>
      <c r="D217" s="89" t="s">
        <v>316</v>
      </c>
      <c r="E217" s="89" t="b">
        <v>0</v>
      </c>
      <c r="F217" s="89" t="b">
        <v>0</v>
      </c>
      <c r="G217" s="89" t="b">
        <v>0</v>
      </c>
    </row>
    <row r="218" spans="1:7" ht="15">
      <c r="A218" s="86" t="s">
        <v>832</v>
      </c>
      <c r="B218" s="89">
        <v>2</v>
      </c>
      <c r="C218" s="94">
        <v>0.006178640668620394</v>
      </c>
      <c r="D218" s="89" t="s">
        <v>316</v>
      </c>
      <c r="E218" s="89" t="b">
        <v>0</v>
      </c>
      <c r="F218" s="89" t="b">
        <v>0</v>
      </c>
      <c r="G218" s="89" t="b">
        <v>0</v>
      </c>
    </row>
    <row r="219" spans="1:7" ht="15">
      <c r="A219" s="86" t="s">
        <v>362</v>
      </c>
      <c r="B219" s="89">
        <v>2</v>
      </c>
      <c r="C219" s="94">
        <v>0</v>
      </c>
      <c r="D219" s="89" t="s">
        <v>317</v>
      </c>
      <c r="E219" s="89" t="b">
        <v>0</v>
      </c>
      <c r="F219" s="89" t="b">
        <v>0</v>
      </c>
      <c r="G219" s="89" t="b">
        <v>0</v>
      </c>
    </row>
    <row r="220" spans="1:7" ht="15">
      <c r="A220" s="86" t="s">
        <v>797</v>
      </c>
      <c r="B220" s="89">
        <v>9</v>
      </c>
      <c r="C220" s="94">
        <v>0</v>
      </c>
      <c r="D220" s="89" t="s">
        <v>318</v>
      </c>
      <c r="E220" s="89" t="b">
        <v>0</v>
      </c>
      <c r="F220" s="89" t="b">
        <v>0</v>
      </c>
      <c r="G220" s="89" t="b">
        <v>0</v>
      </c>
    </row>
    <row r="221" spans="1:7" ht="15">
      <c r="A221" s="86" t="s">
        <v>800</v>
      </c>
      <c r="B221" s="89">
        <v>8</v>
      </c>
      <c r="C221" s="94">
        <v>0.009147597873022403</v>
      </c>
      <c r="D221" s="89" t="s">
        <v>318</v>
      </c>
      <c r="E221" s="89" t="b">
        <v>0</v>
      </c>
      <c r="F221" s="89" t="b">
        <v>0</v>
      </c>
      <c r="G221" s="89" t="b">
        <v>0</v>
      </c>
    </row>
    <row r="222" spans="1:7" ht="15">
      <c r="A222" s="86" t="s">
        <v>801</v>
      </c>
      <c r="B222" s="89">
        <v>7</v>
      </c>
      <c r="C222" s="94">
        <v>0.004961112246594003</v>
      </c>
      <c r="D222" s="89" t="s">
        <v>318</v>
      </c>
      <c r="E222" s="89" t="b">
        <v>0</v>
      </c>
      <c r="F222" s="89" t="b">
        <v>0</v>
      </c>
      <c r="G222" s="89" t="b">
        <v>0</v>
      </c>
    </row>
    <row r="223" spans="1:7" ht="15">
      <c r="A223" s="86" t="s">
        <v>369</v>
      </c>
      <c r="B223" s="89">
        <v>6</v>
      </c>
      <c r="C223" s="94">
        <v>0.013721396809533602</v>
      </c>
      <c r="D223" s="89" t="s">
        <v>318</v>
      </c>
      <c r="E223" s="89" t="b">
        <v>1</v>
      </c>
      <c r="F223" s="89" t="b">
        <v>0</v>
      </c>
      <c r="G223" s="89" t="b">
        <v>0</v>
      </c>
    </row>
    <row r="224" spans="1:7" ht="15">
      <c r="A224" s="86" t="s">
        <v>372</v>
      </c>
      <c r="B224" s="89">
        <v>3</v>
      </c>
      <c r="C224" s="94">
        <v>0.009294569897136281</v>
      </c>
      <c r="D224" s="89" t="s">
        <v>318</v>
      </c>
      <c r="E224" s="89" t="b">
        <v>0</v>
      </c>
      <c r="F224" s="89" t="b">
        <v>0</v>
      </c>
      <c r="G224" s="89" t="b">
        <v>0</v>
      </c>
    </row>
    <row r="225" spans="1:7" ht="15">
      <c r="A225" s="86" t="s">
        <v>821</v>
      </c>
      <c r="B225" s="89">
        <v>3</v>
      </c>
      <c r="C225" s="94">
        <v>0.009294569897136281</v>
      </c>
      <c r="D225" s="89" t="s">
        <v>318</v>
      </c>
      <c r="E225" s="89" t="b">
        <v>0</v>
      </c>
      <c r="F225" s="89" t="b">
        <v>0</v>
      </c>
      <c r="G225" s="89" t="b">
        <v>0</v>
      </c>
    </row>
    <row r="226" spans="1:7" ht="15">
      <c r="A226" s="86" t="s">
        <v>358</v>
      </c>
      <c r="B226" s="89">
        <v>3</v>
      </c>
      <c r="C226" s="94">
        <v>0.009294569897136281</v>
      </c>
      <c r="D226" s="89" t="s">
        <v>318</v>
      </c>
      <c r="E226" s="89" t="b">
        <v>0</v>
      </c>
      <c r="F226" s="89" t="b">
        <v>0</v>
      </c>
      <c r="G226" s="89" t="b">
        <v>0</v>
      </c>
    </row>
    <row r="227" spans="1:7" ht="15">
      <c r="A227" s="86" t="s">
        <v>822</v>
      </c>
      <c r="B227" s="89">
        <v>3</v>
      </c>
      <c r="C227" s="94">
        <v>0.009294569897136281</v>
      </c>
      <c r="D227" s="89" t="s">
        <v>318</v>
      </c>
      <c r="E227" s="89" t="b">
        <v>0</v>
      </c>
      <c r="F227" s="89" t="b">
        <v>0</v>
      </c>
      <c r="G227" s="89" t="b">
        <v>0</v>
      </c>
    </row>
    <row r="228" spans="1:7" ht="15">
      <c r="A228" s="86" t="s">
        <v>386</v>
      </c>
      <c r="B228" s="89">
        <v>3</v>
      </c>
      <c r="C228" s="94">
        <v>0.009294569897136281</v>
      </c>
      <c r="D228" s="89" t="s">
        <v>318</v>
      </c>
      <c r="E228" s="89" t="b">
        <v>0</v>
      </c>
      <c r="F228" s="89" t="b">
        <v>0</v>
      </c>
      <c r="G228" s="89" t="b">
        <v>0</v>
      </c>
    </row>
    <row r="229" spans="1:7" ht="15">
      <c r="A229" s="86" t="s">
        <v>823</v>
      </c>
      <c r="B229" s="89">
        <v>3</v>
      </c>
      <c r="C229" s="94">
        <v>0.009294569897136281</v>
      </c>
      <c r="D229" s="89" t="s">
        <v>318</v>
      </c>
      <c r="E229" s="89" t="b">
        <v>0</v>
      </c>
      <c r="F229" s="89" t="b">
        <v>0</v>
      </c>
      <c r="G229" s="89" t="b">
        <v>0</v>
      </c>
    </row>
    <row r="230" spans="1:7" ht="15">
      <c r="A230" s="86" t="s">
        <v>824</v>
      </c>
      <c r="B230" s="89">
        <v>3</v>
      </c>
      <c r="C230" s="94">
        <v>0.009294569897136281</v>
      </c>
      <c r="D230" s="89" t="s">
        <v>318</v>
      </c>
      <c r="E230" s="89" t="b">
        <v>0</v>
      </c>
      <c r="F230" s="89" t="b">
        <v>0</v>
      </c>
      <c r="G230" s="89" t="b">
        <v>0</v>
      </c>
    </row>
    <row r="231" spans="1:7" ht="15">
      <c r="A231" s="86" t="s">
        <v>799</v>
      </c>
      <c r="B231" s="89">
        <v>3</v>
      </c>
      <c r="C231" s="94">
        <v>0.009294569897136281</v>
      </c>
      <c r="D231" s="89" t="s">
        <v>318</v>
      </c>
      <c r="E231" s="89" t="b">
        <v>0</v>
      </c>
      <c r="F231" s="89" t="b">
        <v>0</v>
      </c>
      <c r="G231" s="89" t="b">
        <v>0</v>
      </c>
    </row>
    <row r="232" spans="1:7" ht="15">
      <c r="A232" s="86" t="s">
        <v>820</v>
      </c>
      <c r="B232" s="89">
        <v>2</v>
      </c>
      <c r="C232" s="94">
        <v>0.008483279399679789</v>
      </c>
      <c r="D232" s="89" t="s">
        <v>318</v>
      </c>
      <c r="E232" s="89" t="b">
        <v>0</v>
      </c>
      <c r="F232" s="89" t="b">
        <v>0</v>
      </c>
      <c r="G232" s="89" t="b">
        <v>0</v>
      </c>
    </row>
    <row r="233" spans="1:7" ht="15">
      <c r="A233" s="86" t="s">
        <v>389</v>
      </c>
      <c r="B233" s="89">
        <v>2</v>
      </c>
      <c r="C233" s="94">
        <v>0.008483279399679789</v>
      </c>
      <c r="D233" s="89" t="s">
        <v>318</v>
      </c>
      <c r="E233" s="89" t="b">
        <v>0</v>
      </c>
      <c r="F233" s="89" t="b">
        <v>0</v>
      </c>
      <c r="G233" s="89" t="b">
        <v>0</v>
      </c>
    </row>
    <row r="234" spans="1:7" ht="15">
      <c r="A234" s="86" t="s">
        <v>857</v>
      </c>
      <c r="B234" s="89">
        <v>2</v>
      </c>
      <c r="C234" s="94">
        <v>0.008483279399679789</v>
      </c>
      <c r="D234" s="89" t="s">
        <v>318</v>
      </c>
      <c r="E234" s="89" t="b">
        <v>0</v>
      </c>
      <c r="F234" s="89" t="b">
        <v>0</v>
      </c>
      <c r="G234" s="89" t="b">
        <v>0</v>
      </c>
    </row>
    <row r="235" spans="1:7" ht="15">
      <c r="A235" s="86" t="s">
        <v>354</v>
      </c>
      <c r="B235" s="89">
        <v>2</v>
      </c>
      <c r="C235" s="94">
        <v>0.008483279399679789</v>
      </c>
      <c r="D235" s="89" t="s">
        <v>318</v>
      </c>
      <c r="E235" s="89" t="b">
        <v>0</v>
      </c>
      <c r="F235" s="89" t="b">
        <v>0</v>
      </c>
      <c r="G235" s="89" t="b">
        <v>0</v>
      </c>
    </row>
    <row r="236" spans="1:7" ht="15">
      <c r="A236" s="86" t="s">
        <v>858</v>
      </c>
      <c r="B236" s="89">
        <v>2</v>
      </c>
      <c r="C236" s="94">
        <v>0.008483279399679789</v>
      </c>
      <c r="D236" s="89" t="s">
        <v>318</v>
      </c>
      <c r="E236" s="89" t="b">
        <v>1</v>
      </c>
      <c r="F236" s="89" t="b">
        <v>0</v>
      </c>
      <c r="G236" s="89" t="b">
        <v>0</v>
      </c>
    </row>
    <row r="237" spans="1:7" ht="15">
      <c r="A237" s="86" t="s">
        <v>859</v>
      </c>
      <c r="B237" s="89">
        <v>2</v>
      </c>
      <c r="C237" s="94">
        <v>0.008483279399679789</v>
      </c>
      <c r="D237" s="89" t="s">
        <v>318</v>
      </c>
      <c r="E237" s="89" t="b">
        <v>1</v>
      </c>
      <c r="F237" s="89" t="b">
        <v>0</v>
      </c>
      <c r="G237" s="89" t="b">
        <v>0</v>
      </c>
    </row>
    <row r="238" spans="1:7" ht="15">
      <c r="A238" s="86" t="s">
        <v>363</v>
      </c>
      <c r="B238" s="89">
        <v>2</v>
      </c>
      <c r="C238" s="94">
        <v>0.008483279399679789</v>
      </c>
      <c r="D238" s="89" t="s">
        <v>318</v>
      </c>
      <c r="E238" s="89" t="b">
        <v>0</v>
      </c>
      <c r="F238" s="89" t="b">
        <v>0</v>
      </c>
      <c r="G238" s="89" t="b">
        <v>0</v>
      </c>
    </row>
    <row r="239" spans="1:7" ht="15">
      <c r="A239" s="86" t="s">
        <v>367</v>
      </c>
      <c r="B239" s="89">
        <v>2</v>
      </c>
      <c r="C239" s="94">
        <v>0.008483279399679789</v>
      </c>
      <c r="D239" s="89" t="s">
        <v>318</v>
      </c>
      <c r="E239" s="89" t="b">
        <v>0</v>
      </c>
      <c r="F239" s="89" t="b">
        <v>1</v>
      </c>
      <c r="G239" s="89" t="b">
        <v>0</v>
      </c>
    </row>
    <row r="240" spans="1:7" ht="15">
      <c r="A240" s="86" t="s">
        <v>860</v>
      </c>
      <c r="B240" s="89">
        <v>2</v>
      </c>
      <c r="C240" s="94">
        <v>0.008483279399679789</v>
      </c>
      <c r="D240" s="89" t="s">
        <v>318</v>
      </c>
      <c r="E240" s="89" t="b">
        <v>0</v>
      </c>
      <c r="F240" s="89" t="b">
        <v>0</v>
      </c>
      <c r="G240" s="89" t="b">
        <v>0</v>
      </c>
    </row>
    <row r="241" spans="1:7" ht="15">
      <c r="A241" s="86" t="s">
        <v>378</v>
      </c>
      <c r="B241" s="89">
        <v>2</v>
      </c>
      <c r="C241" s="94">
        <v>0.008483279399679789</v>
      </c>
      <c r="D241" s="89" t="s">
        <v>318</v>
      </c>
      <c r="E241" s="89" t="b">
        <v>0</v>
      </c>
      <c r="F241" s="89" t="b">
        <v>0</v>
      </c>
      <c r="G241" s="89" t="b">
        <v>0</v>
      </c>
    </row>
    <row r="242" spans="1:7" ht="15">
      <c r="A242" s="86" t="s">
        <v>861</v>
      </c>
      <c r="B242" s="89">
        <v>2</v>
      </c>
      <c r="C242" s="94">
        <v>0.008483279399679789</v>
      </c>
      <c r="D242" s="89" t="s">
        <v>318</v>
      </c>
      <c r="E242" s="89" t="b">
        <v>0</v>
      </c>
      <c r="F242" s="89" t="b">
        <v>0</v>
      </c>
      <c r="G242" s="89" t="b">
        <v>0</v>
      </c>
    </row>
    <row r="243" spans="1:7" ht="15">
      <c r="A243" s="86" t="s">
        <v>862</v>
      </c>
      <c r="B243" s="89">
        <v>2</v>
      </c>
      <c r="C243" s="94">
        <v>0.008483279399679789</v>
      </c>
      <c r="D243" s="89" t="s">
        <v>318</v>
      </c>
      <c r="E243" s="89" t="b">
        <v>0</v>
      </c>
      <c r="F243" s="89" t="b">
        <v>0</v>
      </c>
      <c r="G243" s="89" t="b">
        <v>0</v>
      </c>
    </row>
    <row r="244" spans="1:7" ht="15">
      <c r="A244" s="86" t="s">
        <v>365</v>
      </c>
      <c r="B244" s="89">
        <v>2</v>
      </c>
      <c r="C244" s="94">
        <v>0.008483279399679789</v>
      </c>
      <c r="D244" s="89" t="s">
        <v>318</v>
      </c>
      <c r="E244" s="89" t="b">
        <v>0</v>
      </c>
      <c r="F244" s="89" t="b">
        <v>0</v>
      </c>
      <c r="G244" s="89" t="b">
        <v>0</v>
      </c>
    </row>
    <row r="245" spans="1:7" ht="15">
      <c r="A245" s="86" t="s">
        <v>863</v>
      </c>
      <c r="B245" s="89">
        <v>2</v>
      </c>
      <c r="C245" s="94">
        <v>0.008483279399679789</v>
      </c>
      <c r="D245" s="89" t="s">
        <v>318</v>
      </c>
      <c r="E245" s="89" t="b">
        <v>0</v>
      </c>
      <c r="F245" s="89" t="b">
        <v>0</v>
      </c>
      <c r="G245" s="89" t="b">
        <v>0</v>
      </c>
    </row>
    <row r="246" spans="1:7" ht="15">
      <c r="A246" s="86" t="s">
        <v>370</v>
      </c>
      <c r="B246" s="89">
        <v>2</v>
      </c>
      <c r="C246" s="94">
        <v>0.008483279399679789</v>
      </c>
      <c r="D246" s="89" t="s">
        <v>318</v>
      </c>
      <c r="E246" s="89" t="b">
        <v>0</v>
      </c>
      <c r="F246" s="89" t="b">
        <v>0</v>
      </c>
      <c r="G246" s="89" t="b">
        <v>0</v>
      </c>
    </row>
    <row r="247" spans="1:7" ht="15">
      <c r="A247" s="86" t="s">
        <v>355</v>
      </c>
      <c r="B247" s="89">
        <v>2</v>
      </c>
      <c r="C247" s="94">
        <v>0.008483279399679789</v>
      </c>
      <c r="D247" s="89" t="s">
        <v>318</v>
      </c>
      <c r="E247" s="89" t="b">
        <v>1</v>
      </c>
      <c r="F247" s="89" t="b">
        <v>0</v>
      </c>
      <c r="G247" s="89" t="b">
        <v>0</v>
      </c>
    </row>
    <row r="248" spans="1:7" ht="15">
      <c r="A248" s="86" t="s">
        <v>864</v>
      </c>
      <c r="B248" s="89">
        <v>2</v>
      </c>
      <c r="C248" s="94">
        <v>0.008483279399679789</v>
      </c>
      <c r="D248" s="89" t="s">
        <v>318</v>
      </c>
      <c r="E248" s="89" t="b">
        <v>0</v>
      </c>
      <c r="F248" s="89" t="b">
        <v>0</v>
      </c>
      <c r="G248" s="89" t="b">
        <v>0</v>
      </c>
    </row>
    <row r="249" spans="1:7" ht="15">
      <c r="A249" s="86" t="s">
        <v>350</v>
      </c>
      <c r="B249" s="89">
        <v>2</v>
      </c>
      <c r="C249" s="94">
        <v>0.008483279399679789</v>
      </c>
      <c r="D249" s="89" t="s">
        <v>318</v>
      </c>
      <c r="E249" s="89" t="b">
        <v>0</v>
      </c>
      <c r="F249" s="89" t="b">
        <v>0</v>
      </c>
      <c r="G249" s="89" t="b">
        <v>0</v>
      </c>
    </row>
    <row r="250" spans="1:7" ht="15">
      <c r="A250" s="86" t="s">
        <v>865</v>
      </c>
      <c r="B250" s="89">
        <v>2</v>
      </c>
      <c r="C250" s="94">
        <v>0.008483279399679789</v>
      </c>
      <c r="D250" s="89" t="s">
        <v>318</v>
      </c>
      <c r="E250" s="89" t="b">
        <v>0</v>
      </c>
      <c r="F250" s="89" t="b">
        <v>0</v>
      </c>
      <c r="G250" s="89" t="b">
        <v>0</v>
      </c>
    </row>
    <row r="251" spans="1:7" ht="15">
      <c r="A251" s="86" t="s">
        <v>808</v>
      </c>
      <c r="B251" s="89">
        <v>2</v>
      </c>
      <c r="C251" s="94">
        <v>0.008483279399679789</v>
      </c>
      <c r="D251" s="89" t="s">
        <v>318</v>
      </c>
      <c r="E251" s="89" t="b">
        <v>0</v>
      </c>
      <c r="F251" s="89" t="b">
        <v>0</v>
      </c>
      <c r="G251" s="89" t="b">
        <v>0</v>
      </c>
    </row>
    <row r="252" spans="1:7" ht="15">
      <c r="A252" s="86" t="s">
        <v>352</v>
      </c>
      <c r="B252" s="89">
        <v>2</v>
      </c>
      <c r="C252" s="94">
        <v>0.008483279399679789</v>
      </c>
      <c r="D252" s="89" t="s">
        <v>318</v>
      </c>
      <c r="E252" s="89" t="b">
        <v>0</v>
      </c>
      <c r="F252" s="89" t="b">
        <v>0</v>
      </c>
      <c r="G252" s="89" t="b">
        <v>0</v>
      </c>
    </row>
    <row r="253" spans="1:7" ht="15">
      <c r="A253" s="86" t="s">
        <v>866</v>
      </c>
      <c r="B253" s="89">
        <v>2</v>
      </c>
      <c r="C253" s="94">
        <v>0.012392759862848376</v>
      </c>
      <c r="D253" s="89" t="s">
        <v>318</v>
      </c>
      <c r="E253" s="89" t="b">
        <v>0</v>
      </c>
      <c r="F253" s="89" t="b">
        <v>0</v>
      </c>
      <c r="G253" s="89" t="b">
        <v>0</v>
      </c>
    </row>
    <row r="254" spans="1:7" ht="15">
      <c r="A254" s="86" t="s">
        <v>348</v>
      </c>
      <c r="B254" s="89">
        <v>2</v>
      </c>
      <c r="C254" s="94">
        <v>0</v>
      </c>
      <c r="D254" s="89" t="s">
        <v>320</v>
      </c>
      <c r="E254" s="89" t="b">
        <v>0</v>
      </c>
      <c r="F254" s="89" t="b">
        <v>0</v>
      </c>
      <c r="G254" s="89" t="b">
        <v>0</v>
      </c>
    </row>
    <row r="255" spans="1:7" ht="15">
      <c r="A255" s="86" t="s">
        <v>799</v>
      </c>
      <c r="B255" s="89">
        <v>4</v>
      </c>
      <c r="C255" s="94">
        <v>0.012577947075405802</v>
      </c>
      <c r="D255" s="89" t="s">
        <v>321</v>
      </c>
      <c r="E255" s="89" t="b">
        <v>0</v>
      </c>
      <c r="F255" s="89" t="b">
        <v>0</v>
      </c>
      <c r="G255" s="89" t="b">
        <v>0</v>
      </c>
    </row>
    <row r="256" spans="1:7" ht="15">
      <c r="A256" s="86" t="s">
        <v>814</v>
      </c>
      <c r="B256" s="89">
        <v>3</v>
      </c>
      <c r="C256" s="94">
        <v>0</v>
      </c>
      <c r="D256" s="89" t="s">
        <v>321</v>
      </c>
      <c r="E256" s="89" t="b">
        <v>0</v>
      </c>
      <c r="F256" s="89" t="b">
        <v>0</v>
      </c>
      <c r="G256" s="89" t="b">
        <v>0</v>
      </c>
    </row>
    <row r="257" spans="1:7" ht="15">
      <c r="A257" s="86" t="s">
        <v>797</v>
      </c>
      <c r="B257" s="89">
        <v>3</v>
      </c>
      <c r="C257" s="94">
        <v>0</v>
      </c>
      <c r="D257" s="89" t="s">
        <v>321</v>
      </c>
      <c r="E257" s="89" t="b">
        <v>0</v>
      </c>
      <c r="F257" s="89" t="b">
        <v>0</v>
      </c>
      <c r="G257" s="89" t="b">
        <v>0</v>
      </c>
    </row>
    <row r="258" spans="1:7" ht="15">
      <c r="A258" s="86" t="s">
        <v>361</v>
      </c>
      <c r="B258" s="89">
        <v>2</v>
      </c>
      <c r="C258" s="94">
        <v>0.006288973537702901</v>
      </c>
      <c r="D258" s="89" t="s">
        <v>321</v>
      </c>
      <c r="E258" s="89" t="b">
        <v>1</v>
      </c>
      <c r="F258" s="89" t="b">
        <v>0</v>
      </c>
      <c r="G258" s="89" t="b">
        <v>0</v>
      </c>
    </row>
    <row r="259" spans="1:7" ht="15">
      <c r="A259" s="86" t="s">
        <v>833</v>
      </c>
      <c r="B259" s="89">
        <v>2</v>
      </c>
      <c r="C259" s="94">
        <v>0.006288973537702901</v>
      </c>
      <c r="D259" s="89" t="s">
        <v>321</v>
      </c>
      <c r="E259" s="89" t="b">
        <v>0</v>
      </c>
      <c r="F259" s="89" t="b">
        <v>0</v>
      </c>
      <c r="G259" s="89" t="b">
        <v>0</v>
      </c>
    </row>
    <row r="260" spans="1:7" ht="15">
      <c r="A260" s="86" t="s">
        <v>834</v>
      </c>
      <c r="B260" s="89">
        <v>2</v>
      </c>
      <c r="C260" s="94">
        <v>0.006288973537702901</v>
      </c>
      <c r="D260" s="89" t="s">
        <v>321</v>
      </c>
      <c r="E260" s="89" t="b">
        <v>0</v>
      </c>
      <c r="F260" s="89" t="b">
        <v>0</v>
      </c>
      <c r="G260" s="89" t="b">
        <v>0</v>
      </c>
    </row>
    <row r="261" spans="1:7" ht="15">
      <c r="A261" s="86" t="s">
        <v>360</v>
      </c>
      <c r="B261" s="89">
        <v>2</v>
      </c>
      <c r="C261" s="94">
        <v>0.006288973537702901</v>
      </c>
      <c r="D261" s="89" t="s">
        <v>321</v>
      </c>
      <c r="E261" s="89" t="b">
        <v>0</v>
      </c>
      <c r="F261" s="89" t="b">
        <v>0</v>
      </c>
      <c r="G261" s="89" t="b">
        <v>0</v>
      </c>
    </row>
    <row r="262" spans="1:7" ht="15">
      <c r="A262" s="86" t="s">
        <v>357</v>
      </c>
      <c r="B262" s="89">
        <v>2</v>
      </c>
      <c r="C262" s="94">
        <v>0.006288973537702901</v>
      </c>
      <c r="D262" s="89" t="s">
        <v>321</v>
      </c>
      <c r="E262" s="89" t="b">
        <v>0</v>
      </c>
      <c r="F262" s="89" t="b">
        <v>0</v>
      </c>
      <c r="G262" s="89" t="b">
        <v>0</v>
      </c>
    </row>
    <row r="263" spans="1:7" ht="15">
      <c r="A263" s="86" t="s">
        <v>345</v>
      </c>
      <c r="B263" s="89">
        <v>2</v>
      </c>
      <c r="C263" s="94">
        <v>0.006288973537702901</v>
      </c>
      <c r="D263" s="89" t="s">
        <v>321</v>
      </c>
      <c r="E263" s="89" t="b">
        <v>0</v>
      </c>
      <c r="F263" s="89" t="b">
        <v>0</v>
      </c>
      <c r="G263" s="89" t="b">
        <v>0</v>
      </c>
    </row>
    <row r="264" spans="1:7" ht="15">
      <c r="A264" s="86" t="s">
        <v>835</v>
      </c>
      <c r="B264" s="89">
        <v>2</v>
      </c>
      <c r="C264" s="94">
        <v>0.006288973537702901</v>
      </c>
      <c r="D264" s="89" t="s">
        <v>321</v>
      </c>
      <c r="E264" s="89" t="b">
        <v>0</v>
      </c>
      <c r="F264" s="89" t="b">
        <v>0</v>
      </c>
      <c r="G264" s="89" t="b">
        <v>0</v>
      </c>
    </row>
    <row r="265" spans="1:7" ht="15">
      <c r="A265" s="86" t="s">
        <v>836</v>
      </c>
      <c r="B265" s="89">
        <v>2</v>
      </c>
      <c r="C265" s="94">
        <v>0.006288973537702901</v>
      </c>
      <c r="D265" s="89" t="s">
        <v>321</v>
      </c>
      <c r="E265" s="89" t="b">
        <v>0</v>
      </c>
      <c r="F265" s="89" t="b">
        <v>0</v>
      </c>
      <c r="G265" s="89" t="b">
        <v>0</v>
      </c>
    </row>
    <row r="266" spans="1:7" ht="15">
      <c r="A266" s="86" t="s">
        <v>309</v>
      </c>
      <c r="B266" s="89">
        <v>2</v>
      </c>
      <c r="C266" s="94">
        <v>0.006288973537702901</v>
      </c>
      <c r="D266" s="89" t="s">
        <v>321</v>
      </c>
      <c r="E266" s="89" t="b">
        <v>0</v>
      </c>
      <c r="F266" s="89" t="b">
        <v>0</v>
      </c>
      <c r="G266" s="89" t="b">
        <v>0</v>
      </c>
    </row>
    <row r="267" spans="1:7" ht="15">
      <c r="A267" s="86" t="s">
        <v>837</v>
      </c>
      <c r="B267" s="89">
        <v>2</v>
      </c>
      <c r="C267" s="94">
        <v>0.006288973537702901</v>
      </c>
      <c r="D267" s="89" t="s">
        <v>321</v>
      </c>
      <c r="E267" s="89" t="b">
        <v>0</v>
      </c>
      <c r="F267" s="89" t="b">
        <v>0</v>
      </c>
      <c r="G267" s="89" t="b">
        <v>0</v>
      </c>
    </row>
    <row r="268" spans="1:7" ht="15">
      <c r="A268" s="86" t="s">
        <v>838</v>
      </c>
      <c r="B268" s="89">
        <v>2</v>
      </c>
      <c r="C268" s="94">
        <v>0.006288973537702901</v>
      </c>
      <c r="D268" s="89" t="s">
        <v>321</v>
      </c>
      <c r="E268" s="89" t="b">
        <v>0</v>
      </c>
      <c r="F268" s="89" t="b">
        <v>0</v>
      </c>
      <c r="G268" s="89" t="b">
        <v>0</v>
      </c>
    </row>
    <row r="269" spans="1:7" ht="15">
      <c r="A269" s="86" t="s">
        <v>839</v>
      </c>
      <c r="B269" s="89">
        <v>2</v>
      </c>
      <c r="C269" s="94">
        <v>0.006288973537702901</v>
      </c>
      <c r="D269" s="89" t="s">
        <v>321</v>
      </c>
      <c r="E269" s="89" t="b">
        <v>0</v>
      </c>
      <c r="F269" s="89" t="b">
        <v>0</v>
      </c>
      <c r="G269" s="89" t="b">
        <v>0</v>
      </c>
    </row>
    <row r="270" spans="1:7" ht="15">
      <c r="A270" s="86" t="s">
        <v>840</v>
      </c>
      <c r="B270" s="89">
        <v>2</v>
      </c>
      <c r="C270" s="94">
        <v>0.006288973537702901</v>
      </c>
      <c r="D270" s="89" t="s">
        <v>321</v>
      </c>
      <c r="E270" s="89" t="b">
        <v>0</v>
      </c>
      <c r="F270" s="89" t="b">
        <v>0</v>
      </c>
      <c r="G270" s="89" t="b">
        <v>0</v>
      </c>
    </row>
    <row r="271" spans="1:7" ht="15">
      <c r="A271" s="86" t="s">
        <v>841</v>
      </c>
      <c r="B271" s="89">
        <v>2</v>
      </c>
      <c r="C271" s="94">
        <v>0.006288973537702901</v>
      </c>
      <c r="D271" s="89" t="s">
        <v>321</v>
      </c>
      <c r="E271" s="89" t="b">
        <v>0</v>
      </c>
      <c r="F271" s="89" t="b">
        <v>0</v>
      </c>
      <c r="G271" s="89" t="b">
        <v>0</v>
      </c>
    </row>
    <row r="272" spans="1:7" ht="15">
      <c r="A272" s="86" t="s">
        <v>805</v>
      </c>
      <c r="B272" s="89">
        <v>2</v>
      </c>
      <c r="C272" s="94">
        <v>0.006288973537702901</v>
      </c>
      <c r="D272" s="89" t="s">
        <v>321</v>
      </c>
      <c r="E272" s="89" t="b">
        <v>0</v>
      </c>
      <c r="F272" s="89" t="b">
        <v>0</v>
      </c>
      <c r="G27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C5961-0680-4074-A3C4-7D73DFD84889}">
  <dimension ref="A1:L27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399</v>
      </c>
      <c r="B1" s="13" t="s">
        <v>400</v>
      </c>
      <c r="C1" s="13" t="s">
        <v>390</v>
      </c>
      <c r="D1" s="13" t="s">
        <v>394</v>
      </c>
      <c r="E1" s="13" t="s">
        <v>401</v>
      </c>
      <c r="F1" s="13" t="s">
        <v>144</v>
      </c>
      <c r="G1" s="13" t="s">
        <v>402</v>
      </c>
      <c r="H1" s="13" t="s">
        <v>403</v>
      </c>
      <c r="I1" s="13" t="s">
        <v>404</v>
      </c>
      <c r="J1" s="13" t="s">
        <v>405</v>
      </c>
      <c r="K1" s="13" t="s">
        <v>406</v>
      </c>
      <c r="L1" s="13" t="s">
        <v>407</v>
      </c>
    </row>
    <row r="2" spans="1:12" ht="15">
      <c r="A2" s="89" t="s">
        <v>803</v>
      </c>
      <c r="B2" s="89" t="s">
        <v>380</v>
      </c>
      <c r="C2" s="89">
        <v>5</v>
      </c>
      <c r="D2" s="94">
        <v>0.006685148199172197</v>
      </c>
      <c r="E2" s="94">
        <v>1.896841037714942</v>
      </c>
      <c r="F2" s="89" t="s">
        <v>395</v>
      </c>
      <c r="G2" s="89" t="b">
        <v>0</v>
      </c>
      <c r="H2" s="89" t="b">
        <v>1</v>
      </c>
      <c r="I2" s="89" t="b">
        <v>0</v>
      </c>
      <c r="J2" s="89" t="b">
        <v>0</v>
      </c>
      <c r="K2" s="89" t="b">
        <v>0</v>
      </c>
      <c r="L2" s="89" t="b">
        <v>0</v>
      </c>
    </row>
    <row r="3" spans="1:12" ht="15">
      <c r="A3" s="86" t="s">
        <v>587</v>
      </c>
      <c r="B3" s="89" t="s">
        <v>595</v>
      </c>
      <c r="C3" s="89">
        <v>5</v>
      </c>
      <c r="D3" s="94">
        <v>0.006685148199172197</v>
      </c>
      <c r="E3" s="94">
        <v>1.8388490907372552</v>
      </c>
      <c r="F3" s="89" t="s">
        <v>395</v>
      </c>
      <c r="G3" s="89" t="b">
        <v>0</v>
      </c>
      <c r="H3" s="89" t="b">
        <v>0</v>
      </c>
      <c r="I3" s="89" t="b">
        <v>0</v>
      </c>
      <c r="J3" s="89" t="b">
        <v>0</v>
      </c>
      <c r="K3" s="89" t="b">
        <v>0</v>
      </c>
      <c r="L3" s="89" t="b">
        <v>0</v>
      </c>
    </row>
    <row r="4" spans="1:12" ht="15">
      <c r="A4" s="86" t="s">
        <v>369</v>
      </c>
      <c r="B4" s="89" t="s">
        <v>800</v>
      </c>
      <c r="C4" s="89">
        <v>5</v>
      </c>
      <c r="D4" s="94">
        <v>0.00859106529209622</v>
      </c>
      <c r="E4" s="94">
        <v>1.5958110420509608</v>
      </c>
      <c r="F4" s="89" t="s">
        <v>395</v>
      </c>
      <c r="G4" s="89" t="b">
        <v>1</v>
      </c>
      <c r="H4" s="89" t="b">
        <v>0</v>
      </c>
      <c r="I4" s="89" t="b">
        <v>0</v>
      </c>
      <c r="J4" s="89" t="b">
        <v>0</v>
      </c>
      <c r="K4" s="89" t="b">
        <v>0</v>
      </c>
      <c r="L4" s="89" t="b">
        <v>0</v>
      </c>
    </row>
    <row r="5" spans="1:12" ht="15">
      <c r="A5" s="86" t="s">
        <v>797</v>
      </c>
      <c r="B5" s="89" t="s">
        <v>801</v>
      </c>
      <c r="C5" s="89">
        <v>4</v>
      </c>
      <c r="D5" s="94">
        <v>0.0060141667587058426</v>
      </c>
      <c r="E5" s="94">
        <v>1.0887265639538553</v>
      </c>
      <c r="F5" s="89" t="s">
        <v>395</v>
      </c>
      <c r="G5" s="89" t="b">
        <v>0</v>
      </c>
      <c r="H5" s="89" t="b">
        <v>0</v>
      </c>
      <c r="I5" s="89" t="b">
        <v>0</v>
      </c>
      <c r="J5" s="89" t="b">
        <v>0</v>
      </c>
      <c r="K5" s="89" t="b">
        <v>0</v>
      </c>
      <c r="L5" s="89" t="b">
        <v>0</v>
      </c>
    </row>
    <row r="6" spans="1:12" ht="15">
      <c r="A6" s="86" t="s">
        <v>815</v>
      </c>
      <c r="B6" s="89" t="s">
        <v>797</v>
      </c>
      <c r="C6" s="89">
        <v>3</v>
      </c>
      <c r="D6" s="94">
        <v>0.005154639175257732</v>
      </c>
      <c r="E6" s="94">
        <v>1.3617278360175928</v>
      </c>
      <c r="F6" s="89" t="s">
        <v>395</v>
      </c>
      <c r="G6" s="89" t="b">
        <v>0</v>
      </c>
      <c r="H6" s="89" t="b">
        <v>0</v>
      </c>
      <c r="I6" s="89" t="b">
        <v>0</v>
      </c>
      <c r="J6" s="89" t="b">
        <v>0</v>
      </c>
      <c r="K6" s="89" t="b">
        <v>0</v>
      </c>
      <c r="L6" s="89" t="b">
        <v>0</v>
      </c>
    </row>
    <row r="7" spans="1:12" ht="15">
      <c r="A7" s="86" t="s">
        <v>797</v>
      </c>
      <c r="B7" s="89" t="s">
        <v>804</v>
      </c>
      <c r="C7" s="89">
        <v>3</v>
      </c>
      <c r="D7" s="94">
        <v>0.005154639175257732</v>
      </c>
      <c r="E7" s="94">
        <v>1.1398790864012365</v>
      </c>
      <c r="F7" s="89" t="s">
        <v>395</v>
      </c>
      <c r="G7" s="89" t="b">
        <v>0</v>
      </c>
      <c r="H7" s="89" t="b">
        <v>0</v>
      </c>
      <c r="I7" s="89" t="b">
        <v>0</v>
      </c>
      <c r="J7" s="89" t="b">
        <v>0</v>
      </c>
      <c r="K7" s="89" t="b">
        <v>0</v>
      </c>
      <c r="L7" s="89" t="b">
        <v>0</v>
      </c>
    </row>
    <row r="8" spans="1:12" ht="15">
      <c r="A8" s="86" t="s">
        <v>804</v>
      </c>
      <c r="B8" s="89" t="s">
        <v>344</v>
      </c>
      <c r="C8" s="89">
        <v>3</v>
      </c>
      <c r="D8" s="94">
        <v>0.005154639175257732</v>
      </c>
      <c r="E8" s="94">
        <v>1.326965729758381</v>
      </c>
      <c r="F8" s="89" t="s">
        <v>395</v>
      </c>
      <c r="G8" s="89" t="b">
        <v>0</v>
      </c>
      <c r="H8" s="89" t="b">
        <v>0</v>
      </c>
      <c r="I8" s="89" t="b">
        <v>0</v>
      </c>
      <c r="J8" s="89" t="b">
        <v>0</v>
      </c>
      <c r="K8" s="89" t="b">
        <v>0</v>
      </c>
      <c r="L8" s="89" t="b">
        <v>0</v>
      </c>
    </row>
    <row r="9" spans="1:12" ht="15">
      <c r="A9" s="86" t="s">
        <v>344</v>
      </c>
      <c r="B9" s="89" t="s">
        <v>375</v>
      </c>
      <c r="C9" s="89">
        <v>3</v>
      </c>
      <c r="D9" s="94">
        <v>0.005154639175257732</v>
      </c>
      <c r="E9" s="94">
        <v>1.326965729758381</v>
      </c>
      <c r="F9" s="89" t="s">
        <v>395</v>
      </c>
      <c r="G9" s="89" t="b">
        <v>0</v>
      </c>
      <c r="H9" s="89" t="b">
        <v>0</v>
      </c>
      <c r="I9" s="89" t="b">
        <v>0</v>
      </c>
      <c r="J9" s="89" t="b">
        <v>0</v>
      </c>
      <c r="K9" s="89" t="b">
        <v>0</v>
      </c>
      <c r="L9" s="89" t="b">
        <v>0</v>
      </c>
    </row>
    <row r="10" spans="1:12" ht="15">
      <c r="A10" s="86" t="s">
        <v>375</v>
      </c>
      <c r="B10" s="89" t="s">
        <v>360</v>
      </c>
      <c r="C10" s="89">
        <v>3</v>
      </c>
      <c r="D10" s="94">
        <v>0.005154639175257732</v>
      </c>
      <c r="E10" s="94">
        <v>1.5958110420509608</v>
      </c>
      <c r="F10" s="89" t="s">
        <v>395</v>
      </c>
      <c r="G10" s="89" t="b">
        <v>0</v>
      </c>
      <c r="H10" s="89" t="b">
        <v>0</v>
      </c>
      <c r="I10" s="89" t="b">
        <v>0</v>
      </c>
      <c r="J10" s="89" t="b">
        <v>0</v>
      </c>
      <c r="K10" s="89" t="b">
        <v>0</v>
      </c>
      <c r="L10" s="89" t="b">
        <v>0</v>
      </c>
    </row>
    <row r="11" spans="1:12" ht="15">
      <c r="A11" s="86" t="s">
        <v>360</v>
      </c>
      <c r="B11" s="89" t="s">
        <v>348</v>
      </c>
      <c r="C11" s="89">
        <v>3</v>
      </c>
      <c r="D11" s="94">
        <v>0.005154639175257732</v>
      </c>
      <c r="E11" s="94">
        <v>1.470872305442661</v>
      </c>
      <c r="F11" s="89" t="s">
        <v>395</v>
      </c>
      <c r="G11" s="89" t="b">
        <v>0</v>
      </c>
      <c r="H11" s="89" t="b">
        <v>0</v>
      </c>
      <c r="I11" s="89" t="b">
        <v>0</v>
      </c>
      <c r="J11" s="89" t="b">
        <v>0</v>
      </c>
      <c r="K11" s="89" t="b">
        <v>0</v>
      </c>
      <c r="L11" s="89" t="b">
        <v>0</v>
      </c>
    </row>
    <row r="12" spans="1:12" ht="15">
      <c r="A12" s="86" t="s">
        <v>348</v>
      </c>
      <c r="B12" s="89" t="s">
        <v>816</v>
      </c>
      <c r="C12" s="89">
        <v>3</v>
      </c>
      <c r="D12" s="94">
        <v>0.005154639175257732</v>
      </c>
      <c r="E12" s="94">
        <v>1.741939077729199</v>
      </c>
      <c r="F12" s="89" t="s">
        <v>395</v>
      </c>
      <c r="G12" s="89" t="b">
        <v>0</v>
      </c>
      <c r="H12" s="89" t="b">
        <v>0</v>
      </c>
      <c r="I12" s="89" t="b">
        <v>0</v>
      </c>
      <c r="J12" s="89" t="b">
        <v>1</v>
      </c>
      <c r="K12" s="89" t="b">
        <v>0</v>
      </c>
      <c r="L12" s="89" t="b">
        <v>0</v>
      </c>
    </row>
    <row r="13" spans="1:12" ht="15">
      <c r="A13" s="86" t="s">
        <v>816</v>
      </c>
      <c r="B13" s="89" t="s">
        <v>257</v>
      </c>
      <c r="C13" s="89">
        <v>3</v>
      </c>
      <c r="D13" s="94">
        <v>0.005154639175257732</v>
      </c>
      <c r="E13" s="94">
        <v>2.2648178230095364</v>
      </c>
      <c r="F13" s="89" t="s">
        <v>395</v>
      </c>
      <c r="G13" s="89" t="b">
        <v>1</v>
      </c>
      <c r="H13" s="89" t="b">
        <v>0</v>
      </c>
      <c r="I13" s="89" t="b">
        <v>0</v>
      </c>
      <c r="J13" s="89" t="b">
        <v>0</v>
      </c>
      <c r="K13" s="89" t="b">
        <v>0</v>
      </c>
      <c r="L13" s="89" t="b">
        <v>0</v>
      </c>
    </row>
    <row r="14" spans="1:12" ht="15">
      <c r="A14" s="86" t="s">
        <v>257</v>
      </c>
      <c r="B14" s="89" t="s">
        <v>587</v>
      </c>
      <c r="C14" s="89">
        <v>3</v>
      </c>
      <c r="D14" s="94">
        <v>0.005154639175257732</v>
      </c>
      <c r="E14" s="94">
        <v>1.896841037714942</v>
      </c>
      <c r="F14" s="89" t="s">
        <v>395</v>
      </c>
      <c r="G14" s="89" t="b">
        <v>0</v>
      </c>
      <c r="H14" s="89" t="b">
        <v>0</v>
      </c>
      <c r="I14" s="89" t="b">
        <v>0</v>
      </c>
      <c r="J14" s="89" t="b">
        <v>0</v>
      </c>
      <c r="K14" s="89" t="b">
        <v>0</v>
      </c>
      <c r="L14" s="89" t="b">
        <v>0</v>
      </c>
    </row>
    <row r="15" spans="1:12" ht="15">
      <c r="A15" s="86" t="s">
        <v>595</v>
      </c>
      <c r="B15" s="89" t="s">
        <v>580</v>
      </c>
      <c r="C15" s="89">
        <v>3</v>
      </c>
      <c r="D15" s="94">
        <v>0.005154639175257732</v>
      </c>
      <c r="E15" s="94">
        <v>2.0429690733931802</v>
      </c>
      <c r="F15" s="89" t="s">
        <v>395</v>
      </c>
      <c r="G15" s="89" t="b">
        <v>0</v>
      </c>
      <c r="H15" s="89" t="b">
        <v>0</v>
      </c>
      <c r="I15" s="89" t="b">
        <v>0</v>
      </c>
      <c r="J15" s="89" t="b">
        <v>0</v>
      </c>
      <c r="K15" s="89" t="b">
        <v>0</v>
      </c>
      <c r="L15" s="89" t="b">
        <v>0</v>
      </c>
    </row>
    <row r="16" spans="1:12" ht="15">
      <c r="A16" s="86" t="s">
        <v>580</v>
      </c>
      <c r="B16" s="89" t="s">
        <v>817</v>
      </c>
      <c r="C16" s="89">
        <v>3</v>
      </c>
      <c r="D16" s="94">
        <v>0.005154639175257732</v>
      </c>
      <c r="E16" s="94">
        <v>2.2648178230095364</v>
      </c>
      <c r="F16" s="89" t="s">
        <v>395</v>
      </c>
      <c r="G16" s="89" t="b">
        <v>0</v>
      </c>
      <c r="H16" s="89" t="b">
        <v>0</v>
      </c>
      <c r="I16" s="89" t="b">
        <v>0</v>
      </c>
      <c r="J16" s="89" t="b">
        <v>1</v>
      </c>
      <c r="K16" s="89" t="b">
        <v>0</v>
      </c>
      <c r="L16" s="89" t="b">
        <v>0</v>
      </c>
    </row>
    <row r="17" spans="1:12" ht="15">
      <c r="A17" s="86" t="s">
        <v>817</v>
      </c>
      <c r="B17" s="89" t="s">
        <v>806</v>
      </c>
      <c r="C17" s="89">
        <v>3</v>
      </c>
      <c r="D17" s="94">
        <v>0.005154639175257732</v>
      </c>
      <c r="E17" s="94">
        <v>2.0429690733931802</v>
      </c>
      <c r="F17" s="89" t="s">
        <v>395</v>
      </c>
      <c r="G17" s="89" t="b">
        <v>1</v>
      </c>
      <c r="H17" s="89" t="b">
        <v>0</v>
      </c>
      <c r="I17" s="89" t="b">
        <v>0</v>
      </c>
      <c r="J17" s="89" t="b">
        <v>0</v>
      </c>
      <c r="K17" s="89" t="b">
        <v>0</v>
      </c>
      <c r="L17" s="89" t="b">
        <v>0</v>
      </c>
    </row>
    <row r="18" spans="1:12" ht="15">
      <c r="A18" s="86" t="s">
        <v>806</v>
      </c>
      <c r="B18" s="89" t="s">
        <v>374</v>
      </c>
      <c r="C18" s="89">
        <v>3</v>
      </c>
      <c r="D18" s="94">
        <v>0.005154639175257732</v>
      </c>
      <c r="E18" s="94">
        <v>2.0429690733931802</v>
      </c>
      <c r="F18" s="89" t="s">
        <v>395</v>
      </c>
      <c r="G18" s="89" t="b">
        <v>0</v>
      </c>
      <c r="H18" s="89" t="b">
        <v>0</v>
      </c>
      <c r="I18" s="89" t="b">
        <v>0</v>
      </c>
      <c r="J18" s="89" t="b">
        <v>0</v>
      </c>
      <c r="K18" s="89" t="b">
        <v>0</v>
      </c>
      <c r="L18" s="89" t="b">
        <v>0</v>
      </c>
    </row>
    <row r="19" spans="1:12" ht="15">
      <c r="A19" s="86" t="s">
        <v>374</v>
      </c>
      <c r="B19" s="89" t="s">
        <v>307</v>
      </c>
      <c r="C19" s="89">
        <v>3</v>
      </c>
      <c r="D19" s="94">
        <v>0.005154639175257732</v>
      </c>
      <c r="E19" s="94">
        <v>2.2648178230095364</v>
      </c>
      <c r="F19" s="89" t="s">
        <v>395</v>
      </c>
      <c r="G19" s="89" t="b">
        <v>0</v>
      </c>
      <c r="H19" s="89" t="b">
        <v>0</v>
      </c>
      <c r="I19" s="89" t="b">
        <v>0</v>
      </c>
      <c r="J19" s="89" t="b">
        <v>0</v>
      </c>
      <c r="K19" s="89" t="b">
        <v>0</v>
      </c>
      <c r="L19" s="89" t="b">
        <v>0</v>
      </c>
    </row>
    <row r="20" spans="1:12" ht="15">
      <c r="A20" s="86" t="s">
        <v>307</v>
      </c>
      <c r="B20" s="89" t="s">
        <v>802</v>
      </c>
      <c r="C20" s="89">
        <v>3</v>
      </c>
      <c r="D20" s="94">
        <v>0.005154639175257732</v>
      </c>
      <c r="E20" s="94">
        <v>1.787696568289874</v>
      </c>
      <c r="F20" s="89" t="s">
        <v>395</v>
      </c>
      <c r="G20" s="89" t="b">
        <v>0</v>
      </c>
      <c r="H20" s="89" t="b">
        <v>0</v>
      </c>
      <c r="I20" s="89" t="b">
        <v>0</v>
      </c>
      <c r="J20" s="89" t="b">
        <v>0</v>
      </c>
      <c r="K20" s="89" t="b">
        <v>0</v>
      </c>
      <c r="L20" s="89" t="b">
        <v>0</v>
      </c>
    </row>
    <row r="21" spans="1:12" ht="15">
      <c r="A21" s="86" t="s">
        <v>802</v>
      </c>
      <c r="B21" s="89" t="s">
        <v>582</v>
      </c>
      <c r="C21" s="89">
        <v>3</v>
      </c>
      <c r="D21" s="94">
        <v>0.005154639175257732</v>
      </c>
      <c r="E21" s="94">
        <v>1.6749922880985857</v>
      </c>
      <c r="F21" s="89" t="s">
        <v>395</v>
      </c>
      <c r="G21" s="89" t="b">
        <v>0</v>
      </c>
      <c r="H21" s="89" t="b">
        <v>0</v>
      </c>
      <c r="I21" s="89" t="b">
        <v>0</v>
      </c>
      <c r="J21" s="89" t="b">
        <v>0</v>
      </c>
      <c r="K21" s="89" t="b">
        <v>0</v>
      </c>
      <c r="L21" s="89" t="b">
        <v>0</v>
      </c>
    </row>
    <row r="22" spans="1:12" ht="15">
      <c r="A22" s="86" t="s">
        <v>582</v>
      </c>
      <c r="B22" s="89" t="s">
        <v>344</v>
      </c>
      <c r="C22" s="89">
        <v>3</v>
      </c>
      <c r="D22" s="94">
        <v>0.005154639175257732</v>
      </c>
      <c r="E22" s="94">
        <v>1.4061469758060057</v>
      </c>
      <c r="F22" s="89" t="s">
        <v>395</v>
      </c>
      <c r="G22" s="89" t="b">
        <v>0</v>
      </c>
      <c r="H22" s="89" t="b">
        <v>0</v>
      </c>
      <c r="I22" s="89" t="b">
        <v>0</v>
      </c>
      <c r="J22" s="89" t="b">
        <v>0</v>
      </c>
      <c r="K22" s="89" t="b">
        <v>0</v>
      </c>
      <c r="L22" s="89" t="b">
        <v>0</v>
      </c>
    </row>
    <row r="23" spans="1:12" ht="15">
      <c r="A23" s="86" t="s">
        <v>344</v>
      </c>
      <c r="B23" s="89" t="s">
        <v>818</v>
      </c>
      <c r="C23" s="89">
        <v>3</v>
      </c>
      <c r="D23" s="94">
        <v>0.005154639175257732</v>
      </c>
      <c r="E23" s="94">
        <v>1.627995725422362</v>
      </c>
      <c r="F23" s="89" t="s">
        <v>395</v>
      </c>
      <c r="G23" s="89" t="b">
        <v>0</v>
      </c>
      <c r="H23" s="89" t="b">
        <v>0</v>
      </c>
      <c r="I23" s="89" t="b">
        <v>0</v>
      </c>
      <c r="J23" s="89" t="b">
        <v>0</v>
      </c>
      <c r="K23" s="89" t="b">
        <v>0</v>
      </c>
      <c r="L23" s="89" t="b">
        <v>0</v>
      </c>
    </row>
    <row r="24" spans="1:12" ht="15">
      <c r="A24" s="86" t="s">
        <v>818</v>
      </c>
      <c r="B24" s="89" t="s">
        <v>798</v>
      </c>
      <c r="C24" s="89">
        <v>3</v>
      </c>
      <c r="D24" s="94">
        <v>0.005154639175257732</v>
      </c>
      <c r="E24" s="94">
        <v>1.787696568289874</v>
      </c>
      <c r="F24" s="89" t="s">
        <v>395</v>
      </c>
      <c r="G24" s="89" t="b">
        <v>0</v>
      </c>
      <c r="H24" s="89" t="b">
        <v>0</v>
      </c>
      <c r="I24" s="89" t="b">
        <v>0</v>
      </c>
      <c r="J24" s="89" t="b">
        <v>0</v>
      </c>
      <c r="K24" s="89" t="b">
        <v>0</v>
      </c>
      <c r="L24" s="89" t="b">
        <v>0</v>
      </c>
    </row>
    <row r="25" spans="1:12" ht="15">
      <c r="A25" s="86" t="s">
        <v>798</v>
      </c>
      <c r="B25" s="89" t="s">
        <v>803</v>
      </c>
      <c r="C25" s="89">
        <v>3</v>
      </c>
      <c r="D25" s="94">
        <v>0.005154639175257732</v>
      </c>
      <c r="E25" s="94">
        <v>1.3325696072763795</v>
      </c>
      <c r="F25" s="89" t="s">
        <v>395</v>
      </c>
      <c r="G25" s="89" t="b">
        <v>0</v>
      </c>
      <c r="H25" s="89" t="b">
        <v>0</v>
      </c>
      <c r="I25" s="89" t="b">
        <v>0</v>
      </c>
      <c r="J25" s="89" t="b">
        <v>0</v>
      </c>
      <c r="K25" s="89" t="b">
        <v>1</v>
      </c>
      <c r="L25" s="89" t="b">
        <v>0</v>
      </c>
    </row>
    <row r="26" spans="1:12" ht="15">
      <c r="A26" s="86" t="s">
        <v>380</v>
      </c>
      <c r="B26" s="89" t="s">
        <v>343</v>
      </c>
      <c r="C26" s="89">
        <v>3</v>
      </c>
      <c r="D26" s="94">
        <v>0.005154639175257732</v>
      </c>
      <c r="E26" s="94">
        <v>1.91803033678488</v>
      </c>
      <c r="F26" s="89" t="s">
        <v>395</v>
      </c>
      <c r="G26" s="89" t="b">
        <v>0</v>
      </c>
      <c r="H26" s="89" t="b">
        <v>0</v>
      </c>
      <c r="I26" s="89" t="b">
        <v>0</v>
      </c>
      <c r="J26" s="89" t="b">
        <v>0</v>
      </c>
      <c r="K26" s="89" t="b">
        <v>0</v>
      </c>
      <c r="L26" s="89" t="b">
        <v>0</v>
      </c>
    </row>
    <row r="27" spans="1:12" ht="15">
      <c r="A27" s="86" t="s">
        <v>801</v>
      </c>
      <c r="B27" s="89" t="s">
        <v>797</v>
      </c>
      <c r="C27" s="89">
        <v>3</v>
      </c>
      <c r="D27" s="94">
        <v>0.005154639175257732</v>
      </c>
      <c r="E27" s="94">
        <v>0.9357591037453117</v>
      </c>
      <c r="F27" s="89" t="s">
        <v>395</v>
      </c>
      <c r="G27" s="89" t="b">
        <v>0</v>
      </c>
      <c r="H27" s="89" t="b">
        <v>0</v>
      </c>
      <c r="I27" s="89" t="b">
        <v>0</v>
      </c>
      <c r="J27" s="89" t="b">
        <v>0</v>
      </c>
      <c r="K27" s="89" t="b">
        <v>0</v>
      </c>
      <c r="L27" s="89" t="b">
        <v>0</v>
      </c>
    </row>
    <row r="28" spans="1:12" ht="15">
      <c r="A28" s="86" t="s">
        <v>799</v>
      </c>
      <c r="B28" s="89" t="s">
        <v>807</v>
      </c>
      <c r="C28" s="89">
        <v>2</v>
      </c>
      <c r="D28" s="94">
        <v>0.004041550718404403</v>
      </c>
      <c r="E28" s="94">
        <v>1.4409090820652177</v>
      </c>
      <c r="F28" s="89" t="s">
        <v>395</v>
      </c>
      <c r="G28" s="89" t="b">
        <v>0</v>
      </c>
      <c r="H28" s="89" t="b">
        <v>0</v>
      </c>
      <c r="I28" s="89" t="b">
        <v>0</v>
      </c>
      <c r="J28" s="89" t="b">
        <v>0</v>
      </c>
      <c r="K28" s="89" t="b">
        <v>0</v>
      </c>
      <c r="L28" s="89" t="b">
        <v>0</v>
      </c>
    </row>
    <row r="29" spans="1:12" ht="15">
      <c r="A29" s="86" t="s">
        <v>807</v>
      </c>
      <c r="B29" s="89" t="s">
        <v>376</v>
      </c>
      <c r="C29" s="89">
        <v>2</v>
      </c>
      <c r="D29" s="94">
        <v>0.004041550718404403</v>
      </c>
      <c r="E29" s="94">
        <v>2.2648178230095364</v>
      </c>
      <c r="F29" s="89" t="s">
        <v>395</v>
      </c>
      <c r="G29" s="89" t="b">
        <v>0</v>
      </c>
      <c r="H29" s="89" t="b">
        <v>0</v>
      </c>
      <c r="I29" s="89" t="b">
        <v>0</v>
      </c>
      <c r="J29" s="89" t="b">
        <v>0</v>
      </c>
      <c r="K29" s="89" t="b">
        <v>0</v>
      </c>
      <c r="L29" s="89" t="b">
        <v>0</v>
      </c>
    </row>
    <row r="30" spans="1:12" ht="15">
      <c r="A30" s="86" t="s">
        <v>376</v>
      </c>
      <c r="B30" s="89" t="s">
        <v>825</v>
      </c>
      <c r="C30" s="89">
        <v>2</v>
      </c>
      <c r="D30" s="94">
        <v>0.004041550718404403</v>
      </c>
      <c r="E30" s="94">
        <v>2.4409090820652177</v>
      </c>
      <c r="F30" s="89" t="s">
        <v>395</v>
      </c>
      <c r="G30" s="89" t="b">
        <v>0</v>
      </c>
      <c r="H30" s="89" t="b">
        <v>0</v>
      </c>
      <c r="I30" s="89" t="b">
        <v>0</v>
      </c>
      <c r="J30" s="89" t="b">
        <v>0</v>
      </c>
      <c r="K30" s="89" t="b">
        <v>0</v>
      </c>
      <c r="L30" s="89" t="b">
        <v>0</v>
      </c>
    </row>
    <row r="31" spans="1:12" ht="15">
      <c r="A31" s="86" t="s">
        <v>825</v>
      </c>
      <c r="B31" s="89" t="s">
        <v>826</v>
      </c>
      <c r="C31" s="89">
        <v>2</v>
      </c>
      <c r="D31" s="94">
        <v>0.004041550718404403</v>
      </c>
      <c r="E31" s="94">
        <v>2.4409090820652177</v>
      </c>
      <c r="F31" s="89" t="s">
        <v>395</v>
      </c>
      <c r="G31" s="89" t="b">
        <v>0</v>
      </c>
      <c r="H31" s="89" t="b">
        <v>0</v>
      </c>
      <c r="I31" s="89" t="b">
        <v>0</v>
      </c>
      <c r="J31" s="89" t="b">
        <v>0</v>
      </c>
      <c r="K31" s="89" t="b">
        <v>0</v>
      </c>
      <c r="L31" s="89" t="b">
        <v>0</v>
      </c>
    </row>
    <row r="32" spans="1:12" ht="15">
      <c r="A32" s="86" t="s">
        <v>826</v>
      </c>
      <c r="B32" s="89" t="s">
        <v>827</v>
      </c>
      <c r="C32" s="89">
        <v>2</v>
      </c>
      <c r="D32" s="94">
        <v>0.004041550718404403</v>
      </c>
      <c r="E32" s="94">
        <v>2.4409090820652177</v>
      </c>
      <c r="F32" s="89" t="s">
        <v>395</v>
      </c>
      <c r="G32" s="89" t="b">
        <v>0</v>
      </c>
      <c r="H32" s="89" t="b">
        <v>0</v>
      </c>
      <c r="I32" s="89" t="b">
        <v>0</v>
      </c>
      <c r="J32" s="89" t="b">
        <v>0</v>
      </c>
      <c r="K32" s="89" t="b">
        <v>0</v>
      </c>
      <c r="L32" s="89" t="b">
        <v>0</v>
      </c>
    </row>
    <row r="33" spans="1:12" ht="15">
      <c r="A33" s="86" t="s">
        <v>827</v>
      </c>
      <c r="B33" s="89" t="s">
        <v>797</v>
      </c>
      <c r="C33" s="89">
        <v>2</v>
      </c>
      <c r="D33" s="94">
        <v>0.004041550718404403</v>
      </c>
      <c r="E33" s="94">
        <v>1.3617278360175928</v>
      </c>
      <c r="F33" s="89" t="s">
        <v>395</v>
      </c>
      <c r="G33" s="89" t="b">
        <v>0</v>
      </c>
      <c r="H33" s="89" t="b">
        <v>0</v>
      </c>
      <c r="I33" s="89" t="b">
        <v>0</v>
      </c>
      <c r="J33" s="89" t="b">
        <v>0</v>
      </c>
      <c r="K33" s="89" t="b">
        <v>0</v>
      </c>
      <c r="L33" s="89" t="b">
        <v>0</v>
      </c>
    </row>
    <row r="34" spans="1:12" ht="15">
      <c r="A34" s="86" t="s">
        <v>797</v>
      </c>
      <c r="B34" s="89" t="s">
        <v>828</v>
      </c>
      <c r="C34" s="89">
        <v>2</v>
      </c>
      <c r="D34" s="94">
        <v>0.004041550718404403</v>
      </c>
      <c r="E34" s="94">
        <v>1.4409090820652177</v>
      </c>
      <c r="F34" s="89" t="s">
        <v>395</v>
      </c>
      <c r="G34" s="89" t="b">
        <v>0</v>
      </c>
      <c r="H34" s="89" t="b">
        <v>0</v>
      </c>
      <c r="I34" s="89" t="b">
        <v>0</v>
      </c>
      <c r="J34" s="89" t="b">
        <v>0</v>
      </c>
      <c r="K34" s="89" t="b">
        <v>0</v>
      </c>
      <c r="L34" s="89" t="b">
        <v>0</v>
      </c>
    </row>
    <row r="35" spans="1:12" ht="15">
      <c r="A35" s="86" t="s">
        <v>828</v>
      </c>
      <c r="B35" s="89" t="s">
        <v>829</v>
      </c>
      <c r="C35" s="89">
        <v>2</v>
      </c>
      <c r="D35" s="94">
        <v>0.004041550718404403</v>
      </c>
      <c r="E35" s="94">
        <v>2.4409090820652177</v>
      </c>
      <c r="F35" s="89" t="s">
        <v>395</v>
      </c>
      <c r="G35" s="89" t="b">
        <v>0</v>
      </c>
      <c r="H35" s="89" t="b">
        <v>0</v>
      </c>
      <c r="I35" s="89" t="b">
        <v>0</v>
      </c>
      <c r="J35" s="89" t="b">
        <v>0</v>
      </c>
      <c r="K35" s="89" t="b">
        <v>0</v>
      </c>
      <c r="L35" s="89" t="b">
        <v>0</v>
      </c>
    </row>
    <row r="36" spans="1:12" ht="15">
      <c r="A36" s="86" t="s">
        <v>829</v>
      </c>
      <c r="B36" s="89" t="s">
        <v>811</v>
      </c>
      <c r="C36" s="89">
        <v>2</v>
      </c>
      <c r="D36" s="94">
        <v>0.004041550718404403</v>
      </c>
      <c r="E36" s="94">
        <v>2.2648178230095364</v>
      </c>
      <c r="F36" s="89" t="s">
        <v>395</v>
      </c>
      <c r="G36" s="89" t="b">
        <v>0</v>
      </c>
      <c r="H36" s="89" t="b">
        <v>0</v>
      </c>
      <c r="I36" s="89" t="b">
        <v>0</v>
      </c>
      <c r="J36" s="89" t="b">
        <v>0</v>
      </c>
      <c r="K36" s="89" t="b">
        <v>0</v>
      </c>
      <c r="L36" s="89" t="b">
        <v>0</v>
      </c>
    </row>
    <row r="37" spans="1:12" ht="15">
      <c r="A37" s="86" t="s">
        <v>811</v>
      </c>
      <c r="B37" s="89" t="s">
        <v>830</v>
      </c>
      <c r="C37" s="89">
        <v>2</v>
      </c>
      <c r="D37" s="94">
        <v>0.004041550718404403</v>
      </c>
      <c r="E37" s="94">
        <v>2.4409090820652177</v>
      </c>
      <c r="F37" s="89" t="s">
        <v>395</v>
      </c>
      <c r="G37" s="89" t="b">
        <v>0</v>
      </c>
      <c r="H37" s="89" t="b">
        <v>0</v>
      </c>
      <c r="I37" s="89" t="b">
        <v>0</v>
      </c>
      <c r="J37" s="89" t="b">
        <v>0</v>
      </c>
      <c r="K37" s="89" t="b">
        <v>0</v>
      </c>
      <c r="L37" s="89" t="b">
        <v>0</v>
      </c>
    </row>
    <row r="38" spans="1:12" ht="15">
      <c r="A38" s="86" t="s">
        <v>830</v>
      </c>
      <c r="B38" s="89" t="s">
        <v>801</v>
      </c>
      <c r="C38" s="89">
        <v>2</v>
      </c>
      <c r="D38" s="94">
        <v>0.004041550718404403</v>
      </c>
      <c r="E38" s="94">
        <v>1.787696568289874</v>
      </c>
      <c r="F38" s="89" t="s">
        <v>395</v>
      </c>
      <c r="G38" s="89" t="b">
        <v>0</v>
      </c>
      <c r="H38" s="89" t="b">
        <v>0</v>
      </c>
      <c r="I38" s="89" t="b">
        <v>0</v>
      </c>
      <c r="J38" s="89" t="b">
        <v>0</v>
      </c>
      <c r="K38" s="89" t="b">
        <v>0</v>
      </c>
      <c r="L38" s="89" t="b">
        <v>0</v>
      </c>
    </row>
    <row r="39" spans="1:12" ht="15">
      <c r="A39" s="86" t="s">
        <v>801</v>
      </c>
      <c r="B39" s="89" t="s">
        <v>808</v>
      </c>
      <c r="C39" s="89">
        <v>2</v>
      </c>
      <c r="D39" s="94">
        <v>0.004041550718404403</v>
      </c>
      <c r="E39" s="94">
        <v>1.5378190950732742</v>
      </c>
      <c r="F39" s="89" t="s">
        <v>395</v>
      </c>
      <c r="G39" s="89" t="b">
        <v>0</v>
      </c>
      <c r="H39" s="89" t="b">
        <v>0</v>
      </c>
      <c r="I39" s="89" t="b">
        <v>0</v>
      </c>
      <c r="J39" s="89" t="b">
        <v>0</v>
      </c>
      <c r="K39" s="89" t="b">
        <v>0</v>
      </c>
      <c r="L39" s="89" t="b">
        <v>0</v>
      </c>
    </row>
    <row r="40" spans="1:12" ht="15">
      <c r="A40" s="86" t="s">
        <v>808</v>
      </c>
      <c r="B40" s="89" t="s">
        <v>812</v>
      </c>
      <c r="C40" s="89">
        <v>2</v>
      </c>
      <c r="D40" s="94">
        <v>0.004041550718404403</v>
      </c>
      <c r="E40" s="94">
        <v>2.2648178230095364</v>
      </c>
      <c r="F40" s="89" t="s">
        <v>395</v>
      </c>
      <c r="G40" s="89" t="b">
        <v>0</v>
      </c>
      <c r="H40" s="89" t="b">
        <v>0</v>
      </c>
      <c r="I40" s="89" t="b">
        <v>0</v>
      </c>
      <c r="J40" s="89" t="b">
        <v>0</v>
      </c>
      <c r="K40" s="89" t="b">
        <v>0</v>
      </c>
      <c r="L40" s="89" t="b">
        <v>0</v>
      </c>
    </row>
    <row r="41" spans="1:12" ht="15">
      <c r="A41" s="86" t="s">
        <v>812</v>
      </c>
      <c r="B41" s="89" t="s">
        <v>813</v>
      </c>
      <c r="C41" s="89">
        <v>2</v>
      </c>
      <c r="D41" s="94">
        <v>0.004041550718404403</v>
      </c>
      <c r="E41" s="94">
        <v>2.0887265639538555</v>
      </c>
      <c r="F41" s="89" t="s">
        <v>395</v>
      </c>
      <c r="G41" s="89" t="b">
        <v>0</v>
      </c>
      <c r="H41" s="89" t="b">
        <v>0</v>
      </c>
      <c r="I41" s="89" t="b">
        <v>0</v>
      </c>
      <c r="J41" s="89" t="b">
        <v>0</v>
      </c>
      <c r="K41" s="89" t="b">
        <v>0</v>
      </c>
      <c r="L41" s="89" t="b">
        <v>0</v>
      </c>
    </row>
    <row r="42" spans="1:12" ht="15">
      <c r="A42" s="86" t="s">
        <v>813</v>
      </c>
      <c r="B42" s="89" t="s">
        <v>831</v>
      </c>
      <c r="C42" s="89">
        <v>2</v>
      </c>
      <c r="D42" s="94">
        <v>0.004041550718404403</v>
      </c>
      <c r="E42" s="94">
        <v>2.2648178230095364</v>
      </c>
      <c r="F42" s="89" t="s">
        <v>395</v>
      </c>
      <c r="G42" s="89" t="b">
        <v>0</v>
      </c>
      <c r="H42" s="89" t="b">
        <v>0</v>
      </c>
      <c r="I42" s="89" t="b">
        <v>0</v>
      </c>
      <c r="J42" s="89" t="b">
        <v>0</v>
      </c>
      <c r="K42" s="89" t="b">
        <v>0</v>
      </c>
      <c r="L42" s="89" t="b">
        <v>0</v>
      </c>
    </row>
    <row r="43" spans="1:12" ht="15">
      <c r="A43" s="86" t="s">
        <v>831</v>
      </c>
      <c r="B43" s="89" t="s">
        <v>832</v>
      </c>
      <c r="C43" s="89">
        <v>2</v>
      </c>
      <c r="D43" s="94">
        <v>0.004041550718404403</v>
      </c>
      <c r="E43" s="94">
        <v>2.4409090820652177</v>
      </c>
      <c r="F43" s="89" t="s">
        <v>395</v>
      </c>
      <c r="G43" s="89" t="b">
        <v>0</v>
      </c>
      <c r="H43" s="89" t="b">
        <v>0</v>
      </c>
      <c r="I43" s="89" t="b">
        <v>0</v>
      </c>
      <c r="J43" s="89" t="b">
        <v>0</v>
      </c>
      <c r="K43" s="89" t="b">
        <v>0</v>
      </c>
      <c r="L43" s="89" t="b">
        <v>0</v>
      </c>
    </row>
    <row r="44" spans="1:12" ht="15">
      <c r="A44" s="86" t="s">
        <v>832</v>
      </c>
      <c r="B44" s="89" t="s">
        <v>805</v>
      </c>
      <c r="C44" s="89">
        <v>2</v>
      </c>
      <c r="D44" s="94">
        <v>0.004041550718404403</v>
      </c>
      <c r="E44" s="94">
        <v>2.0429690733931802</v>
      </c>
      <c r="F44" s="89" t="s">
        <v>395</v>
      </c>
      <c r="G44" s="89" t="b">
        <v>0</v>
      </c>
      <c r="H44" s="89" t="b">
        <v>0</v>
      </c>
      <c r="I44" s="89" t="b">
        <v>0</v>
      </c>
      <c r="J44" s="89" t="b">
        <v>0</v>
      </c>
      <c r="K44" s="89" t="b">
        <v>0</v>
      </c>
      <c r="L44" s="89" t="b">
        <v>0</v>
      </c>
    </row>
    <row r="45" spans="1:12" ht="15">
      <c r="A45" s="86" t="s">
        <v>361</v>
      </c>
      <c r="B45" s="89" t="s">
        <v>833</v>
      </c>
      <c r="C45" s="89">
        <v>2</v>
      </c>
      <c r="D45" s="94">
        <v>0.004041550718404403</v>
      </c>
      <c r="E45" s="94">
        <v>2.4409090820652177</v>
      </c>
      <c r="F45" s="89" t="s">
        <v>395</v>
      </c>
      <c r="G45" s="89" t="b">
        <v>1</v>
      </c>
      <c r="H45" s="89" t="b">
        <v>0</v>
      </c>
      <c r="I45" s="89" t="b">
        <v>0</v>
      </c>
      <c r="J45" s="89" t="b">
        <v>0</v>
      </c>
      <c r="K45" s="89" t="b">
        <v>0</v>
      </c>
      <c r="L45" s="89" t="b">
        <v>0</v>
      </c>
    </row>
    <row r="46" spans="1:12" ht="15">
      <c r="A46" s="86" t="s">
        <v>833</v>
      </c>
      <c r="B46" s="89" t="s">
        <v>799</v>
      </c>
      <c r="C46" s="89">
        <v>2</v>
      </c>
      <c r="D46" s="94">
        <v>0.004041550718404403</v>
      </c>
      <c r="E46" s="94">
        <v>1.8388490907372552</v>
      </c>
      <c r="F46" s="89" t="s">
        <v>395</v>
      </c>
      <c r="G46" s="89" t="b">
        <v>0</v>
      </c>
      <c r="H46" s="89" t="b">
        <v>0</v>
      </c>
      <c r="I46" s="89" t="b">
        <v>0</v>
      </c>
      <c r="J46" s="89" t="b">
        <v>0</v>
      </c>
      <c r="K46" s="89" t="b">
        <v>0</v>
      </c>
      <c r="L46" s="89" t="b">
        <v>0</v>
      </c>
    </row>
    <row r="47" spans="1:12" ht="15">
      <c r="A47" s="86" t="s">
        <v>799</v>
      </c>
      <c r="B47" s="89" t="s">
        <v>834</v>
      </c>
      <c r="C47" s="89">
        <v>2</v>
      </c>
      <c r="D47" s="94">
        <v>0.004041550718404403</v>
      </c>
      <c r="E47" s="94">
        <v>1.7419390777291988</v>
      </c>
      <c r="F47" s="89" t="s">
        <v>395</v>
      </c>
      <c r="G47" s="89" t="b">
        <v>0</v>
      </c>
      <c r="H47" s="89" t="b">
        <v>0</v>
      </c>
      <c r="I47" s="89" t="b">
        <v>0</v>
      </c>
      <c r="J47" s="89" t="b">
        <v>0</v>
      </c>
      <c r="K47" s="89" t="b">
        <v>0</v>
      </c>
      <c r="L47" s="89" t="b">
        <v>0</v>
      </c>
    </row>
    <row r="48" spans="1:12" ht="15">
      <c r="A48" s="86" t="s">
        <v>834</v>
      </c>
      <c r="B48" s="89" t="s">
        <v>360</v>
      </c>
      <c r="C48" s="89">
        <v>2</v>
      </c>
      <c r="D48" s="94">
        <v>0.004041550718404403</v>
      </c>
      <c r="E48" s="94">
        <v>1.896841037714942</v>
      </c>
      <c r="F48" s="89" t="s">
        <v>395</v>
      </c>
      <c r="G48" s="89" t="b">
        <v>0</v>
      </c>
      <c r="H48" s="89" t="b">
        <v>0</v>
      </c>
      <c r="I48" s="89" t="b">
        <v>0</v>
      </c>
      <c r="J48" s="89" t="b">
        <v>0</v>
      </c>
      <c r="K48" s="89" t="b">
        <v>0</v>
      </c>
      <c r="L48" s="89" t="b">
        <v>0</v>
      </c>
    </row>
    <row r="49" spans="1:12" ht="15">
      <c r="A49" s="86" t="s">
        <v>360</v>
      </c>
      <c r="B49" s="89" t="s">
        <v>357</v>
      </c>
      <c r="C49" s="89">
        <v>2</v>
      </c>
      <c r="D49" s="94">
        <v>0.004041550718404403</v>
      </c>
      <c r="E49" s="94">
        <v>1.896841037714942</v>
      </c>
      <c r="F49" s="89" t="s">
        <v>395</v>
      </c>
      <c r="G49" s="89" t="b">
        <v>0</v>
      </c>
      <c r="H49" s="89" t="b">
        <v>0</v>
      </c>
      <c r="I49" s="89" t="b">
        <v>0</v>
      </c>
      <c r="J49" s="89" t="b">
        <v>0</v>
      </c>
      <c r="K49" s="89" t="b">
        <v>0</v>
      </c>
      <c r="L49" s="89" t="b">
        <v>0</v>
      </c>
    </row>
    <row r="50" spans="1:12" ht="15">
      <c r="A50" s="86" t="s">
        <v>357</v>
      </c>
      <c r="B50" s="89" t="s">
        <v>345</v>
      </c>
      <c r="C50" s="89">
        <v>2</v>
      </c>
      <c r="D50" s="94">
        <v>0.004041550718404403</v>
      </c>
      <c r="E50" s="94">
        <v>1.787696568289874</v>
      </c>
      <c r="F50" s="89" t="s">
        <v>395</v>
      </c>
      <c r="G50" s="89" t="b">
        <v>0</v>
      </c>
      <c r="H50" s="89" t="b">
        <v>0</v>
      </c>
      <c r="I50" s="89" t="b">
        <v>0</v>
      </c>
      <c r="J50" s="89" t="b">
        <v>0</v>
      </c>
      <c r="K50" s="89" t="b">
        <v>0</v>
      </c>
      <c r="L50" s="89" t="b">
        <v>0</v>
      </c>
    </row>
    <row r="51" spans="1:12" ht="15">
      <c r="A51" s="86" t="s">
        <v>345</v>
      </c>
      <c r="B51" s="89" t="s">
        <v>835</v>
      </c>
      <c r="C51" s="89">
        <v>2</v>
      </c>
      <c r="D51" s="94">
        <v>0.004041550718404403</v>
      </c>
      <c r="E51" s="94">
        <v>1.787696568289874</v>
      </c>
      <c r="F51" s="89" t="s">
        <v>395</v>
      </c>
      <c r="G51" s="89" t="b">
        <v>0</v>
      </c>
      <c r="H51" s="89" t="b">
        <v>0</v>
      </c>
      <c r="I51" s="89" t="b">
        <v>0</v>
      </c>
      <c r="J51" s="89" t="b">
        <v>0</v>
      </c>
      <c r="K51" s="89" t="b">
        <v>0</v>
      </c>
      <c r="L51" s="89" t="b">
        <v>0</v>
      </c>
    </row>
    <row r="52" spans="1:12" ht="15">
      <c r="A52" s="86" t="s">
        <v>835</v>
      </c>
      <c r="B52" s="89" t="s">
        <v>799</v>
      </c>
      <c r="C52" s="89">
        <v>2</v>
      </c>
      <c r="D52" s="94">
        <v>0.004041550718404403</v>
      </c>
      <c r="E52" s="94">
        <v>1.8388490907372552</v>
      </c>
      <c r="F52" s="89" t="s">
        <v>395</v>
      </c>
      <c r="G52" s="89" t="b">
        <v>0</v>
      </c>
      <c r="H52" s="89" t="b">
        <v>0</v>
      </c>
      <c r="I52" s="89" t="b">
        <v>0</v>
      </c>
      <c r="J52" s="89" t="b">
        <v>0</v>
      </c>
      <c r="K52" s="89" t="b">
        <v>0</v>
      </c>
      <c r="L52" s="89" t="b">
        <v>0</v>
      </c>
    </row>
    <row r="53" spans="1:12" ht="15">
      <c r="A53" s="86" t="s">
        <v>799</v>
      </c>
      <c r="B53" s="89" t="s">
        <v>836</v>
      </c>
      <c r="C53" s="89">
        <v>2</v>
      </c>
      <c r="D53" s="94">
        <v>0.004041550718404403</v>
      </c>
      <c r="E53" s="94">
        <v>1.7419390777291988</v>
      </c>
      <c r="F53" s="89" t="s">
        <v>395</v>
      </c>
      <c r="G53" s="89" t="b">
        <v>0</v>
      </c>
      <c r="H53" s="89" t="b">
        <v>0</v>
      </c>
      <c r="I53" s="89" t="b">
        <v>0</v>
      </c>
      <c r="J53" s="89" t="b">
        <v>0</v>
      </c>
      <c r="K53" s="89" t="b">
        <v>0</v>
      </c>
      <c r="L53" s="89" t="b">
        <v>0</v>
      </c>
    </row>
    <row r="54" spans="1:12" ht="15">
      <c r="A54" s="86" t="s">
        <v>836</v>
      </c>
      <c r="B54" s="89" t="s">
        <v>309</v>
      </c>
      <c r="C54" s="89">
        <v>2</v>
      </c>
      <c r="D54" s="94">
        <v>0.004041550718404403</v>
      </c>
      <c r="E54" s="94">
        <v>2.4409090820652177</v>
      </c>
      <c r="F54" s="89" t="s">
        <v>395</v>
      </c>
      <c r="G54" s="89" t="b">
        <v>0</v>
      </c>
      <c r="H54" s="89" t="b">
        <v>0</v>
      </c>
      <c r="I54" s="89" t="b">
        <v>0</v>
      </c>
      <c r="J54" s="89" t="b">
        <v>0</v>
      </c>
      <c r="K54" s="89" t="b">
        <v>0</v>
      </c>
      <c r="L54" s="89" t="b">
        <v>0</v>
      </c>
    </row>
    <row r="55" spans="1:12" ht="15">
      <c r="A55" s="86" t="s">
        <v>309</v>
      </c>
      <c r="B55" s="89" t="s">
        <v>837</v>
      </c>
      <c r="C55" s="89">
        <v>2</v>
      </c>
      <c r="D55" s="94">
        <v>0.004041550718404403</v>
      </c>
      <c r="E55" s="94">
        <v>2.4409090820652177</v>
      </c>
      <c r="F55" s="89" t="s">
        <v>395</v>
      </c>
      <c r="G55" s="89" t="b">
        <v>0</v>
      </c>
      <c r="H55" s="89" t="b">
        <v>0</v>
      </c>
      <c r="I55" s="89" t="b">
        <v>0</v>
      </c>
      <c r="J55" s="89" t="b">
        <v>0</v>
      </c>
      <c r="K55" s="89" t="b">
        <v>0</v>
      </c>
      <c r="L55" s="89" t="b">
        <v>0</v>
      </c>
    </row>
    <row r="56" spans="1:12" ht="15">
      <c r="A56" s="86" t="s">
        <v>837</v>
      </c>
      <c r="B56" s="89" t="s">
        <v>838</v>
      </c>
      <c r="C56" s="89">
        <v>2</v>
      </c>
      <c r="D56" s="94">
        <v>0.004041550718404403</v>
      </c>
      <c r="E56" s="94">
        <v>2.4409090820652177</v>
      </c>
      <c r="F56" s="89" t="s">
        <v>395</v>
      </c>
      <c r="G56" s="89" t="b">
        <v>0</v>
      </c>
      <c r="H56" s="89" t="b">
        <v>0</v>
      </c>
      <c r="I56" s="89" t="b">
        <v>0</v>
      </c>
      <c r="J56" s="89" t="b">
        <v>0</v>
      </c>
      <c r="K56" s="89" t="b">
        <v>0</v>
      </c>
      <c r="L56" s="89" t="b">
        <v>0</v>
      </c>
    </row>
    <row r="57" spans="1:12" ht="15">
      <c r="A57" s="86" t="s">
        <v>838</v>
      </c>
      <c r="B57" s="89" t="s">
        <v>839</v>
      </c>
      <c r="C57" s="89">
        <v>2</v>
      </c>
      <c r="D57" s="94">
        <v>0.004041550718404403</v>
      </c>
      <c r="E57" s="94">
        <v>2.4409090820652177</v>
      </c>
      <c r="F57" s="89" t="s">
        <v>395</v>
      </c>
      <c r="G57" s="89" t="b">
        <v>0</v>
      </c>
      <c r="H57" s="89" t="b">
        <v>0</v>
      </c>
      <c r="I57" s="89" t="b">
        <v>0</v>
      </c>
      <c r="J57" s="89" t="b">
        <v>0</v>
      </c>
      <c r="K57" s="89" t="b">
        <v>0</v>
      </c>
      <c r="L57" s="89" t="b">
        <v>0</v>
      </c>
    </row>
    <row r="58" spans="1:12" ht="15">
      <c r="A58" s="86" t="s">
        <v>839</v>
      </c>
      <c r="B58" s="89" t="s">
        <v>797</v>
      </c>
      <c r="C58" s="89">
        <v>2</v>
      </c>
      <c r="D58" s="94">
        <v>0.004041550718404403</v>
      </c>
      <c r="E58" s="94">
        <v>1.3617278360175928</v>
      </c>
      <c r="F58" s="89" t="s">
        <v>395</v>
      </c>
      <c r="G58" s="89" t="b">
        <v>0</v>
      </c>
      <c r="H58" s="89" t="b">
        <v>0</v>
      </c>
      <c r="I58" s="89" t="b">
        <v>0</v>
      </c>
      <c r="J58" s="89" t="b">
        <v>0</v>
      </c>
      <c r="K58" s="89" t="b">
        <v>0</v>
      </c>
      <c r="L58" s="89" t="b">
        <v>0</v>
      </c>
    </row>
    <row r="59" spans="1:12" ht="15">
      <c r="A59" s="86" t="s">
        <v>797</v>
      </c>
      <c r="B59" s="89" t="s">
        <v>814</v>
      </c>
      <c r="C59" s="89">
        <v>2</v>
      </c>
      <c r="D59" s="94">
        <v>0.004041550718404403</v>
      </c>
      <c r="E59" s="94">
        <v>1.2648178230095366</v>
      </c>
      <c r="F59" s="89" t="s">
        <v>395</v>
      </c>
      <c r="G59" s="89" t="b">
        <v>0</v>
      </c>
      <c r="H59" s="89" t="b">
        <v>0</v>
      </c>
      <c r="I59" s="89" t="b">
        <v>0</v>
      </c>
      <c r="J59" s="89" t="b">
        <v>0</v>
      </c>
      <c r="K59" s="89" t="b">
        <v>0</v>
      </c>
      <c r="L59" s="89" t="b">
        <v>0</v>
      </c>
    </row>
    <row r="60" spans="1:12" ht="15">
      <c r="A60" s="86" t="s">
        <v>814</v>
      </c>
      <c r="B60" s="89" t="s">
        <v>840</v>
      </c>
      <c r="C60" s="89">
        <v>2</v>
      </c>
      <c r="D60" s="94">
        <v>0.004041550718404403</v>
      </c>
      <c r="E60" s="94">
        <v>2.2648178230095364</v>
      </c>
      <c r="F60" s="89" t="s">
        <v>395</v>
      </c>
      <c r="G60" s="89" t="b">
        <v>0</v>
      </c>
      <c r="H60" s="89" t="b">
        <v>0</v>
      </c>
      <c r="I60" s="89" t="b">
        <v>0</v>
      </c>
      <c r="J60" s="89" t="b">
        <v>0</v>
      </c>
      <c r="K60" s="89" t="b">
        <v>0</v>
      </c>
      <c r="L60" s="89" t="b">
        <v>0</v>
      </c>
    </row>
    <row r="61" spans="1:12" ht="15">
      <c r="A61" s="86" t="s">
        <v>840</v>
      </c>
      <c r="B61" s="89" t="s">
        <v>841</v>
      </c>
      <c r="C61" s="89">
        <v>2</v>
      </c>
      <c r="D61" s="94">
        <v>0.004041550718404403</v>
      </c>
      <c r="E61" s="94">
        <v>2.4409090820652177</v>
      </c>
      <c r="F61" s="89" t="s">
        <v>395</v>
      </c>
      <c r="G61" s="89" t="b">
        <v>0</v>
      </c>
      <c r="H61" s="89" t="b">
        <v>0</v>
      </c>
      <c r="I61" s="89" t="b">
        <v>0</v>
      </c>
      <c r="J61" s="89" t="b">
        <v>0</v>
      </c>
      <c r="K61" s="89" t="b">
        <v>0</v>
      </c>
      <c r="L61" s="89" t="b">
        <v>0</v>
      </c>
    </row>
    <row r="62" spans="1:12" ht="15">
      <c r="A62" s="86" t="s">
        <v>841</v>
      </c>
      <c r="B62" s="89" t="s">
        <v>805</v>
      </c>
      <c r="C62" s="89">
        <v>2</v>
      </c>
      <c r="D62" s="94">
        <v>0.004041550718404403</v>
      </c>
      <c r="E62" s="94">
        <v>2.0429690733931802</v>
      </c>
      <c r="F62" s="89" t="s">
        <v>395</v>
      </c>
      <c r="G62" s="89" t="b">
        <v>0</v>
      </c>
      <c r="H62" s="89" t="b">
        <v>0</v>
      </c>
      <c r="I62" s="89" t="b">
        <v>0</v>
      </c>
      <c r="J62" s="89" t="b">
        <v>0</v>
      </c>
      <c r="K62" s="89" t="b">
        <v>0</v>
      </c>
      <c r="L62" s="89" t="b">
        <v>0</v>
      </c>
    </row>
    <row r="63" spans="1:12" ht="15">
      <c r="A63" s="86" t="s">
        <v>842</v>
      </c>
      <c r="B63" s="89" t="s">
        <v>587</v>
      </c>
      <c r="C63" s="89">
        <v>2</v>
      </c>
      <c r="D63" s="94">
        <v>0.004041550718404403</v>
      </c>
      <c r="E63" s="94">
        <v>1.896841037714942</v>
      </c>
      <c r="F63" s="89" t="s">
        <v>395</v>
      </c>
      <c r="G63" s="89" t="b">
        <v>0</v>
      </c>
      <c r="H63" s="89" t="b">
        <v>0</v>
      </c>
      <c r="I63" s="89" t="b">
        <v>0</v>
      </c>
      <c r="J63" s="89" t="b">
        <v>0</v>
      </c>
      <c r="K63" s="89" t="b">
        <v>0</v>
      </c>
      <c r="L63" s="89" t="b">
        <v>0</v>
      </c>
    </row>
    <row r="64" spans="1:12" ht="15">
      <c r="A64" s="86" t="s">
        <v>587</v>
      </c>
      <c r="B64" s="89" t="s">
        <v>344</v>
      </c>
      <c r="C64" s="89">
        <v>2</v>
      </c>
      <c r="D64" s="94">
        <v>0.004041550718404403</v>
      </c>
      <c r="E64" s="94">
        <v>1.0259357340943998</v>
      </c>
      <c r="F64" s="89" t="s">
        <v>395</v>
      </c>
      <c r="G64" s="89" t="b">
        <v>0</v>
      </c>
      <c r="H64" s="89" t="b">
        <v>0</v>
      </c>
      <c r="I64" s="89" t="b">
        <v>0</v>
      </c>
      <c r="J64" s="89" t="b">
        <v>0</v>
      </c>
      <c r="K64" s="89" t="b">
        <v>0</v>
      </c>
      <c r="L64" s="89" t="b">
        <v>0</v>
      </c>
    </row>
    <row r="65" spans="1:12" ht="15">
      <c r="A65" s="86" t="s">
        <v>344</v>
      </c>
      <c r="B65" s="89" t="s">
        <v>597</v>
      </c>
      <c r="C65" s="89">
        <v>2</v>
      </c>
      <c r="D65" s="94">
        <v>0.004041550718404403</v>
      </c>
      <c r="E65" s="94">
        <v>1.627995725422362</v>
      </c>
      <c r="F65" s="89" t="s">
        <v>395</v>
      </c>
      <c r="G65" s="89" t="b">
        <v>0</v>
      </c>
      <c r="H65" s="89" t="b">
        <v>0</v>
      </c>
      <c r="I65" s="89" t="b">
        <v>0</v>
      </c>
      <c r="J65" s="89" t="b">
        <v>0</v>
      </c>
      <c r="K65" s="89" t="b">
        <v>0</v>
      </c>
      <c r="L65" s="89" t="b">
        <v>0</v>
      </c>
    </row>
    <row r="66" spans="1:12" ht="15">
      <c r="A66" s="86" t="s">
        <v>597</v>
      </c>
      <c r="B66" s="89" t="s">
        <v>381</v>
      </c>
      <c r="C66" s="89">
        <v>2</v>
      </c>
      <c r="D66" s="94">
        <v>0.004041550718404403</v>
      </c>
      <c r="E66" s="94">
        <v>2.4409090820652177</v>
      </c>
      <c r="F66" s="89" t="s">
        <v>395</v>
      </c>
      <c r="G66" s="89" t="b">
        <v>0</v>
      </c>
      <c r="H66" s="89" t="b">
        <v>0</v>
      </c>
      <c r="I66" s="89" t="b">
        <v>0</v>
      </c>
      <c r="J66" s="89" t="b">
        <v>0</v>
      </c>
      <c r="K66" s="89" t="b">
        <v>0</v>
      </c>
      <c r="L66" s="89" t="b">
        <v>0</v>
      </c>
    </row>
    <row r="67" spans="1:12" ht="15">
      <c r="A67" s="86" t="s">
        <v>381</v>
      </c>
      <c r="B67" s="89" t="s">
        <v>797</v>
      </c>
      <c r="C67" s="89">
        <v>2</v>
      </c>
      <c r="D67" s="94">
        <v>0.004041550718404403</v>
      </c>
      <c r="E67" s="94">
        <v>1.3617278360175928</v>
      </c>
      <c r="F67" s="89" t="s">
        <v>395</v>
      </c>
      <c r="G67" s="89" t="b">
        <v>0</v>
      </c>
      <c r="H67" s="89" t="b">
        <v>0</v>
      </c>
      <c r="I67" s="89" t="b">
        <v>0</v>
      </c>
      <c r="J67" s="89" t="b">
        <v>0</v>
      </c>
      <c r="K67" s="89" t="b">
        <v>0</v>
      </c>
      <c r="L67" s="89" t="b">
        <v>0</v>
      </c>
    </row>
    <row r="68" spans="1:12" ht="15">
      <c r="A68" s="86" t="s">
        <v>797</v>
      </c>
      <c r="B68" s="89" t="s">
        <v>596</v>
      </c>
      <c r="C68" s="89">
        <v>2</v>
      </c>
      <c r="D68" s="94">
        <v>0.004041550718404403</v>
      </c>
      <c r="E68" s="94">
        <v>1.4409090820652177</v>
      </c>
      <c r="F68" s="89" t="s">
        <v>395</v>
      </c>
      <c r="G68" s="89" t="b">
        <v>0</v>
      </c>
      <c r="H68" s="89" t="b">
        <v>0</v>
      </c>
      <c r="I68" s="89" t="b">
        <v>0</v>
      </c>
      <c r="J68" s="89" t="b">
        <v>0</v>
      </c>
      <c r="K68" s="89" t="b">
        <v>0</v>
      </c>
      <c r="L68" s="89" t="b">
        <v>0</v>
      </c>
    </row>
    <row r="69" spans="1:12" ht="15">
      <c r="A69" s="86" t="s">
        <v>596</v>
      </c>
      <c r="B69" s="89" t="s">
        <v>353</v>
      </c>
      <c r="C69" s="89">
        <v>2</v>
      </c>
      <c r="D69" s="94">
        <v>0.004041550718404403</v>
      </c>
      <c r="E69" s="94">
        <v>2.2648178230095364</v>
      </c>
      <c r="F69" s="89" t="s">
        <v>395</v>
      </c>
      <c r="G69" s="89" t="b">
        <v>0</v>
      </c>
      <c r="H69" s="89" t="b">
        <v>0</v>
      </c>
      <c r="I69" s="89" t="b">
        <v>0</v>
      </c>
      <c r="J69" s="89" t="b">
        <v>0</v>
      </c>
      <c r="K69" s="89" t="b">
        <v>0</v>
      </c>
      <c r="L69" s="89" t="b">
        <v>0</v>
      </c>
    </row>
    <row r="70" spans="1:12" ht="15">
      <c r="A70" s="86" t="s">
        <v>353</v>
      </c>
      <c r="B70" s="89" t="s">
        <v>843</v>
      </c>
      <c r="C70" s="89">
        <v>2</v>
      </c>
      <c r="D70" s="94">
        <v>0.004041550718404403</v>
      </c>
      <c r="E70" s="94">
        <v>2.2648178230095364</v>
      </c>
      <c r="F70" s="89" t="s">
        <v>395</v>
      </c>
      <c r="G70" s="89" t="b">
        <v>0</v>
      </c>
      <c r="H70" s="89" t="b">
        <v>0</v>
      </c>
      <c r="I70" s="89" t="b">
        <v>0</v>
      </c>
      <c r="J70" s="89" t="b">
        <v>0</v>
      </c>
      <c r="K70" s="89" t="b">
        <v>0</v>
      </c>
      <c r="L70" s="89" t="b">
        <v>0</v>
      </c>
    </row>
    <row r="71" spans="1:12" ht="15">
      <c r="A71" s="86" t="s">
        <v>843</v>
      </c>
      <c r="B71" s="89" t="s">
        <v>359</v>
      </c>
      <c r="C71" s="89">
        <v>2</v>
      </c>
      <c r="D71" s="94">
        <v>0.004041550718404403</v>
      </c>
      <c r="E71" s="94">
        <v>2.4409090820652177</v>
      </c>
      <c r="F71" s="89" t="s">
        <v>395</v>
      </c>
      <c r="G71" s="89" t="b">
        <v>0</v>
      </c>
      <c r="H71" s="89" t="b">
        <v>0</v>
      </c>
      <c r="I71" s="89" t="b">
        <v>0</v>
      </c>
      <c r="J71" s="89" t="b">
        <v>0</v>
      </c>
      <c r="K71" s="89" t="b">
        <v>0</v>
      </c>
      <c r="L71" s="89" t="b">
        <v>0</v>
      </c>
    </row>
    <row r="72" spans="1:12" ht="15">
      <c r="A72" s="86" t="s">
        <v>359</v>
      </c>
      <c r="B72" s="89" t="s">
        <v>349</v>
      </c>
      <c r="C72" s="89">
        <v>2</v>
      </c>
      <c r="D72" s="94">
        <v>0.004041550718404403</v>
      </c>
      <c r="E72" s="94">
        <v>2.4409090820652177</v>
      </c>
      <c r="F72" s="89" t="s">
        <v>395</v>
      </c>
      <c r="G72" s="89" t="b">
        <v>0</v>
      </c>
      <c r="H72" s="89" t="b">
        <v>0</v>
      </c>
      <c r="I72" s="89" t="b">
        <v>0</v>
      </c>
      <c r="J72" s="89" t="b">
        <v>0</v>
      </c>
      <c r="K72" s="89" t="b">
        <v>0</v>
      </c>
      <c r="L72" s="89" t="b">
        <v>0</v>
      </c>
    </row>
    <row r="73" spans="1:12" ht="15">
      <c r="A73" s="86" t="s">
        <v>349</v>
      </c>
      <c r="B73" s="89" t="s">
        <v>373</v>
      </c>
      <c r="C73" s="89">
        <v>2</v>
      </c>
      <c r="D73" s="94">
        <v>0.004041550718404403</v>
      </c>
      <c r="E73" s="94">
        <v>2.4409090820652177</v>
      </c>
      <c r="F73" s="89" t="s">
        <v>395</v>
      </c>
      <c r="G73" s="89" t="b">
        <v>0</v>
      </c>
      <c r="H73" s="89" t="b">
        <v>0</v>
      </c>
      <c r="I73" s="89" t="b">
        <v>0</v>
      </c>
      <c r="J73" s="89" t="b">
        <v>0</v>
      </c>
      <c r="K73" s="89" t="b">
        <v>0</v>
      </c>
      <c r="L73" s="89" t="b">
        <v>0</v>
      </c>
    </row>
    <row r="74" spans="1:12" ht="15">
      <c r="A74" s="86" t="s">
        <v>373</v>
      </c>
      <c r="B74" s="89" t="s">
        <v>345</v>
      </c>
      <c r="C74" s="89">
        <v>2</v>
      </c>
      <c r="D74" s="94">
        <v>0.004041550718404403</v>
      </c>
      <c r="E74" s="94">
        <v>1.787696568289874</v>
      </c>
      <c r="F74" s="89" t="s">
        <v>395</v>
      </c>
      <c r="G74" s="89" t="b">
        <v>0</v>
      </c>
      <c r="H74" s="89" t="b">
        <v>0</v>
      </c>
      <c r="I74" s="89" t="b">
        <v>0</v>
      </c>
      <c r="J74" s="89" t="b">
        <v>0</v>
      </c>
      <c r="K74" s="89" t="b">
        <v>0</v>
      </c>
      <c r="L74" s="89" t="b">
        <v>0</v>
      </c>
    </row>
    <row r="75" spans="1:12" ht="15">
      <c r="A75" s="86" t="s">
        <v>345</v>
      </c>
      <c r="B75" s="89" t="s">
        <v>798</v>
      </c>
      <c r="C75" s="89">
        <v>2</v>
      </c>
      <c r="D75" s="94">
        <v>0.004041550718404403</v>
      </c>
      <c r="E75" s="94">
        <v>1.1344840545145303</v>
      </c>
      <c r="F75" s="89" t="s">
        <v>395</v>
      </c>
      <c r="G75" s="89" t="b">
        <v>0</v>
      </c>
      <c r="H75" s="89" t="b">
        <v>0</v>
      </c>
      <c r="I75" s="89" t="b">
        <v>0</v>
      </c>
      <c r="J75" s="89" t="b">
        <v>0</v>
      </c>
      <c r="K75" s="89" t="b">
        <v>0</v>
      </c>
      <c r="L75" s="89" t="b">
        <v>0</v>
      </c>
    </row>
    <row r="76" spans="1:12" ht="15">
      <c r="A76" s="86" t="s">
        <v>798</v>
      </c>
      <c r="B76" s="89" t="s">
        <v>345</v>
      </c>
      <c r="C76" s="89">
        <v>2</v>
      </c>
      <c r="D76" s="94">
        <v>0.004041550718404403</v>
      </c>
      <c r="E76" s="94">
        <v>1.0473338787956301</v>
      </c>
      <c r="F76" s="89" t="s">
        <v>395</v>
      </c>
      <c r="G76" s="89" t="b">
        <v>0</v>
      </c>
      <c r="H76" s="89" t="b">
        <v>0</v>
      </c>
      <c r="I76" s="89" t="b">
        <v>0</v>
      </c>
      <c r="J76" s="89" t="b">
        <v>0</v>
      </c>
      <c r="K76" s="89" t="b">
        <v>0</v>
      </c>
      <c r="L76" s="89" t="b">
        <v>0</v>
      </c>
    </row>
    <row r="77" spans="1:12" ht="15">
      <c r="A77" s="86" t="s">
        <v>345</v>
      </c>
      <c r="B77" s="89" t="s">
        <v>844</v>
      </c>
      <c r="C77" s="89">
        <v>2</v>
      </c>
      <c r="D77" s="94">
        <v>0.004041550718404403</v>
      </c>
      <c r="E77" s="94">
        <v>1.787696568289874</v>
      </c>
      <c r="F77" s="89" t="s">
        <v>395</v>
      </c>
      <c r="G77" s="89" t="b">
        <v>0</v>
      </c>
      <c r="H77" s="89" t="b">
        <v>0</v>
      </c>
      <c r="I77" s="89" t="b">
        <v>0</v>
      </c>
      <c r="J77" s="89" t="b">
        <v>0</v>
      </c>
      <c r="K77" s="89" t="b">
        <v>0</v>
      </c>
      <c r="L77" s="89" t="b">
        <v>0</v>
      </c>
    </row>
    <row r="78" spans="1:12" ht="15">
      <c r="A78" s="86" t="s">
        <v>844</v>
      </c>
      <c r="B78" s="89" t="s">
        <v>798</v>
      </c>
      <c r="C78" s="89">
        <v>2</v>
      </c>
      <c r="D78" s="94">
        <v>0.004041550718404403</v>
      </c>
      <c r="E78" s="94">
        <v>1.787696568289874</v>
      </c>
      <c r="F78" s="89" t="s">
        <v>395</v>
      </c>
      <c r="G78" s="89" t="b">
        <v>0</v>
      </c>
      <c r="H78" s="89" t="b">
        <v>0</v>
      </c>
      <c r="I78" s="89" t="b">
        <v>0</v>
      </c>
      <c r="J78" s="89" t="b">
        <v>0</v>
      </c>
      <c r="K78" s="89" t="b">
        <v>0</v>
      </c>
      <c r="L78" s="89" t="b">
        <v>0</v>
      </c>
    </row>
    <row r="79" spans="1:12" ht="15">
      <c r="A79" s="86" t="s">
        <v>798</v>
      </c>
      <c r="B79" s="89" t="s">
        <v>344</v>
      </c>
      <c r="C79" s="89">
        <v>2</v>
      </c>
      <c r="D79" s="94">
        <v>0.004041550718404403</v>
      </c>
      <c r="E79" s="94">
        <v>0.8876330359281184</v>
      </c>
      <c r="F79" s="89" t="s">
        <v>395</v>
      </c>
      <c r="G79" s="89" t="b">
        <v>0</v>
      </c>
      <c r="H79" s="89" t="b">
        <v>0</v>
      </c>
      <c r="I79" s="89" t="b">
        <v>0</v>
      </c>
      <c r="J79" s="89" t="b">
        <v>0</v>
      </c>
      <c r="K79" s="89" t="b">
        <v>0</v>
      </c>
      <c r="L79" s="89" t="b">
        <v>0</v>
      </c>
    </row>
    <row r="80" spans="1:12" ht="15">
      <c r="A80" s="86" t="s">
        <v>344</v>
      </c>
      <c r="B80" s="89" t="s">
        <v>803</v>
      </c>
      <c r="C80" s="89">
        <v>2</v>
      </c>
      <c r="D80" s="94">
        <v>0.004041550718404403</v>
      </c>
      <c r="E80" s="94">
        <v>1.0839276810720866</v>
      </c>
      <c r="F80" s="89" t="s">
        <v>395</v>
      </c>
      <c r="G80" s="89" t="b">
        <v>0</v>
      </c>
      <c r="H80" s="89" t="b">
        <v>0</v>
      </c>
      <c r="I80" s="89" t="b">
        <v>0</v>
      </c>
      <c r="J80" s="89" t="b">
        <v>0</v>
      </c>
      <c r="K80" s="89" t="b">
        <v>1</v>
      </c>
      <c r="L80" s="89" t="b">
        <v>0</v>
      </c>
    </row>
    <row r="81" spans="1:12" ht="15">
      <c r="A81" s="86" t="s">
        <v>380</v>
      </c>
      <c r="B81" s="89" t="s">
        <v>845</v>
      </c>
      <c r="C81" s="89">
        <v>2</v>
      </c>
      <c r="D81" s="94">
        <v>0.004041550718404403</v>
      </c>
      <c r="E81" s="94">
        <v>2.0429690733931802</v>
      </c>
      <c r="F81" s="89" t="s">
        <v>395</v>
      </c>
      <c r="G81" s="89" t="b">
        <v>0</v>
      </c>
      <c r="H81" s="89" t="b">
        <v>0</v>
      </c>
      <c r="I81" s="89" t="b">
        <v>0</v>
      </c>
      <c r="J81" s="89" t="b">
        <v>0</v>
      </c>
      <c r="K81" s="89" t="b">
        <v>0</v>
      </c>
      <c r="L81" s="89" t="b">
        <v>0</v>
      </c>
    </row>
    <row r="82" spans="1:12" ht="15">
      <c r="A82" s="86" t="s">
        <v>845</v>
      </c>
      <c r="B82" s="89" t="s">
        <v>809</v>
      </c>
      <c r="C82" s="89">
        <v>2</v>
      </c>
      <c r="D82" s="94">
        <v>0.004041550718404403</v>
      </c>
      <c r="E82" s="94">
        <v>2.1398790864012365</v>
      </c>
      <c r="F82" s="89" t="s">
        <v>395</v>
      </c>
      <c r="G82" s="89" t="b">
        <v>0</v>
      </c>
      <c r="H82" s="89" t="b">
        <v>0</v>
      </c>
      <c r="I82" s="89" t="b">
        <v>0</v>
      </c>
      <c r="J82" s="89" t="b">
        <v>0</v>
      </c>
      <c r="K82" s="89" t="b">
        <v>0</v>
      </c>
      <c r="L82" s="89" t="b">
        <v>0</v>
      </c>
    </row>
    <row r="83" spans="1:12" ht="15">
      <c r="A83" s="86" t="s">
        <v>809</v>
      </c>
      <c r="B83" s="89" t="s">
        <v>351</v>
      </c>
      <c r="C83" s="89">
        <v>2</v>
      </c>
      <c r="D83" s="94">
        <v>0.004041550718404403</v>
      </c>
      <c r="E83" s="94">
        <v>2.1398790864012365</v>
      </c>
      <c r="F83" s="89" t="s">
        <v>395</v>
      </c>
      <c r="G83" s="89" t="b">
        <v>0</v>
      </c>
      <c r="H83" s="89" t="b">
        <v>0</v>
      </c>
      <c r="I83" s="89" t="b">
        <v>0</v>
      </c>
      <c r="J83" s="89" t="b">
        <v>0</v>
      </c>
      <c r="K83" s="89" t="b">
        <v>0</v>
      </c>
      <c r="L83" s="89" t="b">
        <v>0</v>
      </c>
    </row>
    <row r="84" spans="1:12" ht="15">
      <c r="A84" s="86" t="s">
        <v>351</v>
      </c>
      <c r="B84" s="89" t="s">
        <v>810</v>
      </c>
      <c r="C84" s="89">
        <v>2</v>
      </c>
      <c r="D84" s="94">
        <v>0.004041550718404403</v>
      </c>
      <c r="E84" s="94">
        <v>2.1398790864012365</v>
      </c>
      <c r="F84" s="89" t="s">
        <v>395</v>
      </c>
      <c r="G84" s="89" t="b">
        <v>0</v>
      </c>
      <c r="H84" s="89" t="b">
        <v>0</v>
      </c>
      <c r="I84" s="89" t="b">
        <v>0</v>
      </c>
      <c r="J84" s="89" t="b">
        <v>0</v>
      </c>
      <c r="K84" s="89" t="b">
        <v>0</v>
      </c>
      <c r="L84" s="89" t="b">
        <v>0</v>
      </c>
    </row>
    <row r="85" spans="1:12" ht="15">
      <c r="A85" s="86" t="s">
        <v>810</v>
      </c>
      <c r="B85" s="89" t="s">
        <v>846</v>
      </c>
      <c r="C85" s="89">
        <v>2</v>
      </c>
      <c r="D85" s="94">
        <v>0.004041550718404403</v>
      </c>
      <c r="E85" s="94">
        <v>2.1398790864012365</v>
      </c>
      <c r="F85" s="89" t="s">
        <v>395</v>
      </c>
      <c r="G85" s="89" t="b">
        <v>0</v>
      </c>
      <c r="H85" s="89" t="b">
        <v>0</v>
      </c>
      <c r="I85" s="89" t="b">
        <v>0</v>
      </c>
      <c r="J85" s="89" t="b">
        <v>0</v>
      </c>
      <c r="K85" s="89" t="b">
        <v>0</v>
      </c>
      <c r="L85" s="89" t="b">
        <v>0</v>
      </c>
    </row>
    <row r="86" spans="1:12" ht="15">
      <c r="A86" s="86" t="s">
        <v>846</v>
      </c>
      <c r="B86" s="89" t="s">
        <v>847</v>
      </c>
      <c r="C86" s="89">
        <v>2</v>
      </c>
      <c r="D86" s="94">
        <v>0.004041550718404403</v>
      </c>
      <c r="E86" s="94">
        <v>2.4409090820652177</v>
      </c>
      <c r="F86" s="89" t="s">
        <v>395</v>
      </c>
      <c r="G86" s="89" t="b">
        <v>0</v>
      </c>
      <c r="H86" s="89" t="b">
        <v>0</v>
      </c>
      <c r="I86" s="89" t="b">
        <v>0</v>
      </c>
      <c r="J86" s="89" t="b">
        <v>0</v>
      </c>
      <c r="K86" s="89" t="b">
        <v>1</v>
      </c>
      <c r="L86" s="89" t="b">
        <v>0</v>
      </c>
    </row>
    <row r="87" spans="1:12" ht="15">
      <c r="A87" s="86" t="s">
        <v>847</v>
      </c>
      <c r="B87" s="89" t="s">
        <v>802</v>
      </c>
      <c r="C87" s="89">
        <v>2</v>
      </c>
      <c r="D87" s="94">
        <v>0.004041550718404403</v>
      </c>
      <c r="E87" s="94">
        <v>1.787696568289874</v>
      </c>
      <c r="F87" s="89" t="s">
        <v>395</v>
      </c>
      <c r="G87" s="89" t="b">
        <v>0</v>
      </c>
      <c r="H87" s="89" t="b">
        <v>1</v>
      </c>
      <c r="I87" s="89" t="b">
        <v>0</v>
      </c>
      <c r="J87" s="89" t="b">
        <v>0</v>
      </c>
      <c r="K87" s="89" t="b">
        <v>0</v>
      </c>
      <c r="L87" s="89" t="b">
        <v>0</v>
      </c>
    </row>
    <row r="88" spans="1:12" ht="15">
      <c r="A88" s="86" t="s">
        <v>802</v>
      </c>
      <c r="B88" s="89" t="s">
        <v>802</v>
      </c>
      <c r="C88" s="89">
        <v>2</v>
      </c>
      <c r="D88" s="94">
        <v>0.004041550718404403</v>
      </c>
      <c r="E88" s="94">
        <v>1.2436285239395983</v>
      </c>
      <c r="F88" s="89" t="s">
        <v>395</v>
      </c>
      <c r="G88" s="89" t="b">
        <v>0</v>
      </c>
      <c r="H88" s="89" t="b">
        <v>0</v>
      </c>
      <c r="I88" s="89" t="b">
        <v>0</v>
      </c>
      <c r="J88" s="89" t="b">
        <v>0</v>
      </c>
      <c r="K88" s="89" t="b">
        <v>0</v>
      </c>
      <c r="L88" s="89" t="b">
        <v>0</v>
      </c>
    </row>
    <row r="89" spans="1:12" ht="15">
      <c r="A89" s="86" t="s">
        <v>802</v>
      </c>
      <c r="B89" s="89" t="s">
        <v>848</v>
      </c>
      <c r="C89" s="89">
        <v>2</v>
      </c>
      <c r="D89" s="94">
        <v>0.004041550718404403</v>
      </c>
      <c r="E89" s="94">
        <v>1.896841037714942</v>
      </c>
      <c r="F89" s="89" t="s">
        <v>395</v>
      </c>
      <c r="G89" s="89" t="b">
        <v>0</v>
      </c>
      <c r="H89" s="89" t="b">
        <v>0</v>
      </c>
      <c r="I89" s="89" t="b">
        <v>0</v>
      </c>
      <c r="J89" s="89" t="b">
        <v>0</v>
      </c>
      <c r="K89" s="89" t="b">
        <v>0</v>
      </c>
      <c r="L89" s="89" t="b">
        <v>0</v>
      </c>
    </row>
    <row r="90" spans="1:12" ht="15">
      <c r="A90" s="86" t="s">
        <v>798</v>
      </c>
      <c r="B90" s="89" t="s">
        <v>849</v>
      </c>
      <c r="C90" s="89">
        <v>2</v>
      </c>
      <c r="D90" s="94">
        <v>0.004041550718404403</v>
      </c>
      <c r="E90" s="94">
        <v>1.7005463925709738</v>
      </c>
      <c r="F90" s="89" t="s">
        <v>395</v>
      </c>
      <c r="G90" s="89" t="b">
        <v>0</v>
      </c>
      <c r="H90" s="89" t="b">
        <v>0</v>
      </c>
      <c r="I90" s="89" t="b">
        <v>0</v>
      </c>
      <c r="J90" s="89" t="b">
        <v>0</v>
      </c>
      <c r="K90" s="89" t="b">
        <v>0</v>
      </c>
      <c r="L90" s="89" t="b">
        <v>0</v>
      </c>
    </row>
    <row r="91" spans="1:12" ht="15">
      <c r="A91" s="86" t="s">
        <v>849</v>
      </c>
      <c r="B91" s="89" t="s">
        <v>364</v>
      </c>
      <c r="C91" s="89">
        <v>2</v>
      </c>
      <c r="D91" s="94">
        <v>0.004041550718404403</v>
      </c>
      <c r="E91" s="94">
        <v>2.4409090820652177</v>
      </c>
      <c r="F91" s="89" t="s">
        <v>395</v>
      </c>
      <c r="G91" s="89" t="b">
        <v>0</v>
      </c>
      <c r="H91" s="89" t="b">
        <v>0</v>
      </c>
      <c r="I91" s="89" t="b">
        <v>0</v>
      </c>
      <c r="J91" s="89" t="b">
        <v>1</v>
      </c>
      <c r="K91" s="89" t="b">
        <v>0</v>
      </c>
      <c r="L91" s="89" t="b">
        <v>0</v>
      </c>
    </row>
    <row r="92" spans="1:12" ht="15">
      <c r="A92" s="86" t="s">
        <v>364</v>
      </c>
      <c r="B92" s="89" t="s">
        <v>379</v>
      </c>
      <c r="C92" s="89">
        <v>2</v>
      </c>
      <c r="D92" s="94">
        <v>0.004041550718404403</v>
      </c>
      <c r="E92" s="94">
        <v>2.4409090820652177</v>
      </c>
      <c r="F92" s="89" t="s">
        <v>395</v>
      </c>
      <c r="G92" s="89" t="b">
        <v>1</v>
      </c>
      <c r="H92" s="89" t="b">
        <v>0</v>
      </c>
      <c r="I92" s="89" t="b">
        <v>0</v>
      </c>
      <c r="J92" s="89" t="b">
        <v>0</v>
      </c>
      <c r="K92" s="89" t="b">
        <v>0</v>
      </c>
      <c r="L92" s="89" t="b">
        <v>0</v>
      </c>
    </row>
    <row r="93" spans="1:12" ht="15">
      <c r="A93" s="86" t="s">
        <v>379</v>
      </c>
      <c r="B93" s="89" t="s">
        <v>360</v>
      </c>
      <c r="C93" s="89">
        <v>2</v>
      </c>
      <c r="D93" s="94">
        <v>0.004041550718404403</v>
      </c>
      <c r="E93" s="94">
        <v>1.896841037714942</v>
      </c>
      <c r="F93" s="89" t="s">
        <v>395</v>
      </c>
      <c r="G93" s="89" t="b">
        <v>0</v>
      </c>
      <c r="H93" s="89" t="b">
        <v>0</v>
      </c>
      <c r="I93" s="89" t="b">
        <v>0</v>
      </c>
      <c r="J93" s="89" t="b">
        <v>0</v>
      </c>
      <c r="K93" s="89" t="b">
        <v>0</v>
      </c>
      <c r="L93" s="89" t="b">
        <v>0</v>
      </c>
    </row>
    <row r="94" spans="1:12" ht="15">
      <c r="A94" s="86" t="s">
        <v>360</v>
      </c>
      <c r="B94" s="89" t="s">
        <v>623</v>
      </c>
      <c r="C94" s="89">
        <v>2</v>
      </c>
      <c r="D94" s="94">
        <v>0.004041550718404403</v>
      </c>
      <c r="E94" s="94">
        <v>1.4197197829952797</v>
      </c>
      <c r="F94" s="89" t="s">
        <v>395</v>
      </c>
      <c r="G94" s="89" t="b">
        <v>0</v>
      </c>
      <c r="H94" s="89" t="b">
        <v>0</v>
      </c>
      <c r="I94" s="89" t="b">
        <v>0</v>
      </c>
      <c r="J94" s="89" t="b">
        <v>0</v>
      </c>
      <c r="K94" s="89" t="b">
        <v>0</v>
      </c>
      <c r="L94" s="89" t="b">
        <v>0</v>
      </c>
    </row>
    <row r="95" spans="1:12" ht="15">
      <c r="A95" s="86" t="s">
        <v>623</v>
      </c>
      <c r="B95" s="89" t="s">
        <v>366</v>
      </c>
      <c r="C95" s="89">
        <v>2</v>
      </c>
      <c r="D95" s="94">
        <v>0.004041550718404403</v>
      </c>
      <c r="E95" s="94">
        <v>1.9637878273455553</v>
      </c>
      <c r="F95" s="89" t="s">
        <v>395</v>
      </c>
      <c r="G95" s="89" t="b">
        <v>0</v>
      </c>
      <c r="H95" s="89" t="b">
        <v>0</v>
      </c>
      <c r="I95" s="89" t="b">
        <v>0</v>
      </c>
      <c r="J95" s="89" t="b">
        <v>0</v>
      </c>
      <c r="K95" s="89" t="b">
        <v>0</v>
      </c>
      <c r="L95" s="89" t="b">
        <v>0</v>
      </c>
    </row>
    <row r="96" spans="1:12" ht="15">
      <c r="A96" s="86" t="s">
        <v>366</v>
      </c>
      <c r="B96" s="89" t="s">
        <v>382</v>
      </c>
      <c r="C96" s="89">
        <v>2</v>
      </c>
      <c r="D96" s="94">
        <v>0.004041550718404403</v>
      </c>
      <c r="E96" s="94">
        <v>2.4409090820652177</v>
      </c>
      <c r="F96" s="89" t="s">
        <v>395</v>
      </c>
      <c r="G96" s="89" t="b">
        <v>0</v>
      </c>
      <c r="H96" s="89" t="b">
        <v>0</v>
      </c>
      <c r="I96" s="89" t="b">
        <v>0</v>
      </c>
      <c r="J96" s="89" t="b">
        <v>0</v>
      </c>
      <c r="K96" s="89" t="b">
        <v>0</v>
      </c>
      <c r="L96" s="89" t="b">
        <v>0</v>
      </c>
    </row>
    <row r="97" spans="1:12" ht="15">
      <c r="A97" s="86" t="s">
        <v>382</v>
      </c>
      <c r="B97" s="89" t="s">
        <v>587</v>
      </c>
      <c r="C97" s="89">
        <v>2</v>
      </c>
      <c r="D97" s="94">
        <v>0.004041550718404403</v>
      </c>
      <c r="E97" s="94">
        <v>1.896841037714942</v>
      </c>
      <c r="F97" s="89" t="s">
        <v>395</v>
      </c>
      <c r="G97" s="89" t="b">
        <v>0</v>
      </c>
      <c r="H97" s="89" t="b">
        <v>0</v>
      </c>
      <c r="I97" s="89" t="b">
        <v>0</v>
      </c>
      <c r="J97" s="89" t="b">
        <v>0</v>
      </c>
      <c r="K97" s="89" t="b">
        <v>0</v>
      </c>
      <c r="L97" s="89" t="b">
        <v>0</v>
      </c>
    </row>
    <row r="98" spans="1:12" ht="15">
      <c r="A98" s="86" t="s">
        <v>595</v>
      </c>
      <c r="B98" s="89" t="s">
        <v>588</v>
      </c>
      <c r="C98" s="89">
        <v>2</v>
      </c>
      <c r="D98" s="94">
        <v>0.004041550718404403</v>
      </c>
      <c r="E98" s="94">
        <v>2.0429690733931802</v>
      </c>
      <c r="F98" s="89" t="s">
        <v>395</v>
      </c>
      <c r="G98" s="89" t="b">
        <v>0</v>
      </c>
      <c r="H98" s="89" t="b">
        <v>0</v>
      </c>
      <c r="I98" s="89" t="b">
        <v>0</v>
      </c>
      <c r="J98" s="89" t="b">
        <v>0</v>
      </c>
      <c r="K98" s="89" t="b">
        <v>0</v>
      </c>
      <c r="L98" s="89" t="b">
        <v>0</v>
      </c>
    </row>
    <row r="99" spans="1:12" ht="15">
      <c r="A99" s="86" t="s">
        <v>588</v>
      </c>
      <c r="B99" s="89" t="s">
        <v>819</v>
      </c>
      <c r="C99" s="89">
        <v>2</v>
      </c>
      <c r="D99" s="94">
        <v>0.004041550718404403</v>
      </c>
      <c r="E99" s="94">
        <v>2.0887265639538555</v>
      </c>
      <c r="F99" s="89" t="s">
        <v>395</v>
      </c>
      <c r="G99" s="89" t="b">
        <v>0</v>
      </c>
      <c r="H99" s="89" t="b">
        <v>0</v>
      </c>
      <c r="I99" s="89" t="b">
        <v>0</v>
      </c>
      <c r="J99" s="89" t="b">
        <v>0</v>
      </c>
      <c r="K99" s="89" t="b">
        <v>0</v>
      </c>
      <c r="L99" s="89" t="b">
        <v>0</v>
      </c>
    </row>
    <row r="100" spans="1:12" ht="15">
      <c r="A100" s="86" t="s">
        <v>819</v>
      </c>
      <c r="B100" s="89" t="s">
        <v>806</v>
      </c>
      <c r="C100" s="89">
        <v>2</v>
      </c>
      <c r="D100" s="94">
        <v>0.004041550718404403</v>
      </c>
      <c r="E100" s="94">
        <v>1.8668778143374989</v>
      </c>
      <c r="F100" s="89" t="s">
        <v>395</v>
      </c>
      <c r="G100" s="89" t="b">
        <v>0</v>
      </c>
      <c r="H100" s="89" t="b">
        <v>0</v>
      </c>
      <c r="I100" s="89" t="b">
        <v>0</v>
      </c>
      <c r="J100" s="89" t="b">
        <v>0</v>
      </c>
      <c r="K100" s="89" t="b">
        <v>0</v>
      </c>
      <c r="L100" s="89" t="b">
        <v>0</v>
      </c>
    </row>
    <row r="101" spans="1:12" ht="15">
      <c r="A101" s="86" t="s">
        <v>806</v>
      </c>
      <c r="B101" s="89" t="s">
        <v>850</v>
      </c>
      <c r="C101" s="89">
        <v>2</v>
      </c>
      <c r="D101" s="94">
        <v>0.004041550718404403</v>
      </c>
      <c r="E101" s="94">
        <v>2.0429690733931802</v>
      </c>
      <c r="F101" s="89" t="s">
        <v>395</v>
      </c>
      <c r="G101" s="89" t="b">
        <v>0</v>
      </c>
      <c r="H101" s="89" t="b">
        <v>0</v>
      </c>
      <c r="I101" s="89" t="b">
        <v>0</v>
      </c>
      <c r="J101" s="89" t="b">
        <v>0</v>
      </c>
      <c r="K101" s="89" t="b">
        <v>0</v>
      </c>
      <c r="L101" s="89" t="b">
        <v>0</v>
      </c>
    </row>
    <row r="102" spans="1:12" ht="15">
      <c r="A102" s="86" t="s">
        <v>850</v>
      </c>
      <c r="B102" s="89" t="s">
        <v>851</v>
      </c>
      <c r="C102" s="89">
        <v>2</v>
      </c>
      <c r="D102" s="94">
        <v>0.004041550718404403</v>
      </c>
      <c r="E102" s="94">
        <v>2.4409090820652177</v>
      </c>
      <c r="F102" s="89" t="s">
        <v>395</v>
      </c>
      <c r="G102" s="89" t="b">
        <v>0</v>
      </c>
      <c r="H102" s="89" t="b">
        <v>0</v>
      </c>
      <c r="I102" s="89" t="b">
        <v>0</v>
      </c>
      <c r="J102" s="89" t="b">
        <v>0</v>
      </c>
      <c r="K102" s="89" t="b">
        <v>0</v>
      </c>
      <c r="L102" s="89" t="b">
        <v>0</v>
      </c>
    </row>
    <row r="103" spans="1:12" ht="15">
      <c r="A103" s="86" t="s">
        <v>851</v>
      </c>
      <c r="B103" s="89" t="s">
        <v>346</v>
      </c>
      <c r="C103" s="89">
        <v>2</v>
      </c>
      <c r="D103" s="94">
        <v>0.004041550718404403</v>
      </c>
      <c r="E103" s="94">
        <v>2.4409090820652177</v>
      </c>
      <c r="F103" s="89" t="s">
        <v>395</v>
      </c>
      <c r="G103" s="89" t="b">
        <v>0</v>
      </c>
      <c r="H103" s="89" t="b">
        <v>0</v>
      </c>
      <c r="I103" s="89" t="b">
        <v>0</v>
      </c>
      <c r="J103" s="89" t="b">
        <v>0</v>
      </c>
      <c r="K103" s="89" t="b">
        <v>0</v>
      </c>
      <c r="L103" s="89" t="b">
        <v>0</v>
      </c>
    </row>
    <row r="104" spans="1:12" ht="15">
      <c r="A104" s="86" t="s">
        <v>346</v>
      </c>
      <c r="B104" s="89" t="s">
        <v>809</v>
      </c>
      <c r="C104" s="89">
        <v>2</v>
      </c>
      <c r="D104" s="94">
        <v>0.004041550718404403</v>
      </c>
      <c r="E104" s="94">
        <v>2.1398790864012365</v>
      </c>
      <c r="F104" s="89" t="s">
        <v>395</v>
      </c>
      <c r="G104" s="89" t="b">
        <v>0</v>
      </c>
      <c r="H104" s="89" t="b">
        <v>0</v>
      </c>
      <c r="I104" s="89" t="b">
        <v>0</v>
      </c>
      <c r="J104" s="89" t="b">
        <v>0</v>
      </c>
      <c r="K104" s="89" t="b">
        <v>0</v>
      </c>
      <c r="L104" s="89" t="b">
        <v>0</v>
      </c>
    </row>
    <row r="105" spans="1:12" ht="15">
      <c r="A105" s="86" t="s">
        <v>809</v>
      </c>
      <c r="B105" s="89" t="s">
        <v>345</v>
      </c>
      <c r="C105" s="89">
        <v>2</v>
      </c>
      <c r="D105" s="94">
        <v>0.004041550718404403</v>
      </c>
      <c r="E105" s="94">
        <v>1.4866665726258927</v>
      </c>
      <c r="F105" s="89" t="s">
        <v>395</v>
      </c>
      <c r="G105" s="89" t="b">
        <v>0</v>
      </c>
      <c r="H105" s="89" t="b">
        <v>0</v>
      </c>
      <c r="I105" s="89" t="b">
        <v>0</v>
      </c>
      <c r="J105" s="89" t="b">
        <v>0</v>
      </c>
      <c r="K105" s="89" t="b">
        <v>0</v>
      </c>
      <c r="L105" s="89" t="b">
        <v>0</v>
      </c>
    </row>
    <row r="106" spans="1:12" ht="15">
      <c r="A106" s="86" t="s">
        <v>345</v>
      </c>
      <c r="B106" s="89" t="s">
        <v>582</v>
      </c>
      <c r="C106" s="89">
        <v>2</v>
      </c>
      <c r="D106" s="94">
        <v>0.004041550718404403</v>
      </c>
      <c r="E106" s="94">
        <v>1.3897565596178365</v>
      </c>
      <c r="F106" s="89" t="s">
        <v>395</v>
      </c>
      <c r="G106" s="89" t="b">
        <v>0</v>
      </c>
      <c r="H106" s="89" t="b">
        <v>0</v>
      </c>
      <c r="I106" s="89" t="b">
        <v>0</v>
      </c>
      <c r="J106" s="89" t="b">
        <v>0</v>
      </c>
      <c r="K106" s="89" t="b">
        <v>0</v>
      </c>
      <c r="L106" s="89" t="b">
        <v>0</v>
      </c>
    </row>
    <row r="107" spans="1:12" ht="15">
      <c r="A107" s="86" t="s">
        <v>582</v>
      </c>
      <c r="B107" s="89" t="s">
        <v>802</v>
      </c>
      <c r="C107" s="89">
        <v>2</v>
      </c>
      <c r="D107" s="94">
        <v>0.004041550718404403</v>
      </c>
      <c r="E107" s="94">
        <v>1.3897565596178365</v>
      </c>
      <c r="F107" s="89" t="s">
        <v>395</v>
      </c>
      <c r="G107" s="89" t="b">
        <v>0</v>
      </c>
      <c r="H107" s="89" t="b">
        <v>0</v>
      </c>
      <c r="I107" s="89" t="b">
        <v>0</v>
      </c>
      <c r="J107" s="89" t="b">
        <v>0</v>
      </c>
      <c r="K107" s="89" t="b">
        <v>0</v>
      </c>
      <c r="L107" s="89" t="b">
        <v>0</v>
      </c>
    </row>
    <row r="108" spans="1:12" ht="15">
      <c r="A108" s="86" t="s">
        <v>348</v>
      </c>
      <c r="B108" s="89" t="s">
        <v>853</v>
      </c>
      <c r="C108" s="89">
        <v>2</v>
      </c>
      <c r="D108" s="94">
        <v>0.004041550718404403</v>
      </c>
      <c r="E108" s="94">
        <v>1.7419390777291988</v>
      </c>
      <c r="F108" s="89" t="s">
        <v>395</v>
      </c>
      <c r="G108" s="89" t="b">
        <v>0</v>
      </c>
      <c r="H108" s="89" t="b">
        <v>0</v>
      </c>
      <c r="I108" s="89" t="b">
        <v>0</v>
      </c>
      <c r="J108" s="89" t="b">
        <v>0</v>
      </c>
      <c r="K108" s="89" t="b">
        <v>0</v>
      </c>
      <c r="L108" s="89" t="b">
        <v>0</v>
      </c>
    </row>
    <row r="109" spans="1:12" ht="15">
      <c r="A109" s="86" t="s">
        <v>853</v>
      </c>
      <c r="B109" s="89" t="s">
        <v>854</v>
      </c>
      <c r="C109" s="89">
        <v>2</v>
      </c>
      <c r="D109" s="94">
        <v>0.004041550718404403</v>
      </c>
      <c r="E109" s="94">
        <v>2.4409090820652177</v>
      </c>
      <c r="F109" s="89" t="s">
        <v>395</v>
      </c>
      <c r="G109" s="89" t="b">
        <v>0</v>
      </c>
      <c r="H109" s="89" t="b">
        <v>0</v>
      </c>
      <c r="I109" s="89" t="b">
        <v>0</v>
      </c>
      <c r="J109" s="89" t="b">
        <v>0</v>
      </c>
      <c r="K109" s="89" t="b">
        <v>0</v>
      </c>
      <c r="L109" s="89" t="b">
        <v>0</v>
      </c>
    </row>
    <row r="110" spans="1:12" ht="15">
      <c r="A110" s="86" t="s">
        <v>854</v>
      </c>
      <c r="B110" s="89" t="s">
        <v>804</v>
      </c>
      <c r="C110" s="89">
        <v>2</v>
      </c>
      <c r="D110" s="94">
        <v>0.004041550718404403</v>
      </c>
      <c r="E110" s="94">
        <v>1.9637878273455553</v>
      </c>
      <c r="F110" s="89" t="s">
        <v>395</v>
      </c>
      <c r="G110" s="89" t="b">
        <v>0</v>
      </c>
      <c r="H110" s="89" t="b">
        <v>0</v>
      </c>
      <c r="I110" s="89" t="b">
        <v>0</v>
      </c>
      <c r="J110" s="89" t="b">
        <v>0</v>
      </c>
      <c r="K110" s="89" t="b">
        <v>0</v>
      </c>
      <c r="L110" s="89" t="b">
        <v>0</v>
      </c>
    </row>
    <row r="111" spans="1:12" ht="15">
      <c r="A111" s="86" t="s">
        <v>804</v>
      </c>
      <c r="B111" s="89" t="s">
        <v>797</v>
      </c>
      <c r="C111" s="89">
        <v>2</v>
      </c>
      <c r="D111" s="94">
        <v>0.004041550718404403</v>
      </c>
      <c r="E111" s="94">
        <v>0.8846065812979305</v>
      </c>
      <c r="F111" s="89" t="s">
        <v>395</v>
      </c>
      <c r="G111" s="89" t="b">
        <v>0</v>
      </c>
      <c r="H111" s="89" t="b">
        <v>0</v>
      </c>
      <c r="I111" s="89" t="b">
        <v>0</v>
      </c>
      <c r="J111" s="89" t="b">
        <v>0</v>
      </c>
      <c r="K111" s="89" t="b">
        <v>0</v>
      </c>
      <c r="L111" s="89" t="b">
        <v>0</v>
      </c>
    </row>
    <row r="112" spans="1:12" ht="15">
      <c r="A112" s="86" t="s">
        <v>797</v>
      </c>
      <c r="B112" s="89" t="s">
        <v>387</v>
      </c>
      <c r="C112" s="89">
        <v>2</v>
      </c>
      <c r="D112" s="94">
        <v>0.004041550718404403</v>
      </c>
      <c r="E112" s="94">
        <v>1.4409090820652177</v>
      </c>
      <c r="F112" s="89" t="s">
        <v>395</v>
      </c>
      <c r="G112" s="89" t="b">
        <v>0</v>
      </c>
      <c r="H112" s="89" t="b">
        <v>0</v>
      </c>
      <c r="I112" s="89" t="b">
        <v>0</v>
      </c>
      <c r="J112" s="89" t="b">
        <v>0</v>
      </c>
      <c r="K112" s="89" t="b">
        <v>0</v>
      </c>
      <c r="L112" s="89" t="b">
        <v>0</v>
      </c>
    </row>
    <row r="113" spans="1:12" ht="15">
      <c r="A113" s="86" t="s">
        <v>387</v>
      </c>
      <c r="B113" s="89" t="s">
        <v>855</v>
      </c>
      <c r="C113" s="89">
        <v>2</v>
      </c>
      <c r="D113" s="94">
        <v>0.004041550718404403</v>
      </c>
      <c r="E113" s="94">
        <v>2.4409090820652177</v>
      </c>
      <c r="F113" s="89" t="s">
        <v>395</v>
      </c>
      <c r="G113" s="89" t="b">
        <v>0</v>
      </c>
      <c r="H113" s="89" t="b">
        <v>0</v>
      </c>
      <c r="I113" s="89" t="b">
        <v>0</v>
      </c>
      <c r="J113" s="89" t="b">
        <v>0</v>
      </c>
      <c r="K113" s="89" t="b">
        <v>0</v>
      </c>
      <c r="L113" s="89" t="b">
        <v>0</v>
      </c>
    </row>
    <row r="114" spans="1:12" ht="15">
      <c r="A114" s="86" t="s">
        <v>855</v>
      </c>
      <c r="B114" s="89" t="s">
        <v>798</v>
      </c>
      <c r="C114" s="89">
        <v>2</v>
      </c>
      <c r="D114" s="94">
        <v>0.004041550718404403</v>
      </c>
      <c r="E114" s="94">
        <v>1.787696568289874</v>
      </c>
      <c r="F114" s="89" t="s">
        <v>395</v>
      </c>
      <c r="G114" s="89" t="b">
        <v>0</v>
      </c>
      <c r="H114" s="89" t="b">
        <v>0</v>
      </c>
      <c r="I114" s="89" t="b">
        <v>0</v>
      </c>
      <c r="J114" s="89" t="b">
        <v>0</v>
      </c>
      <c r="K114" s="89" t="b">
        <v>0</v>
      </c>
      <c r="L114" s="89" t="b">
        <v>0</v>
      </c>
    </row>
    <row r="115" spans="1:12" ht="15">
      <c r="A115" s="86" t="s">
        <v>798</v>
      </c>
      <c r="B115" s="89" t="s">
        <v>354</v>
      </c>
      <c r="C115" s="89">
        <v>2</v>
      </c>
      <c r="D115" s="94">
        <v>0.004041550718404403</v>
      </c>
      <c r="E115" s="94">
        <v>1.5244551335152927</v>
      </c>
      <c r="F115" s="89" t="s">
        <v>395</v>
      </c>
      <c r="G115" s="89" t="b">
        <v>0</v>
      </c>
      <c r="H115" s="89" t="b">
        <v>0</v>
      </c>
      <c r="I115" s="89" t="b">
        <v>0</v>
      </c>
      <c r="J115" s="89" t="b">
        <v>0</v>
      </c>
      <c r="K115" s="89" t="b">
        <v>0</v>
      </c>
      <c r="L115" s="89" t="b">
        <v>0</v>
      </c>
    </row>
    <row r="116" spans="1:12" ht="15">
      <c r="A116" s="86" t="s">
        <v>354</v>
      </c>
      <c r="B116" s="89" t="s">
        <v>371</v>
      </c>
      <c r="C116" s="89">
        <v>2</v>
      </c>
      <c r="D116" s="94">
        <v>0.004041550718404403</v>
      </c>
      <c r="E116" s="94">
        <v>2.0429690733931802</v>
      </c>
      <c r="F116" s="89" t="s">
        <v>395</v>
      </c>
      <c r="G116" s="89" t="b">
        <v>0</v>
      </c>
      <c r="H116" s="89" t="b">
        <v>0</v>
      </c>
      <c r="I116" s="89" t="b">
        <v>0</v>
      </c>
      <c r="J116" s="89" t="b">
        <v>0</v>
      </c>
      <c r="K116" s="89" t="b">
        <v>0</v>
      </c>
      <c r="L116" s="89" t="b">
        <v>0</v>
      </c>
    </row>
    <row r="117" spans="1:12" ht="15">
      <c r="A117" s="86" t="s">
        <v>371</v>
      </c>
      <c r="B117" s="89" t="s">
        <v>803</v>
      </c>
      <c r="C117" s="89">
        <v>2</v>
      </c>
      <c r="D117" s="94">
        <v>0.004041550718404403</v>
      </c>
      <c r="E117" s="94">
        <v>1.896841037714942</v>
      </c>
      <c r="F117" s="89" t="s">
        <v>395</v>
      </c>
      <c r="G117" s="89" t="b">
        <v>0</v>
      </c>
      <c r="H117" s="89" t="b">
        <v>0</v>
      </c>
      <c r="I117" s="89" t="b">
        <v>0</v>
      </c>
      <c r="J117" s="89" t="b">
        <v>0</v>
      </c>
      <c r="K117" s="89" t="b">
        <v>1</v>
      </c>
      <c r="L117" s="89" t="b">
        <v>0</v>
      </c>
    </row>
    <row r="118" spans="1:12" ht="15">
      <c r="A118" s="86" t="s">
        <v>803</v>
      </c>
      <c r="B118" s="89" t="s">
        <v>810</v>
      </c>
      <c r="C118" s="89">
        <v>2</v>
      </c>
      <c r="D118" s="94">
        <v>0.004041550718404403</v>
      </c>
      <c r="E118" s="94">
        <v>1.5958110420509608</v>
      </c>
      <c r="F118" s="89" t="s">
        <v>395</v>
      </c>
      <c r="G118" s="89" t="b">
        <v>0</v>
      </c>
      <c r="H118" s="89" t="b">
        <v>1</v>
      </c>
      <c r="I118" s="89" t="b">
        <v>0</v>
      </c>
      <c r="J118" s="89" t="b">
        <v>0</v>
      </c>
      <c r="K118" s="89" t="b">
        <v>0</v>
      </c>
      <c r="L118" s="89" t="b">
        <v>0</v>
      </c>
    </row>
    <row r="119" spans="1:12" ht="15">
      <c r="A119" s="86" t="s">
        <v>810</v>
      </c>
      <c r="B119" s="89" t="s">
        <v>375</v>
      </c>
      <c r="C119" s="89">
        <v>2</v>
      </c>
      <c r="D119" s="94">
        <v>0.004041550718404403</v>
      </c>
      <c r="E119" s="94">
        <v>1.662757831681574</v>
      </c>
      <c r="F119" s="89" t="s">
        <v>395</v>
      </c>
      <c r="G119" s="89" t="b">
        <v>0</v>
      </c>
      <c r="H119" s="89" t="b">
        <v>0</v>
      </c>
      <c r="I119" s="89" t="b">
        <v>0</v>
      </c>
      <c r="J119" s="89" t="b">
        <v>0</v>
      </c>
      <c r="K119" s="89" t="b">
        <v>0</v>
      </c>
      <c r="L119" s="89" t="b">
        <v>0</v>
      </c>
    </row>
    <row r="120" spans="1:12" ht="15">
      <c r="A120" s="86" t="s">
        <v>375</v>
      </c>
      <c r="B120" s="89" t="s">
        <v>593</v>
      </c>
      <c r="C120" s="89">
        <v>2</v>
      </c>
      <c r="D120" s="94">
        <v>0.004041550718404403</v>
      </c>
      <c r="E120" s="94">
        <v>1.9637878273455553</v>
      </c>
      <c r="F120" s="89" t="s">
        <v>395</v>
      </c>
      <c r="G120" s="89" t="b">
        <v>0</v>
      </c>
      <c r="H120" s="89" t="b">
        <v>0</v>
      </c>
      <c r="I120" s="89" t="b">
        <v>0</v>
      </c>
      <c r="J120" s="89" t="b">
        <v>0</v>
      </c>
      <c r="K120" s="89" t="b">
        <v>0</v>
      </c>
      <c r="L120" s="89" t="b">
        <v>0</v>
      </c>
    </row>
    <row r="121" spans="1:12" ht="15">
      <c r="A121" s="86" t="s">
        <v>593</v>
      </c>
      <c r="B121" s="89" t="s">
        <v>592</v>
      </c>
      <c r="C121" s="89">
        <v>2</v>
      </c>
      <c r="D121" s="94">
        <v>0.004041550718404403</v>
      </c>
      <c r="E121" s="94">
        <v>2.4409090820652177</v>
      </c>
      <c r="F121" s="89" t="s">
        <v>395</v>
      </c>
      <c r="G121" s="89" t="b">
        <v>0</v>
      </c>
      <c r="H121" s="89" t="b">
        <v>0</v>
      </c>
      <c r="I121" s="89" t="b">
        <v>0</v>
      </c>
      <c r="J121" s="89" t="b">
        <v>0</v>
      </c>
      <c r="K121" s="89" t="b">
        <v>0</v>
      </c>
      <c r="L121" s="89" t="b">
        <v>0</v>
      </c>
    </row>
    <row r="122" spans="1:12" ht="15">
      <c r="A122" s="86" t="s">
        <v>372</v>
      </c>
      <c r="B122" s="89" t="s">
        <v>820</v>
      </c>
      <c r="C122" s="89">
        <v>2</v>
      </c>
      <c r="D122" s="94">
        <v>0.004041550718404403</v>
      </c>
      <c r="E122" s="94">
        <v>2.0887265639538555</v>
      </c>
      <c r="F122" s="89" t="s">
        <v>395</v>
      </c>
      <c r="G122" s="89" t="b">
        <v>0</v>
      </c>
      <c r="H122" s="89" t="b">
        <v>0</v>
      </c>
      <c r="I122" s="89" t="b">
        <v>0</v>
      </c>
      <c r="J122" s="89" t="b">
        <v>0</v>
      </c>
      <c r="K122" s="89" t="b">
        <v>0</v>
      </c>
      <c r="L122" s="89" t="b">
        <v>0</v>
      </c>
    </row>
    <row r="123" spans="1:12" ht="15">
      <c r="A123" s="86" t="s">
        <v>820</v>
      </c>
      <c r="B123" s="89" t="s">
        <v>389</v>
      </c>
      <c r="C123" s="89">
        <v>2</v>
      </c>
      <c r="D123" s="94">
        <v>0.004041550718404403</v>
      </c>
      <c r="E123" s="94">
        <v>2.2648178230095364</v>
      </c>
      <c r="F123" s="89" t="s">
        <v>395</v>
      </c>
      <c r="G123" s="89" t="b">
        <v>0</v>
      </c>
      <c r="H123" s="89" t="b">
        <v>0</v>
      </c>
      <c r="I123" s="89" t="b">
        <v>0</v>
      </c>
      <c r="J123" s="89" t="b">
        <v>0</v>
      </c>
      <c r="K123" s="89" t="b">
        <v>0</v>
      </c>
      <c r="L123" s="89" t="b">
        <v>0</v>
      </c>
    </row>
    <row r="124" spans="1:12" ht="15">
      <c r="A124" s="86" t="s">
        <v>389</v>
      </c>
      <c r="B124" s="89" t="s">
        <v>821</v>
      </c>
      <c r="C124" s="89">
        <v>2</v>
      </c>
      <c r="D124" s="94">
        <v>0.004041550718404403</v>
      </c>
      <c r="E124" s="94">
        <v>2.2648178230095364</v>
      </c>
      <c r="F124" s="89" t="s">
        <v>395</v>
      </c>
      <c r="G124" s="89" t="b">
        <v>0</v>
      </c>
      <c r="H124" s="89" t="b">
        <v>0</v>
      </c>
      <c r="I124" s="89" t="b">
        <v>0</v>
      </c>
      <c r="J124" s="89" t="b">
        <v>0</v>
      </c>
      <c r="K124" s="89" t="b">
        <v>0</v>
      </c>
      <c r="L124" s="89" t="b">
        <v>0</v>
      </c>
    </row>
    <row r="125" spans="1:12" ht="15">
      <c r="A125" s="86" t="s">
        <v>821</v>
      </c>
      <c r="B125" s="89" t="s">
        <v>800</v>
      </c>
      <c r="C125" s="89">
        <v>2</v>
      </c>
      <c r="D125" s="94">
        <v>0.004041550718404403</v>
      </c>
      <c r="E125" s="94">
        <v>1.5658478186735176</v>
      </c>
      <c r="F125" s="89" t="s">
        <v>395</v>
      </c>
      <c r="G125" s="89" t="b">
        <v>0</v>
      </c>
      <c r="H125" s="89" t="b">
        <v>0</v>
      </c>
      <c r="I125" s="89" t="b">
        <v>0</v>
      </c>
      <c r="J125" s="89" t="b">
        <v>0</v>
      </c>
      <c r="K125" s="89" t="b">
        <v>0</v>
      </c>
      <c r="L125" s="89" t="b">
        <v>0</v>
      </c>
    </row>
    <row r="126" spans="1:12" ht="15">
      <c r="A126" s="86" t="s">
        <v>800</v>
      </c>
      <c r="B126" s="89" t="s">
        <v>358</v>
      </c>
      <c r="C126" s="89">
        <v>2</v>
      </c>
      <c r="D126" s="94">
        <v>0.004041550718404403</v>
      </c>
      <c r="E126" s="94">
        <v>1.5658478186735176</v>
      </c>
      <c r="F126" s="89" t="s">
        <v>395</v>
      </c>
      <c r="G126" s="89" t="b">
        <v>0</v>
      </c>
      <c r="H126" s="89" t="b">
        <v>0</v>
      </c>
      <c r="I126" s="89" t="b">
        <v>0</v>
      </c>
      <c r="J126" s="89" t="b">
        <v>0</v>
      </c>
      <c r="K126" s="89" t="b">
        <v>0</v>
      </c>
      <c r="L126" s="89" t="b">
        <v>0</v>
      </c>
    </row>
    <row r="127" spans="1:12" ht="15">
      <c r="A127" s="86" t="s">
        <v>358</v>
      </c>
      <c r="B127" s="89" t="s">
        <v>797</v>
      </c>
      <c r="C127" s="89">
        <v>2</v>
      </c>
      <c r="D127" s="94">
        <v>0.004041550718404403</v>
      </c>
      <c r="E127" s="94">
        <v>1.1856365769619117</v>
      </c>
      <c r="F127" s="89" t="s">
        <v>395</v>
      </c>
      <c r="G127" s="89" t="b">
        <v>0</v>
      </c>
      <c r="H127" s="89" t="b">
        <v>0</v>
      </c>
      <c r="I127" s="89" t="b">
        <v>0</v>
      </c>
      <c r="J127" s="89" t="b">
        <v>0</v>
      </c>
      <c r="K127" s="89" t="b">
        <v>0</v>
      </c>
      <c r="L127" s="89" t="b">
        <v>0</v>
      </c>
    </row>
    <row r="128" spans="1:12" ht="15">
      <c r="A128" s="86" t="s">
        <v>801</v>
      </c>
      <c r="B128" s="89" t="s">
        <v>857</v>
      </c>
      <c r="C128" s="89">
        <v>2</v>
      </c>
      <c r="D128" s="94">
        <v>0.004041550718404403</v>
      </c>
      <c r="E128" s="94">
        <v>1.8388490907372552</v>
      </c>
      <c r="F128" s="89" t="s">
        <v>395</v>
      </c>
      <c r="G128" s="89" t="b">
        <v>0</v>
      </c>
      <c r="H128" s="89" t="b">
        <v>0</v>
      </c>
      <c r="I128" s="89" t="b">
        <v>0</v>
      </c>
      <c r="J128" s="89" t="b">
        <v>0</v>
      </c>
      <c r="K128" s="89" t="b">
        <v>0</v>
      </c>
      <c r="L128" s="89" t="b">
        <v>0</v>
      </c>
    </row>
    <row r="129" spans="1:12" ht="15">
      <c r="A129" s="86" t="s">
        <v>857</v>
      </c>
      <c r="B129" s="89" t="s">
        <v>822</v>
      </c>
      <c r="C129" s="89">
        <v>2</v>
      </c>
      <c r="D129" s="94">
        <v>0.004041550718404403</v>
      </c>
      <c r="E129" s="94">
        <v>2.2648178230095364</v>
      </c>
      <c r="F129" s="89" t="s">
        <v>395</v>
      </c>
      <c r="G129" s="89" t="b">
        <v>0</v>
      </c>
      <c r="H129" s="89" t="b">
        <v>0</v>
      </c>
      <c r="I129" s="89" t="b">
        <v>0</v>
      </c>
      <c r="J129" s="89" t="b">
        <v>0</v>
      </c>
      <c r="K129" s="89" t="b">
        <v>0</v>
      </c>
      <c r="L129" s="89" t="b">
        <v>0</v>
      </c>
    </row>
    <row r="130" spans="1:12" ht="15">
      <c r="A130" s="86" t="s">
        <v>354</v>
      </c>
      <c r="B130" s="89" t="s">
        <v>858</v>
      </c>
      <c r="C130" s="89">
        <v>2</v>
      </c>
      <c r="D130" s="94">
        <v>0.004041550718404403</v>
      </c>
      <c r="E130" s="94">
        <v>2.0429690733931802</v>
      </c>
      <c r="F130" s="89" t="s">
        <v>395</v>
      </c>
      <c r="G130" s="89" t="b">
        <v>0</v>
      </c>
      <c r="H130" s="89" t="b">
        <v>0</v>
      </c>
      <c r="I130" s="89" t="b">
        <v>0</v>
      </c>
      <c r="J130" s="89" t="b">
        <v>1</v>
      </c>
      <c r="K130" s="89" t="b">
        <v>0</v>
      </c>
      <c r="L130" s="89" t="b">
        <v>0</v>
      </c>
    </row>
    <row r="131" spans="1:12" ht="15">
      <c r="A131" s="86" t="s">
        <v>858</v>
      </c>
      <c r="B131" s="89" t="s">
        <v>386</v>
      </c>
      <c r="C131" s="89">
        <v>2</v>
      </c>
      <c r="D131" s="94">
        <v>0.004041550718404403</v>
      </c>
      <c r="E131" s="94">
        <v>2.2648178230095364</v>
      </c>
      <c r="F131" s="89" t="s">
        <v>395</v>
      </c>
      <c r="G131" s="89" t="b">
        <v>1</v>
      </c>
      <c r="H131" s="89" t="b">
        <v>0</v>
      </c>
      <c r="I131" s="89" t="b">
        <v>0</v>
      </c>
      <c r="J131" s="89" t="b">
        <v>0</v>
      </c>
      <c r="K131" s="89" t="b">
        <v>0</v>
      </c>
      <c r="L131" s="89" t="b">
        <v>0</v>
      </c>
    </row>
    <row r="132" spans="1:12" ht="15">
      <c r="A132" s="86" t="s">
        <v>386</v>
      </c>
      <c r="B132" s="89" t="s">
        <v>859</v>
      </c>
      <c r="C132" s="89">
        <v>2</v>
      </c>
      <c r="D132" s="94">
        <v>0.004041550718404403</v>
      </c>
      <c r="E132" s="94">
        <v>2.2648178230095364</v>
      </c>
      <c r="F132" s="89" t="s">
        <v>395</v>
      </c>
      <c r="G132" s="89" t="b">
        <v>0</v>
      </c>
      <c r="H132" s="89" t="b">
        <v>0</v>
      </c>
      <c r="I132" s="89" t="b">
        <v>0</v>
      </c>
      <c r="J132" s="89" t="b">
        <v>1</v>
      </c>
      <c r="K132" s="89" t="b">
        <v>0</v>
      </c>
      <c r="L132" s="89" t="b">
        <v>0</v>
      </c>
    </row>
    <row r="133" spans="1:12" ht="15">
      <c r="A133" s="86" t="s">
        <v>859</v>
      </c>
      <c r="B133" s="89" t="s">
        <v>363</v>
      </c>
      <c r="C133" s="89">
        <v>2</v>
      </c>
      <c r="D133" s="94">
        <v>0.004041550718404403</v>
      </c>
      <c r="E133" s="94">
        <v>2.2648178230095364</v>
      </c>
      <c r="F133" s="89" t="s">
        <v>395</v>
      </c>
      <c r="G133" s="89" t="b">
        <v>1</v>
      </c>
      <c r="H133" s="89" t="b">
        <v>0</v>
      </c>
      <c r="I133" s="89" t="b">
        <v>0</v>
      </c>
      <c r="J133" s="89" t="b">
        <v>0</v>
      </c>
      <c r="K133" s="89" t="b">
        <v>0</v>
      </c>
      <c r="L133" s="89" t="b">
        <v>0</v>
      </c>
    </row>
    <row r="134" spans="1:12" ht="15">
      <c r="A134" s="86" t="s">
        <v>363</v>
      </c>
      <c r="B134" s="89" t="s">
        <v>367</v>
      </c>
      <c r="C134" s="89">
        <v>2</v>
      </c>
      <c r="D134" s="94">
        <v>0.004041550718404403</v>
      </c>
      <c r="E134" s="94">
        <v>2.2648178230095364</v>
      </c>
      <c r="F134" s="89" t="s">
        <v>395</v>
      </c>
      <c r="G134" s="89" t="b">
        <v>0</v>
      </c>
      <c r="H134" s="89" t="b">
        <v>0</v>
      </c>
      <c r="I134" s="89" t="b">
        <v>0</v>
      </c>
      <c r="J134" s="89" t="b">
        <v>0</v>
      </c>
      <c r="K134" s="89" t="b">
        <v>1</v>
      </c>
      <c r="L134" s="89" t="b">
        <v>0</v>
      </c>
    </row>
    <row r="135" spans="1:12" ht="15">
      <c r="A135" s="86" t="s">
        <v>367</v>
      </c>
      <c r="B135" s="89" t="s">
        <v>860</v>
      </c>
      <c r="C135" s="89">
        <v>2</v>
      </c>
      <c r="D135" s="94">
        <v>0.004041550718404403</v>
      </c>
      <c r="E135" s="94">
        <v>2.4409090820652177</v>
      </c>
      <c r="F135" s="89" t="s">
        <v>395</v>
      </c>
      <c r="G135" s="89" t="b">
        <v>0</v>
      </c>
      <c r="H135" s="89" t="b">
        <v>1</v>
      </c>
      <c r="I135" s="89" t="b">
        <v>0</v>
      </c>
      <c r="J135" s="89" t="b">
        <v>0</v>
      </c>
      <c r="K135" s="89" t="b">
        <v>0</v>
      </c>
      <c r="L135" s="89" t="b">
        <v>0</v>
      </c>
    </row>
    <row r="136" spans="1:12" ht="15">
      <c r="A136" s="86" t="s">
        <v>860</v>
      </c>
      <c r="B136" s="89" t="s">
        <v>378</v>
      </c>
      <c r="C136" s="89">
        <v>2</v>
      </c>
      <c r="D136" s="94">
        <v>0.004041550718404403</v>
      </c>
      <c r="E136" s="94">
        <v>2.4409090820652177</v>
      </c>
      <c r="F136" s="89" t="s">
        <v>395</v>
      </c>
      <c r="G136" s="89" t="b">
        <v>0</v>
      </c>
      <c r="H136" s="89" t="b">
        <v>0</v>
      </c>
      <c r="I136" s="89" t="b">
        <v>0</v>
      </c>
      <c r="J136" s="89" t="b">
        <v>0</v>
      </c>
      <c r="K136" s="89" t="b">
        <v>0</v>
      </c>
      <c r="L136" s="89" t="b">
        <v>0</v>
      </c>
    </row>
    <row r="137" spans="1:12" ht="15">
      <c r="A137" s="86" t="s">
        <v>378</v>
      </c>
      <c r="B137" s="89" t="s">
        <v>369</v>
      </c>
      <c r="C137" s="89">
        <v>2</v>
      </c>
      <c r="D137" s="94">
        <v>0.004041550718404403</v>
      </c>
      <c r="E137" s="94">
        <v>1.896841037714942</v>
      </c>
      <c r="F137" s="89" t="s">
        <v>395</v>
      </c>
      <c r="G137" s="89" t="b">
        <v>0</v>
      </c>
      <c r="H137" s="89" t="b">
        <v>0</v>
      </c>
      <c r="I137" s="89" t="b">
        <v>0</v>
      </c>
      <c r="J137" s="89" t="b">
        <v>1</v>
      </c>
      <c r="K137" s="89" t="b">
        <v>0</v>
      </c>
      <c r="L137" s="89" t="b">
        <v>0</v>
      </c>
    </row>
    <row r="138" spans="1:12" ht="15">
      <c r="A138" s="86" t="s">
        <v>800</v>
      </c>
      <c r="B138" s="89" t="s">
        <v>861</v>
      </c>
      <c r="C138" s="89">
        <v>2</v>
      </c>
      <c r="D138" s="94">
        <v>0.004041550718404403</v>
      </c>
      <c r="E138" s="94">
        <v>1.7419390777291988</v>
      </c>
      <c r="F138" s="89" t="s">
        <v>395</v>
      </c>
      <c r="G138" s="89" t="b">
        <v>0</v>
      </c>
      <c r="H138" s="89" t="b">
        <v>0</v>
      </c>
      <c r="I138" s="89" t="b">
        <v>0</v>
      </c>
      <c r="J138" s="89" t="b">
        <v>0</v>
      </c>
      <c r="K138" s="89" t="b">
        <v>0</v>
      </c>
      <c r="L138" s="89" t="b">
        <v>0</v>
      </c>
    </row>
    <row r="139" spans="1:12" ht="15">
      <c r="A139" s="86" t="s">
        <v>861</v>
      </c>
      <c r="B139" s="89" t="s">
        <v>862</v>
      </c>
      <c r="C139" s="89">
        <v>2</v>
      </c>
      <c r="D139" s="94">
        <v>0.004041550718404403</v>
      </c>
      <c r="E139" s="94">
        <v>2.4409090820652177</v>
      </c>
      <c r="F139" s="89" t="s">
        <v>395</v>
      </c>
      <c r="G139" s="89" t="b">
        <v>0</v>
      </c>
      <c r="H139" s="89" t="b">
        <v>0</v>
      </c>
      <c r="I139" s="89" t="b">
        <v>0</v>
      </c>
      <c r="J139" s="89" t="b">
        <v>0</v>
      </c>
      <c r="K139" s="89" t="b">
        <v>0</v>
      </c>
      <c r="L139" s="89" t="b">
        <v>0</v>
      </c>
    </row>
    <row r="140" spans="1:12" ht="15">
      <c r="A140" s="86" t="s">
        <v>862</v>
      </c>
      <c r="B140" s="89" t="s">
        <v>365</v>
      </c>
      <c r="C140" s="89">
        <v>2</v>
      </c>
      <c r="D140" s="94">
        <v>0.004041550718404403</v>
      </c>
      <c r="E140" s="94">
        <v>2.2648178230095364</v>
      </c>
      <c r="F140" s="89" t="s">
        <v>395</v>
      </c>
      <c r="G140" s="89" t="b">
        <v>0</v>
      </c>
      <c r="H140" s="89" t="b">
        <v>0</v>
      </c>
      <c r="I140" s="89" t="b">
        <v>0</v>
      </c>
      <c r="J140" s="89" t="b">
        <v>0</v>
      </c>
      <c r="K140" s="89" t="b">
        <v>0</v>
      </c>
      <c r="L140" s="89" t="b">
        <v>0</v>
      </c>
    </row>
    <row r="141" spans="1:12" ht="15">
      <c r="A141" s="86" t="s">
        <v>365</v>
      </c>
      <c r="B141" s="89" t="s">
        <v>863</v>
      </c>
      <c r="C141" s="89">
        <v>2</v>
      </c>
      <c r="D141" s="94">
        <v>0.004041550718404403</v>
      </c>
      <c r="E141" s="94">
        <v>2.2648178230095364</v>
      </c>
      <c r="F141" s="89" t="s">
        <v>395</v>
      </c>
      <c r="G141" s="89" t="b">
        <v>0</v>
      </c>
      <c r="H141" s="89" t="b">
        <v>0</v>
      </c>
      <c r="I141" s="89" t="b">
        <v>0</v>
      </c>
      <c r="J141" s="89" t="b">
        <v>0</v>
      </c>
      <c r="K141" s="89" t="b">
        <v>0</v>
      </c>
      <c r="L141" s="89" t="b">
        <v>0</v>
      </c>
    </row>
    <row r="142" spans="1:12" ht="15">
      <c r="A142" s="86" t="s">
        <v>863</v>
      </c>
      <c r="B142" s="89" t="s">
        <v>370</v>
      </c>
      <c r="C142" s="89">
        <v>2</v>
      </c>
      <c r="D142" s="94">
        <v>0.004041550718404403</v>
      </c>
      <c r="E142" s="94">
        <v>2.4409090820652177</v>
      </c>
      <c r="F142" s="89" t="s">
        <v>395</v>
      </c>
      <c r="G142" s="89" t="b">
        <v>0</v>
      </c>
      <c r="H142" s="89" t="b">
        <v>0</v>
      </c>
      <c r="I142" s="89" t="b">
        <v>0</v>
      </c>
      <c r="J142" s="89" t="b">
        <v>0</v>
      </c>
      <c r="K142" s="89" t="b">
        <v>0</v>
      </c>
      <c r="L142" s="89" t="b">
        <v>0</v>
      </c>
    </row>
    <row r="143" spans="1:12" ht="15">
      <c r="A143" s="86" t="s">
        <v>370</v>
      </c>
      <c r="B143" s="89" t="s">
        <v>369</v>
      </c>
      <c r="C143" s="89">
        <v>2</v>
      </c>
      <c r="D143" s="94">
        <v>0.004041550718404403</v>
      </c>
      <c r="E143" s="94">
        <v>1.896841037714942</v>
      </c>
      <c r="F143" s="89" t="s">
        <v>395</v>
      </c>
      <c r="G143" s="89" t="b">
        <v>0</v>
      </c>
      <c r="H143" s="89" t="b">
        <v>0</v>
      </c>
      <c r="I143" s="89" t="b">
        <v>0</v>
      </c>
      <c r="J143" s="89" t="b">
        <v>1</v>
      </c>
      <c r="K143" s="89" t="b">
        <v>0</v>
      </c>
      <c r="L143" s="89" t="b">
        <v>0</v>
      </c>
    </row>
    <row r="144" spans="1:12" ht="15">
      <c r="A144" s="86" t="s">
        <v>800</v>
      </c>
      <c r="B144" s="89" t="s">
        <v>355</v>
      </c>
      <c r="C144" s="89">
        <v>2</v>
      </c>
      <c r="D144" s="94">
        <v>0.004041550718404403</v>
      </c>
      <c r="E144" s="94">
        <v>1.7419390777291988</v>
      </c>
      <c r="F144" s="89" t="s">
        <v>395</v>
      </c>
      <c r="G144" s="89" t="b">
        <v>0</v>
      </c>
      <c r="H144" s="89" t="b">
        <v>0</v>
      </c>
      <c r="I144" s="89" t="b">
        <v>0</v>
      </c>
      <c r="J144" s="89" t="b">
        <v>1</v>
      </c>
      <c r="K144" s="89" t="b">
        <v>0</v>
      </c>
      <c r="L144" s="89" t="b">
        <v>0</v>
      </c>
    </row>
    <row r="145" spans="1:12" ht="15">
      <c r="A145" s="86" t="s">
        <v>355</v>
      </c>
      <c r="B145" s="89" t="s">
        <v>864</v>
      </c>
      <c r="C145" s="89">
        <v>2</v>
      </c>
      <c r="D145" s="94">
        <v>0.004041550718404403</v>
      </c>
      <c r="E145" s="94">
        <v>2.4409090820652177</v>
      </c>
      <c r="F145" s="89" t="s">
        <v>395</v>
      </c>
      <c r="G145" s="89" t="b">
        <v>1</v>
      </c>
      <c r="H145" s="89" t="b">
        <v>0</v>
      </c>
      <c r="I145" s="89" t="b">
        <v>0</v>
      </c>
      <c r="J145" s="89" t="b">
        <v>0</v>
      </c>
      <c r="K145" s="89" t="b">
        <v>0</v>
      </c>
      <c r="L145" s="89" t="b">
        <v>0</v>
      </c>
    </row>
    <row r="146" spans="1:12" ht="15">
      <c r="A146" s="86" t="s">
        <v>864</v>
      </c>
      <c r="B146" s="89" t="s">
        <v>350</v>
      </c>
      <c r="C146" s="89">
        <v>2</v>
      </c>
      <c r="D146" s="94">
        <v>0.004041550718404403</v>
      </c>
      <c r="E146" s="94">
        <v>2.4409090820652177</v>
      </c>
      <c r="F146" s="89" t="s">
        <v>395</v>
      </c>
      <c r="G146" s="89" t="b">
        <v>0</v>
      </c>
      <c r="H146" s="89" t="b">
        <v>0</v>
      </c>
      <c r="I146" s="89" t="b">
        <v>0</v>
      </c>
      <c r="J146" s="89" t="b">
        <v>0</v>
      </c>
      <c r="K146" s="89" t="b">
        <v>0</v>
      </c>
      <c r="L146" s="89" t="b">
        <v>0</v>
      </c>
    </row>
    <row r="147" spans="1:12" ht="15">
      <c r="A147" s="86" t="s">
        <v>350</v>
      </c>
      <c r="B147" s="89" t="s">
        <v>865</v>
      </c>
      <c r="C147" s="89">
        <v>2</v>
      </c>
      <c r="D147" s="94">
        <v>0.004041550718404403</v>
      </c>
      <c r="E147" s="94">
        <v>2.4409090820652177</v>
      </c>
      <c r="F147" s="89" t="s">
        <v>395</v>
      </c>
      <c r="G147" s="89" t="b">
        <v>0</v>
      </c>
      <c r="H147" s="89" t="b">
        <v>0</v>
      </c>
      <c r="I147" s="89" t="b">
        <v>0</v>
      </c>
      <c r="J147" s="89" t="b">
        <v>0</v>
      </c>
      <c r="K147" s="89" t="b">
        <v>0</v>
      </c>
      <c r="L147" s="89" t="b">
        <v>0</v>
      </c>
    </row>
    <row r="148" spans="1:12" ht="15">
      <c r="A148" s="86" t="s">
        <v>865</v>
      </c>
      <c r="B148" s="89" t="s">
        <v>823</v>
      </c>
      <c r="C148" s="89">
        <v>2</v>
      </c>
      <c r="D148" s="94">
        <v>0.004041550718404403</v>
      </c>
      <c r="E148" s="94">
        <v>2.2648178230095364</v>
      </c>
      <c r="F148" s="89" t="s">
        <v>395</v>
      </c>
      <c r="G148" s="89" t="b">
        <v>0</v>
      </c>
      <c r="H148" s="89" t="b">
        <v>0</v>
      </c>
      <c r="I148" s="89" t="b">
        <v>0</v>
      </c>
      <c r="J148" s="89" t="b">
        <v>0</v>
      </c>
      <c r="K148" s="89" t="b">
        <v>0</v>
      </c>
      <c r="L148" s="89" t="b">
        <v>0</v>
      </c>
    </row>
    <row r="149" spans="1:12" ht="15">
      <c r="A149" s="86" t="s">
        <v>823</v>
      </c>
      <c r="B149" s="89" t="s">
        <v>801</v>
      </c>
      <c r="C149" s="89">
        <v>2</v>
      </c>
      <c r="D149" s="94">
        <v>0.004041550718404403</v>
      </c>
      <c r="E149" s="94">
        <v>1.6116053092341929</v>
      </c>
      <c r="F149" s="89" t="s">
        <v>395</v>
      </c>
      <c r="G149" s="89" t="b">
        <v>0</v>
      </c>
      <c r="H149" s="89" t="b">
        <v>0</v>
      </c>
      <c r="I149" s="89" t="b">
        <v>0</v>
      </c>
      <c r="J149" s="89" t="b">
        <v>0</v>
      </c>
      <c r="K149" s="89" t="b">
        <v>0</v>
      </c>
      <c r="L149" s="89" t="b">
        <v>0</v>
      </c>
    </row>
    <row r="150" spans="1:12" ht="15">
      <c r="A150" s="86" t="s">
        <v>797</v>
      </c>
      <c r="B150" s="89" t="s">
        <v>808</v>
      </c>
      <c r="C150" s="89">
        <v>2</v>
      </c>
      <c r="D150" s="94">
        <v>0.004041550718404403</v>
      </c>
      <c r="E150" s="94">
        <v>1.1398790864012365</v>
      </c>
      <c r="F150" s="89" t="s">
        <v>395</v>
      </c>
      <c r="G150" s="89" t="b">
        <v>0</v>
      </c>
      <c r="H150" s="89" t="b">
        <v>0</v>
      </c>
      <c r="I150" s="89" t="b">
        <v>0</v>
      </c>
      <c r="J150" s="89" t="b">
        <v>0</v>
      </c>
      <c r="K150" s="89" t="b">
        <v>0</v>
      </c>
      <c r="L150" s="89" t="b">
        <v>0</v>
      </c>
    </row>
    <row r="151" spans="1:12" ht="15">
      <c r="A151" s="86" t="s">
        <v>824</v>
      </c>
      <c r="B151" s="89" t="s">
        <v>797</v>
      </c>
      <c r="C151" s="89">
        <v>2</v>
      </c>
      <c r="D151" s="94">
        <v>0.004041550718404403</v>
      </c>
      <c r="E151" s="94">
        <v>1.1856365769619117</v>
      </c>
      <c r="F151" s="89" t="s">
        <v>395</v>
      </c>
      <c r="G151" s="89" t="b">
        <v>0</v>
      </c>
      <c r="H151" s="89" t="b">
        <v>0</v>
      </c>
      <c r="I151" s="89" t="b">
        <v>0</v>
      </c>
      <c r="J151" s="89" t="b">
        <v>0</v>
      </c>
      <c r="K151" s="89" t="b">
        <v>0</v>
      </c>
      <c r="L151" s="89" t="b">
        <v>0</v>
      </c>
    </row>
    <row r="152" spans="1:12" ht="15">
      <c r="A152" s="86" t="s">
        <v>867</v>
      </c>
      <c r="B152" s="89" t="s">
        <v>868</v>
      </c>
      <c r="C152" s="89">
        <v>2</v>
      </c>
      <c r="D152" s="94">
        <v>0.0050760180574558845</v>
      </c>
      <c r="E152" s="94">
        <v>2.4409090820652177</v>
      </c>
      <c r="F152" s="89" t="s">
        <v>395</v>
      </c>
      <c r="G152" s="89" t="b">
        <v>0</v>
      </c>
      <c r="H152" s="89" t="b">
        <v>0</v>
      </c>
      <c r="I152" s="89" t="b">
        <v>0</v>
      </c>
      <c r="J152" s="89" t="b">
        <v>0</v>
      </c>
      <c r="K152" s="89" t="b">
        <v>0</v>
      </c>
      <c r="L152" s="89" t="b">
        <v>0</v>
      </c>
    </row>
    <row r="153" spans="1:12" ht="15">
      <c r="A153" s="86" t="s">
        <v>803</v>
      </c>
      <c r="B153" s="89" t="s">
        <v>380</v>
      </c>
      <c r="C153" s="89">
        <v>4</v>
      </c>
      <c r="D153" s="94">
        <v>0.006174974270030383</v>
      </c>
      <c r="E153" s="94">
        <v>1.57287160220048</v>
      </c>
      <c r="F153" s="89" t="s">
        <v>314</v>
      </c>
      <c r="G153" s="89" t="b">
        <v>0</v>
      </c>
      <c r="H153" s="89" t="b">
        <v>1</v>
      </c>
      <c r="I153" s="89" t="b">
        <v>0</v>
      </c>
      <c r="J153" s="89" t="b">
        <v>0</v>
      </c>
      <c r="K153" s="89" t="b">
        <v>0</v>
      </c>
      <c r="L153" s="89" t="b">
        <v>0</v>
      </c>
    </row>
    <row r="154" spans="1:12" ht="15">
      <c r="A154" s="86" t="s">
        <v>587</v>
      </c>
      <c r="B154" s="89" t="s">
        <v>595</v>
      </c>
      <c r="C154" s="89">
        <v>3</v>
      </c>
      <c r="D154" s="94">
        <v>0.006553365111881248</v>
      </c>
      <c r="E154" s="94">
        <v>1.5728716022004803</v>
      </c>
      <c r="F154" s="89" t="s">
        <v>314</v>
      </c>
      <c r="G154" s="89" t="b">
        <v>0</v>
      </c>
      <c r="H154" s="89" t="b">
        <v>0</v>
      </c>
      <c r="I154" s="89" t="b">
        <v>0</v>
      </c>
      <c r="J154" s="89" t="b">
        <v>0</v>
      </c>
      <c r="K154" s="89" t="b">
        <v>0</v>
      </c>
      <c r="L154" s="89" t="b">
        <v>0</v>
      </c>
    </row>
    <row r="155" spans="1:12" ht="15">
      <c r="A155" s="86" t="s">
        <v>842</v>
      </c>
      <c r="B155" s="89" t="s">
        <v>587</v>
      </c>
      <c r="C155" s="89">
        <v>2</v>
      </c>
      <c r="D155" s="94">
        <v>0.006174974270030383</v>
      </c>
      <c r="E155" s="94">
        <v>1.57287160220048</v>
      </c>
      <c r="F155" s="89" t="s">
        <v>314</v>
      </c>
      <c r="G155" s="89" t="b">
        <v>0</v>
      </c>
      <c r="H155" s="89" t="b">
        <v>0</v>
      </c>
      <c r="I155" s="89" t="b">
        <v>0</v>
      </c>
      <c r="J155" s="89" t="b">
        <v>0</v>
      </c>
      <c r="K155" s="89" t="b">
        <v>0</v>
      </c>
      <c r="L155" s="89" t="b">
        <v>0</v>
      </c>
    </row>
    <row r="156" spans="1:12" ht="15">
      <c r="A156" s="86" t="s">
        <v>587</v>
      </c>
      <c r="B156" s="89" t="s">
        <v>344</v>
      </c>
      <c r="C156" s="89">
        <v>2</v>
      </c>
      <c r="D156" s="94">
        <v>0.006174974270030383</v>
      </c>
      <c r="E156" s="94">
        <v>0.8325089127062363</v>
      </c>
      <c r="F156" s="89" t="s">
        <v>314</v>
      </c>
      <c r="G156" s="89" t="b">
        <v>0</v>
      </c>
      <c r="H156" s="89" t="b">
        <v>0</v>
      </c>
      <c r="I156" s="89" t="b">
        <v>0</v>
      </c>
      <c r="J156" s="89" t="b">
        <v>0</v>
      </c>
      <c r="K156" s="89" t="b">
        <v>0</v>
      </c>
      <c r="L156" s="89" t="b">
        <v>0</v>
      </c>
    </row>
    <row r="157" spans="1:12" ht="15">
      <c r="A157" s="86" t="s">
        <v>344</v>
      </c>
      <c r="B157" s="89" t="s">
        <v>597</v>
      </c>
      <c r="C157" s="89">
        <v>2</v>
      </c>
      <c r="D157" s="94">
        <v>0.006174974270030383</v>
      </c>
      <c r="E157" s="94">
        <v>1.2304489213782739</v>
      </c>
      <c r="F157" s="89" t="s">
        <v>314</v>
      </c>
      <c r="G157" s="89" t="b">
        <v>0</v>
      </c>
      <c r="H157" s="89" t="b">
        <v>0</v>
      </c>
      <c r="I157" s="89" t="b">
        <v>0</v>
      </c>
      <c r="J157" s="89" t="b">
        <v>0</v>
      </c>
      <c r="K157" s="89" t="b">
        <v>0</v>
      </c>
      <c r="L157" s="89" t="b">
        <v>0</v>
      </c>
    </row>
    <row r="158" spans="1:12" ht="15">
      <c r="A158" s="86" t="s">
        <v>597</v>
      </c>
      <c r="B158" s="89" t="s">
        <v>381</v>
      </c>
      <c r="C158" s="89">
        <v>2</v>
      </c>
      <c r="D158" s="94">
        <v>0.006174974270030383</v>
      </c>
      <c r="E158" s="94">
        <v>1.9708116108725178</v>
      </c>
      <c r="F158" s="89" t="s">
        <v>314</v>
      </c>
      <c r="G158" s="89" t="b">
        <v>0</v>
      </c>
      <c r="H158" s="89" t="b">
        <v>0</v>
      </c>
      <c r="I158" s="89" t="b">
        <v>0</v>
      </c>
      <c r="J158" s="89" t="b">
        <v>0</v>
      </c>
      <c r="K158" s="89" t="b">
        <v>0</v>
      </c>
      <c r="L158" s="89" t="b">
        <v>0</v>
      </c>
    </row>
    <row r="159" spans="1:12" ht="15">
      <c r="A159" s="86" t="s">
        <v>381</v>
      </c>
      <c r="B159" s="89" t="s">
        <v>797</v>
      </c>
      <c r="C159" s="89">
        <v>2</v>
      </c>
      <c r="D159" s="94">
        <v>0.006174974270030383</v>
      </c>
      <c r="E159" s="94">
        <v>1.4936903561528554</v>
      </c>
      <c r="F159" s="89" t="s">
        <v>314</v>
      </c>
      <c r="G159" s="89" t="b">
        <v>0</v>
      </c>
      <c r="H159" s="89" t="b">
        <v>0</v>
      </c>
      <c r="I159" s="89" t="b">
        <v>0</v>
      </c>
      <c r="J159" s="89" t="b">
        <v>0</v>
      </c>
      <c r="K159" s="89" t="b">
        <v>0</v>
      </c>
      <c r="L159" s="89" t="b">
        <v>0</v>
      </c>
    </row>
    <row r="160" spans="1:12" ht="15">
      <c r="A160" s="86" t="s">
        <v>797</v>
      </c>
      <c r="B160" s="89" t="s">
        <v>596</v>
      </c>
      <c r="C160" s="89">
        <v>2</v>
      </c>
      <c r="D160" s="94">
        <v>0.006174974270030383</v>
      </c>
      <c r="E160" s="94">
        <v>1.4936903561528554</v>
      </c>
      <c r="F160" s="89" t="s">
        <v>314</v>
      </c>
      <c r="G160" s="89" t="b">
        <v>0</v>
      </c>
      <c r="H160" s="89" t="b">
        <v>0</v>
      </c>
      <c r="I160" s="89" t="b">
        <v>0</v>
      </c>
      <c r="J160" s="89" t="b">
        <v>0</v>
      </c>
      <c r="K160" s="89" t="b">
        <v>0</v>
      </c>
      <c r="L160" s="89" t="b">
        <v>0</v>
      </c>
    </row>
    <row r="161" spans="1:12" ht="15">
      <c r="A161" s="86" t="s">
        <v>596</v>
      </c>
      <c r="B161" s="89" t="s">
        <v>353</v>
      </c>
      <c r="C161" s="89">
        <v>2</v>
      </c>
      <c r="D161" s="94">
        <v>0.006174974270030383</v>
      </c>
      <c r="E161" s="94">
        <v>1.9708116108725178</v>
      </c>
      <c r="F161" s="89" t="s">
        <v>314</v>
      </c>
      <c r="G161" s="89" t="b">
        <v>0</v>
      </c>
      <c r="H161" s="89" t="b">
        <v>0</v>
      </c>
      <c r="I161" s="89" t="b">
        <v>0</v>
      </c>
      <c r="J161" s="89" t="b">
        <v>0</v>
      </c>
      <c r="K161" s="89" t="b">
        <v>0</v>
      </c>
      <c r="L161" s="89" t="b">
        <v>0</v>
      </c>
    </row>
    <row r="162" spans="1:12" ht="15">
      <c r="A162" s="86" t="s">
        <v>353</v>
      </c>
      <c r="B162" s="89" t="s">
        <v>843</v>
      </c>
      <c r="C162" s="89">
        <v>2</v>
      </c>
      <c r="D162" s="94">
        <v>0.006174974270030383</v>
      </c>
      <c r="E162" s="94">
        <v>1.9708116108725178</v>
      </c>
      <c r="F162" s="89" t="s">
        <v>314</v>
      </c>
      <c r="G162" s="89" t="b">
        <v>0</v>
      </c>
      <c r="H162" s="89" t="b">
        <v>0</v>
      </c>
      <c r="I162" s="89" t="b">
        <v>0</v>
      </c>
      <c r="J162" s="89" t="b">
        <v>0</v>
      </c>
      <c r="K162" s="89" t="b">
        <v>0</v>
      </c>
      <c r="L162" s="89" t="b">
        <v>0</v>
      </c>
    </row>
    <row r="163" spans="1:12" ht="15">
      <c r="A163" s="86" t="s">
        <v>843</v>
      </c>
      <c r="B163" s="89" t="s">
        <v>359</v>
      </c>
      <c r="C163" s="89">
        <v>2</v>
      </c>
      <c r="D163" s="94">
        <v>0.006174974270030383</v>
      </c>
      <c r="E163" s="94">
        <v>1.9708116108725178</v>
      </c>
      <c r="F163" s="89" t="s">
        <v>314</v>
      </c>
      <c r="G163" s="89" t="b">
        <v>0</v>
      </c>
      <c r="H163" s="89" t="b">
        <v>0</v>
      </c>
      <c r="I163" s="89" t="b">
        <v>0</v>
      </c>
      <c r="J163" s="89" t="b">
        <v>0</v>
      </c>
      <c r="K163" s="89" t="b">
        <v>0</v>
      </c>
      <c r="L163" s="89" t="b">
        <v>0</v>
      </c>
    </row>
    <row r="164" spans="1:12" ht="15">
      <c r="A164" s="86" t="s">
        <v>359</v>
      </c>
      <c r="B164" s="89" t="s">
        <v>349</v>
      </c>
      <c r="C164" s="89">
        <v>2</v>
      </c>
      <c r="D164" s="94">
        <v>0.006174974270030383</v>
      </c>
      <c r="E164" s="94">
        <v>1.9708116108725178</v>
      </c>
      <c r="F164" s="89" t="s">
        <v>314</v>
      </c>
      <c r="G164" s="89" t="b">
        <v>0</v>
      </c>
      <c r="H164" s="89" t="b">
        <v>0</v>
      </c>
      <c r="I164" s="89" t="b">
        <v>0</v>
      </c>
      <c r="J164" s="89" t="b">
        <v>0</v>
      </c>
      <c r="K164" s="89" t="b">
        <v>0</v>
      </c>
      <c r="L164" s="89" t="b">
        <v>0</v>
      </c>
    </row>
    <row r="165" spans="1:12" ht="15">
      <c r="A165" s="86" t="s">
        <v>349</v>
      </c>
      <c r="B165" s="89" t="s">
        <v>373</v>
      </c>
      <c r="C165" s="89">
        <v>2</v>
      </c>
      <c r="D165" s="94">
        <v>0.006174974270030383</v>
      </c>
      <c r="E165" s="94">
        <v>1.9708116108725178</v>
      </c>
      <c r="F165" s="89" t="s">
        <v>314</v>
      </c>
      <c r="G165" s="89" t="b">
        <v>0</v>
      </c>
      <c r="H165" s="89" t="b">
        <v>0</v>
      </c>
      <c r="I165" s="89" t="b">
        <v>0</v>
      </c>
      <c r="J165" s="89" t="b">
        <v>0</v>
      </c>
      <c r="K165" s="89" t="b">
        <v>0</v>
      </c>
      <c r="L165" s="89" t="b">
        <v>0</v>
      </c>
    </row>
    <row r="166" spans="1:12" ht="15">
      <c r="A166" s="86" t="s">
        <v>373</v>
      </c>
      <c r="B166" s="89" t="s">
        <v>345</v>
      </c>
      <c r="C166" s="89">
        <v>2</v>
      </c>
      <c r="D166" s="94">
        <v>0.006174974270030383</v>
      </c>
      <c r="E166" s="94">
        <v>1.57287160220048</v>
      </c>
      <c r="F166" s="89" t="s">
        <v>314</v>
      </c>
      <c r="G166" s="89" t="b">
        <v>0</v>
      </c>
      <c r="H166" s="89" t="b">
        <v>0</v>
      </c>
      <c r="I166" s="89" t="b">
        <v>0</v>
      </c>
      <c r="J166" s="89" t="b">
        <v>0</v>
      </c>
      <c r="K166" s="89" t="b">
        <v>0</v>
      </c>
      <c r="L166" s="89" t="b">
        <v>0</v>
      </c>
    </row>
    <row r="167" spans="1:12" ht="15">
      <c r="A167" s="86" t="s">
        <v>345</v>
      </c>
      <c r="B167" s="89" t="s">
        <v>798</v>
      </c>
      <c r="C167" s="89">
        <v>2</v>
      </c>
      <c r="D167" s="94">
        <v>0.006174974270030383</v>
      </c>
      <c r="E167" s="94">
        <v>1.0288035578502046</v>
      </c>
      <c r="F167" s="89" t="s">
        <v>314</v>
      </c>
      <c r="G167" s="89" t="b">
        <v>0</v>
      </c>
      <c r="H167" s="89" t="b">
        <v>0</v>
      </c>
      <c r="I167" s="89" t="b">
        <v>0</v>
      </c>
      <c r="J167" s="89" t="b">
        <v>0</v>
      </c>
      <c r="K167" s="89" t="b">
        <v>0</v>
      </c>
      <c r="L167" s="89" t="b">
        <v>0</v>
      </c>
    </row>
    <row r="168" spans="1:12" ht="15">
      <c r="A168" s="86" t="s">
        <v>798</v>
      </c>
      <c r="B168" s="89" t="s">
        <v>345</v>
      </c>
      <c r="C168" s="89">
        <v>2</v>
      </c>
      <c r="D168" s="94">
        <v>0.006174974270030383</v>
      </c>
      <c r="E168" s="94">
        <v>0.9708116108725178</v>
      </c>
      <c r="F168" s="89" t="s">
        <v>314</v>
      </c>
      <c r="G168" s="89" t="b">
        <v>0</v>
      </c>
      <c r="H168" s="89" t="b">
        <v>0</v>
      </c>
      <c r="I168" s="89" t="b">
        <v>0</v>
      </c>
      <c r="J168" s="89" t="b">
        <v>0</v>
      </c>
      <c r="K168" s="89" t="b">
        <v>0</v>
      </c>
      <c r="L168" s="89" t="b">
        <v>0</v>
      </c>
    </row>
    <row r="169" spans="1:12" ht="15">
      <c r="A169" s="86" t="s">
        <v>345</v>
      </c>
      <c r="B169" s="89" t="s">
        <v>844</v>
      </c>
      <c r="C169" s="89">
        <v>2</v>
      </c>
      <c r="D169" s="94">
        <v>0.006174974270030383</v>
      </c>
      <c r="E169" s="94">
        <v>1.57287160220048</v>
      </c>
      <c r="F169" s="89" t="s">
        <v>314</v>
      </c>
      <c r="G169" s="89" t="b">
        <v>0</v>
      </c>
      <c r="H169" s="89" t="b">
        <v>0</v>
      </c>
      <c r="I169" s="89" t="b">
        <v>0</v>
      </c>
      <c r="J169" s="89" t="b">
        <v>0</v>
      </c>
      <c r="K169" s="89" t="b">
        <v>0</v>
      </c>
      <c r="L169" s="89" t="b">
        <v>0</v>
      </c>
    </row>
    <row r="170" spans="1:12" ht="15">
      <c r="A170" s="86" t="s">
        <v>844</v>
      </c>
      <c r="B170" s="89" t="s">
        <v>798</v>
      </c>
      <c r="C170" s="89">
        <v>2</v>
      </c>
      <c r="D170" s="94">
        <v>0.006174974270030383</v>
      </c>
      <c r="E170" s="94">
        <v>1.426743566522242</v>
      </c>
      <c r="F170" s="89" t="s">
        <v>314</v>
      </c>
      <c r="G170" s="89" t="b">
        <v>0</v>
      </c>
      <c r="H170" s="89" t="b">
        <v>0</v>
      </c>
      <c r="I170" s="89" t="b">
        <v>0</v>
      </c>
      <c r="J170" s="89" t="b">
        <v>0</v>
      </c>
      <c r="K170" s="89" t="b">
        <v>0</v>
      </c>
      <c r="L170" s="89" t="b">
        <v>0</v>
      </c>
    </row>
    <row r="171" spans="1:12" ht="15">
      <c r="A171" s="86" t="s">
        <v>798</v>
      </c>
      <c r="B171" s="89" t="s">
        <v>344</v>
      </c>
      <c r="C171" s="89">
        <v>2</v>
      </c>
      <c r="D171" s="94">
        <v>0.006174974270030383</v>
      </c>
      <c r="E171" s="94">
        <v>0.6283889300503115</v>
      </c>
      <c r="F171" s="89" t="s">
        <v>314</v>
      </c>
      <c r="G171" s="89" t="b">
        <v>0</v>
      </c>
      <c r="H171" s="89" t="b">
        <v>0</v>
      </c>
      <c r="I171" s="89" t="b">
        <v>0</v>
      </c>
      <c r="J171" s="89" t="b">
        <v>0</v>
      </c>
      <c r="K171" s="89" t="b">
        <v>0</v>
      </c>
      <c r="L171" s="89" t="b">
        <v>0</v>
      </c>
    </row>
    <row r="172" spans="1:12" ht="15">
      <c r="A172" s="86" t="s">
        <v>344</v>
      </c>
      <c r="B172" s="89" t="s">
        <v>803</v>
      </c>
      <c r="C172" s="89">
        <v>2</v>
      </c>
      <c r="D172" s="94">
        <v>0.006174974270030383</v>
      </c>
      <c r="E172" s="94">
        <v>0.8325089127062363</v>
      </c>
      <c r="F172" s="89" t="s">
        <v>314</v>
      </c>
      <c r="G172" s="89" t="b">
        <v>0</v>
      </c>
      <c r="H172" s="89" t="b">
        <v>0</v>
      </c>
      <c r="I172" s="89" t="b">
        <v>0</v>
      </c>
      <c r="J172" s="89" t="b">
        <v>0</v>
      </c>
      <c r="K172" s="89" t="b">
        <v>1</v>
      </c>
      <c r="L172" s="89" t="b">
        <v>0</v>
      </c>
    </row>
    <row r="173" spans="1:12" ht="15">
      <c r="A173" s="86" t="s">
        <v>380</v>
      </c>
      <c r="B173" s="89" t="s">
        <v>845</v>
      </c>
      <c r="C173" s="89">
        <v>2</v>
      </c>
      <c r="D173" s="94">
        <v>0.006174974270030383</v>
      </c>
      <c r="E173" s="94">
        <v>1.6697816152085365</v>
      </c>
      <c r="F173" s="89" t="s">
        <v>314</v>
      </c>
      <c r="G173" s="89" t="b">
        <v>0</v>
      </c>
      <c r="H173" s="89" t="b">
        <v>0</v>
      </c>
      <c r="I173" s="89" t="b">
        <v>0</v>
      </c>
      <c r="J173" s="89" t="b">
        <v>0</v>
      </c>
      <c r="K173" s="89" t="b">
        <v>0</v>
      </c>
      <c r="L173" s="89" t="b">
        <v>0</v>
      </c>
    </row>
    <row r="174" spans="1:12" ht="15">
      <c r="A174" s="86" t="s">
        <v>845</v>
      </c>
      <c r="B174" s="89" t="s">
        <v>809</v>
      </c>
      <c r="C174" s="89">
        <v>2</v>
      </c>
      <c r="D174" s="94">
        <v>0.006174974270030383</v>
      </c>
      <c r="E174" s="94">
        <v>1.7947203518168364</v>
      </c>
      <c r="F174" s="89" t="s">
        <v>314</v>
      </c>
      <c r="G174" s="89" t="b">
        <v>0</v>
      </c>
      <c r="H174" s="89" t="b">
        <v>0</v>
      </c>
      <c r="I174" s="89" t="b">
        <v>0</v>
      </c>
      <c r="J174" s="89" t="b">
        <v>0</v>
      </c>
      <c r="K174" s="89" t="b">
        <v>0</v>
      </c>
      <c r="L174" s="89" t="b">
        <v>0</v>
      </c>
    </row>
    <row r="175" spans="1:12" ht="15">
      <c r="A175" s="86" t="s">
        <v>809</v>
      </c>
      <c r="B175" s="89" t="s">
        <v>351</v>
      </c>
      <c r="C175" s="89">
        <v>2</v>
      </c>
      <c r="D175" s="94">
        <v>0.006174974270030383</v>
      </c>
      <c r="E175" s="94">
        <v>1.7947203518168364</v>
      </c>
      <c r="F175" s="89" t="s">
        <v>314</v>
      </c>
      <c r="G175" s="89" t="b">
        <v>0</v>
      </c>
      <c r="H175" s="89" t="b">
        <v>0</v>
      </c>
      <c r="I175" s="89" t="b">
        <v>0</v>
      </c>
      <c r="J175" s="89" t="b">
        <v>0</v>
      </c>
      <c r="K175" s="89" t="b">
        <v>0</v>
      </c>
      <c r="L175" s="89" t="b">
        <v>0</v>
      </c>
    </row>
    <row r="176" spans="1:12" ht="15">
      <c r="A176" s="86" t="s">
        <v>351</v>
      </c>
      <c r="B176" s="89" t="s">
        <v>810</v>
      </c>
      <c r="C176" s="89">
        <v>2</v>
      </c>
      <c r="D176" s="94">
        <v>0.006174974270030383</v>
      </c>
      <c r="E176" s="94">
        <v>1.7947203518168364</v>
      </c>
      <c r="F176" s="89" t="s">
        <v>314</v>
      </c>
      <c r="G176" s="89" t="b">
        <v>0</v>
      </c>
      <c r="H176" s="89" t="b">
        <v>0</v>
      </c>
      <c r="I176" s="89" t="b">
        <v>0</v>
      </c>
      <c r="J176" s="89" t="b">
        <v>0</v>
      </c>
      <c r="K176" s="89" t="b">
        <v>0</v>
      </c>
      <c r="L176" s="89" t="b">
        <v>0</v>
      </c>
    </row>
    <row r="177" spans="1:12" ht="15">
      <c r="A177" s="86" t="s">
        <v>810</v>
      </c>
      <c r="B177" s="89" t="s">
        <v>846</v>
      </c>
      <c r="C177" s="89">
        <v>2</v>
      </c>
      <c r="D177" s="94">
        <v>0.006174974270030383</v>
      </c>
      <c r="E177" s="94">
        <v>1.7947203518168364</v>
      </c>
      <c r="F177" s="89" t="s">
        <v>314</v>
      </c>
      <c r="G177" s="89" t="b">
        <v>0</v>
      </c>
      <c r="H177" s="89" t="b">
        <v>0</v>
      </c>
      <c r="I177" s="89" t="b">
        <v>0</v>
      </c>
      <c r="J177" s="89" t="b">
        <v>0</v>
      </c>
      <c r="K177" s="89" t="b">
        <v>0</v>
      </c>
      <c r="L177" s="89" t="b">
        <v>0</v>
      </c>
    </row>
    <row r="178" spans="1:12" ht="15">
      <c r="A178" s="86" t="s">
        <v>846</v>
      </c>
      <c r="B178" s="89" t="s">
        <v>847</v>
      </c>
      <c r="C178" s="89">
        <v>2</v>
      </c>
      <c r="D178" s="94">
        <v>0.006174974270030383</v>
      </c>
      <c r="E178" s="94">
        <v>1.9708116108725178</v>
      </c>
      <c r="F178" s="89" t="s">
        <v>314</v>
      </c>
      <c r="G178" s="89" t="b">
        <v>0</v>
      </c>
      <c r="H178" s="89" t="b">
        <v>0</v>
      </c>
      <c r="I178" s="89" t="b">
        <v>0</v>
      </c>
      <c r="J178" s="89" t="b">
        <v>0</v>
      </c>
      <c r="K178" s="89" t="b">
        <v>1</v>
      </c>
      <c r="L178" s="89" t="b">
        <v>0</v>
      </c>
    </row>
    <row r="179" spans="1:12" ht="15">
      <c r="A179" s="86" t="s">
        <v>847</v>
      </c>
      <c r="B179" s="89" t="s">
        <v>802</v>
      </c>
      <c r="C179" s="89">
        <v>2</v>
      </c>
      <c r="D179" s="94">
        <v>0.006174974270030383</v>
      </c>
      <c r="E179" s="94">
        <v>1.426743566522242</v>
      </c>
      <c r="F179" s="89" t="s">
        <v>314</v>
      </c>
      <c r="G179" s="89" t="b">
        <v>0</v>
      </c>
      <c r="H179" s="89" t="b">
        <v>1</v>
      </c>
      <c r="I179" s="89" t="b">
        <v>0</v>
      </c>
      <c r="J179" s="89" t="b">
        <v>0</v>
      </c>
      <c r="K179" s="89" t="b">
        <v>0</v>
      </c>
      <c r="L179" s="89" t="b">
        <v>0</v>
      </c>
    </row>
    <row r="180" spans="1:12" ht="15">
      <c r="A180" s="86" t="s">
        <v>802</v>
      </c>
      <c r="B180" s="89" t="s">
        <v>802</v>
      </c>
      <c r="C180" s="89">
        <v>2</v>
      </c>
      <c r="D180" s="94">
        <v>0.006174974270030383</v>
      </c>
      <c r="E180" s="94">
        <v>0.9496223118025796</v>
      </c>
      <c r="F180" s="89" t="s">
        <v>314</v>
      </c>
      <c r="G180" s="89" t="b">
        <v>0</v>
      </c>
      <c r="H180" s="89" t="b">
        <v>0</v>
      </c>
      <c r="I180" s="89" t="b">
        <v>0</v>
      </c>
      <c r="J180" s="89" t="b">
        <v>0</v>
      </c>
      <c r="K180" s="89" t="b">
        <v>0</v>
      </c>
      <c r="L180" s="89" t="b">
        <v>0</v>
      </c>
    </row>
    <row r="181" spans="1:12" ht="15">
      <c r="A181" s="86" t="s">
        <v>802</v>
      </c>
      <c r="B181" s="89" t="s">
        <v>848</v>
      </c>
      <c r="C181" s="89">
        <v>2</v>
      </c>
      <c r="D181" s="94">
        <v>0.006174974270030383</v>
      </c>
      <c r="E181" s="94">
        <v>1.4936903561528554</v>
      </c>
      <c r="F181" s="89" t="s">
        <v>314</v>
      </c>
      <c r="G181" s="89" t="b">
        <v>0</v>
      </c>
      <c r="H181" s="89" t="b">
        <v>0</v>
      </c>
      <c r="I181" s="89" t="b">
        <v>0</v>
      </c>
      <c r="J181" s="89" t="b">
        <v>0</v>
      </c>
      <c r="K181" s="89" t="b">
        <v>0</v>
      </c>
      <c r="L181" s="89" t="b">
        <v>0</v>
      </c>
    </row>
    <row r="182" spans="1:12" ht="15">
      <c r="A182" s="86" t="s">
        <v>815</v>
      </c>
      <c r="B182" s="89" t="s">
        <v>797</v>
      </c>
      <c r="C182" s="89">
        <v>2</v>
      </c>
      <c r="D182" s="94">
        <v>0.006174974270030383</v>
      </c>
      <c r="E182" s="94">
        <v>1.4936903561528554</v>
      </c>
      <c r="F182" s="89" t="s">
        <v>314</v>
      </c>
      <c r="G182" s="89" t="b">
        <v>0</v>
      </c>
      <c r="H182" s="89" t="b">
        <v>0</v>
      </c>
      <c r="I182" s="89" t="b">
        <v>0</v>
      </c>
      <c r="J182" s="89" t="b">
        <v>0</v>
      </c>
      <c r="K182" s="89" t="b">
        <v>0</v>
      </c>
      <c r="L182" s="89" t="b">
        <v>0</v>
      </c>
    </row>
    <row r="183" spans="1:12" ht="15">
      <c r="A183" s="86" t="s">
        <v>797</v>
      </c>
      <c r="B183" s="89" t="s">
        <v>804</v>
      </c>
      <c r="C183" s="89">
        <v>2</v>
      </c>
      <c r="D183" s="94">
        <v>0.006174974270030383</v>
      </c>
      <c r="E183" s="94">
        <v>1.1926603604888741</v>
      </c>
      <c r="F183" s="89" t="s">
        <v>314</v>
      </c>
      <c r="G183" s="89" t="b">
        <v>0</v>
      </c>
      <c r="H183" s="89" t="b">
        <v>0</v>
      </c>
      <c r="I183" s="89" t="b">
        <v>0</v>
      </c>
      <c r="J183" s="89" t="b">
        <v>0</v>
      </c>
      <c r="K183" s="89" t="b">
        <v>0</v>
      </c>
      <c r="L183" s="89" t="b">
        <v>0</v>
      </c>
    </row>
    <row r="184" spans="1:12" ht="15">
      <c r="A184" s="86" t="s">
        <v>804</v>
      </c>
      <c r="B184" s="89" t="s">
        <v>344</v>
      </c>
      <c r="C184" s="89">
        <v>2</v>
      </c>
      <c r="D184" s="94">
        <v>0.006174974270030383</v>
      </c>
      <c r="E184" s="94">
        <v>0.9294189257142927</v>
      </c>
      <c r="F184" s="89" t="s">
        <v>314</v>
      </c>
      <c r="G184" s="89" t="b">
        <v>0</v>
      </c>
      <c r="H184" s="89" t="b">
        <v>0</v>
      </c>
      <c r="I184" s="89" t="b">
        <v>0</v>
      </c>
      <c r="J184" s="89" t="b">
        <v>0</v>
      </c>
      <c r="K184" s="89" t="b">
        <v>0</v>
      </c>
      <c r="L184" s="89" t="b">
        <v>0</v>
      </c>
    </row>
    <row r="185" spans="1:12" ht="15">
      <c r="A185" s="86" t="s">
        <v>344</v>
      </c>
      <c r="B185" s="89" t="s">
        <v>375</v>
      </c>
      <c r="C185" s="89">
        <v>2</v>
      </c>
      <c r="D185" s="94">
        <v>0.006174974270030383</v>
      </c>
      <c r="E185" s="94">
        <v>0.9294189257142927</v>
      </c>
      <c r="F185" s="89" t="s">
        <v>314</v>
      </c>
      <c r="G185" s="89" t="b">
        <v>0</v>
      </c>
      <c r="H185" s="89" t="b">
        <v>0</v>
      </c>
      <c r="I185" s="89" t="b">
        <v>0</v>
      </c>
      <c r="J185" s="89" t="b">
        <v>0</v>
      </c>
      <c r="K185" s="89" t="b">
        <v>0</v>
      </c>
      <c r="L185" s="89" t="b">
        <v>0</v>
      </c>
    </row>
    <row r="186" spans="1:12" ht="15">
      <c r="A186" s="86" t="s">
        <v>375</v>
      </c>
      <c r="B186" s="89" t="s">
        <v>360</v>
      </c>
      <c r="C186" s="89">
        <v>2</v>
      </c>
      <c r="D186" s="94">
        <v>0.006174974270030383</v>
      </c>
      <c r="E186" s="94">
        <v>1.4936903561528554</v>
      </c>
      <c r="F186" s="89" t="s">
        <v>314</v>
      </c>
      <c r="G186" s="89" t="b">
        <v>0</v>
      </c>
      <c r="H186" s="89" t="b">
        <v>0</v>
      </c>
      <c r="I186" s="89" t="b">
        <v>0</v>
      </c>
      <c r="J186" s="89" t="b">
        <v>0</v>
      </c>
      <c r="K186" s="89" t="b">
        <v>0</v>
      </c>
      <c r="L186" s="89" t="b">
        <v>0</v>
      </c>
    </row>
    <row r="187" spans="1:12" ht="15">
      <c r="A187" s="86" t="s">
        <v>360</v>
      </c>
      <c r="B187" s="89" t="s">
        <v>348</v>
      </c>
      <c r="C187" s="89">
        <v>2</v>
      </c>
      <c r="D187" s="94">
        <v>0.006174974270030383</v>
      </c>
      <c r="E187" s="94">
        <v>1.4936903561528554</v>
      </c>
      <c r="F187" s="89" t="s">
        <v>314</v>
      </c>
      <c r="G187" s="89" t="b">
        <v>0</v>
      </c>
      <c r="H187" s="89" t="b">
        <v>0</v>
      </c>
      <c r="I187" s="89" t="b">
        <v>0</v>
      </c>
      <c r="J187" s="89" t="b">
        <v>0</v>
      </c>
      <c r="K187" s="89" t="b">
        <v>0</v>
      </c>
      <c r="L187" s="89" t="b">
        <v>0</v>
      </c>
    </row>
    <row r="188" spans="1:12" ht="15">
      <c r="A188" s="86" t="s">
        <v>348</v>
      </c>
      <c r="B188" s="89" t="s">
        <v>816</v>
      </c>
      <c r="C188" s="89">
        <v>2</v>
      </c>
      <c r="D188" s="94">
        <v>0.006174974270030383</v>
      </c>
      <c r="E188" s="94">
        <v>1.57287160220048</v>
      </c>
      <c r="F188" s="89" t="s">
        <v>314</v>
      </c>
      <c r="G188" s="89" t="b">
        <v>0</v>
      </c>
      <c r="H188" s="89" t="b">
        <v>0</v>
      </c>
      <c r="I188" s="89" t="b">
        <v>0</v>
      </c>
      <c r="J188" s="89" t="b">
        <v>1</v>
      </c>
      <c r="K188" s="89" t="b">
        <v>0</v>
      </c>
      <c r="L188" s="89" t="b">
        <v>0</v>
      </c>
    </row>
    <row r="189" spans="1:12" ht="15">
      <c r="A189" s="86" t="s">
        <v>816</v>
      </c>
      <c r="B189" s="89" t="s">
        <v>257</v>
      </c>
      <c r="C189" s="89">
        <v>2</v>
      </c>
      <c r="D189" s="94">
        <v>0.006174974270030383</v>
      </c>
      <c r="E189" s="94">
        <v>1.9708116108725178</v>
      </c>
      <c r="F189" s="89" t="s">
        <v>314</v>
      </c>
      <c r="G189" s="89" t="b">
        <v>1</v>
      </c>
      <c r="H189" s="89" t="b">
        <v>0</v>
      </c>
      <c r="I189" s="89" t="b">
        <v>0</v>
      </c>
      <c r="J189" s="89" t="b">
        <v>0</v>
      </c>
      <c r="K189" s="89" t="b">
        <v>0</v>
      </c>
      <c r="L189" s="89" t="b">
        <v>0</v>
      </c>
    </row>
    <row r="190" spans="1:12" ht="15">
      <c r="A190" s="86" t="s">
        <v>257</v>
      </c>
      <c r="B190" s="89" t="s">
        <v>587</v>
      </c>
      <c r="C190" s="89">
        <v>2</v>
      </c>
      <c r="D190" s="94">
        <v>0.006174974270030383</v>
      </c>
      <c r="E190" s="94">
        <v>1.57287160220048</v>
      </c>
      <c r="F190" s="89" t="s">
        <v>314</v>
      </c>
      <c r="G190" s="89" t="b">
        <v>0</v>
      </c>
      <c r="H190" s="89" t="b">
        <v>0</v>
      </c>
      <c r="I190" s="89" t="b">
        <v>0</v>
      </c>
      <c r="J190" s="89" t="b">
        <v>0</v>
      </c>
      <c r="K190" s="89" t="b">
        <v>0</v>
      </c>
      <c r="L190" s="89" t="b">
        <v>0</v>
      </c>
    </row>
    <row r="191" spans="1:12" ht="15">
      <c r="A191" s="86" t="s">
        <v>595</v>
      </c>
      <c r="B191" s="89" t="s">
        <v>580</v>
      </c>
      <c r="C191" s="89">
        <v>2</v>
      </c>
      <c r="D191" s="94">
        <v>0.006174974270030383</v>
      </c>
      <c r="E191" s="94">
        <v>1.7947203518168364</v>
      </c>
      <c r="F191" s="89" t="s">
        <v>314</v>
      </c>
      <c r="G191" s="89" t="b">
        <v>0</v>
      </c>
      <c r="H191" s="89" t="b">
        <v>0</v>
      </c>
      <c r="I191" s="89" t="b">
        <v>0</v>
      </c>
      <c r="J191" s="89" t="b">
        <v>0</v>
      </c>
      <c r="K191" s="89" t="b">
        <v>0</v>
      </c>
      <c r="L191" s="89" t="b">
        <v>0</v>
      </c>
    </row>
    <row r="192" spans="1:12" ht="15">
      <c r="A192" s="86" t="s">
        <v>580</v>
      </c>
      <c r="B192" s="89" t="s">
        <v>817</v>
      </c>
      <c r="C192" s="89">
        <v>2</v>
      </c>
      <c r="D192" s="94">
        <v>0.006174974270030383</v>
      </c>
      <c r="E192" s="94">
        <v>1.9708116108725178</v>
      </c>
      <c r="F192" s="89" t="s">
        <v>314</v>
      </c>
      <c r="G192" s="89" t="b">
        <v>0</v>
      </c>
      <c r="H192" s="89" t="b">
        <v>0</v>
      </c>
      <c r="I192" s="89" t="b">
        <v>0</v>
      </c>
      <c r="J192" s="89" t="b">
        <v>1</v>
      </c>
      <c r="K192" s="89" t="b">
        <v>0</v>
      </c>
      <c r="L192" s="89" t="b">
        <v>0</v>
      </c>
    </row>
    <row r="193" spans="1:12" ht="15">
      <c r="A193" s="86" t="s">
        <v>817</v>
      </c>
      <c r="B193" s="89" t="s">
        <v>806</v>
      </c>
      <c r="C193" s="89">
        <v>2</v>
      </c>
      <c r="D193" s="94">
        <v>0.006174974270030383</v>
      </c>
      <c r="E193" s="94">
        <v>1.7947203518168364</v>
      </c>
      <c r="F193" s="89" t="s">
        <v>314</v>
      </c>
      <c r="G193" s="89" t="b">
        <v>1</v>
      </c>
      <c r="H193" s="89" t="b">
        <v>0</v>
      </c>
      <c r="I193" s="89" t="b">
        <v>0</v>
      </c>
      <c r="J193" s="89" t="b">
        <v>0</v>
      </c>
      <c r="K193" s="89" t="b">
        <v>0</v>
      </c>
      <c r="L193" s="89" t="b">
        <v>0</v>
      </c>
    </row>
    <row r="194" spans="1:12" ht="15">
      <c r="A194" s="86" t="s">
        <v>806</v>
      </c>
      <c r="B194" s="89" t="s">
        <v>374</v>
      </c>
      <c r="C194" s="89">
        <v>2</v>
      </c>
      <c r="D194" s="94">
        <v>0.006174974270030383</v>
      </c>
      <c r="E194" s="94">
        <v>1.7947203518168364</v>
      </c>
      <c r="F194" s="89" t="s">
        <v>314</v>
      </c>
      <c r="G194" s="89" t="b">
        <v>0</v>
      </c>
      <c r="H194" s="89" t="b">
        <v>0</v>
      </c>
      <c r="I194" s="89" t="b">
        <v>0</v>
      </c>
      <c r="J194" s="89" t="b">
        <v>0</v>
      </c>
      <c r="K194" s="89" t="b">
        <v>0</v>
      </c>
      <c r="L194" s="89" t="b">
        <v>0</v>
      </c>
    </row>
    <row r="195" spans="1:12" ht="15">
      <c r="A195" s="86" t="s">
        <v>374</v>
      </c>
      <c r="B195" s="89" t="s">
        <v>307</v>
      </c>
      <c r="C195" s="89">
        <v>2</v>
      </c>
      <c r="D195" s="94">
        <v>0.006174974270030383</v>
      </c>
      <c r="E195" s="94">
        <v>1.9708116108725178</v>
      </c>
      <c r="F195" s="89" t="s">
        <v>314</v>
      </c>
      <c r="G195" s="89" t="b">
        <v>0</v>
      </c>
      <c r="H195" s="89" t="b">
        <v>0</v>
      </c>
      <c r="I195" s="89" t="b">
        <v>0</v>
      </c>
      <c r="J195" s="89" t="b">
        <v>0</v>
      </c>
      <c r="K195" s="89" t="b">
        <v>0</v>
      </c>
      <c r="L195" s="89" t="b">
        <v>0</v>
      </c>
    </row>
    <row r="196" spans="1:12" ht="15">
      <c r="A196" s="86" t="s">
        <v>307</v>
      </c>
      <c r="B196" s="89" t="s">
        <v>802</v>
      </c>
      <c r="C196" s="89">
        <v>2</v>
      </c>
      <c r="D196" s="94">
        <v>0.006174974270030383</v>
      </c>
      <c r="E196" s="94">
        <v>1.426743566522242</v>
      </c>
      <c r="F196" s="89" t="s">
        <v>314</v>
      </c>
      <c r="G196" s="89" t="b">
        <v>0</v>
      </c>
      <c r="H196" s="89" t="b">
        <v>0</v>
      </c>
      <c r="I196" s="89" t="b">
        <v>0</v>
      </c>
      <c r="J196" s="89" t="b">
        <v>0</v>
      </c>
      <c r="K196" s="89" t="b">
        <v>0</v>
      </c>
      <c r="L196" s="89" t="b">
        <v>0</v>
      </c>
    </row>
    <row r="197" spans="1:12" ht="15">
      <c r="A197" s="86" t="s">
        <v>802</v>
      </c>
      <c r="B197" s="89" t="s">
        <v>582</v>
      </c>
      <c r="C197" s="89">
        <v>2</v>
      </c>
      <c r="D197" s="94">
        <v>0.006174974270030383</v>
      </c>
      <c r="E197" s="94">
        <v>1.317599097097174</v>
      </c>
      <c r="F197" s="89" t="s">
        <v>314</v>
      </c>
      <c r="G197" s="89" t="b">
        <v>0</v>
      </c>
      <c r="H197" s="89" t="b">
        <v>0</v>
      </c>
      <c r="I197" s="89" t="b">
        <v>0</v>
      </c>
      <c r="J197" s="89" t="b">
        <v>0</v>
      </c>
      <c r="K197" s="89" t="b">
        <v>0</v>
      </c>
      <c r="L197" s="89" t="b">
        <v>0</v>
      </c>
    </row>
    <row r="198" spans="1:12" ht="15">
      <c r="A198" s="86" t="s">
        <v>582</v>
      </c>
      <c r="B198" s="89" t="s">
        <v>344</v>
      </c>
      <c r="C198" s="89">
        <v>2</v>
      </c>
      <c r="D198" s="94">
        <v>0.006174974270030383</v>
      </c>
      <c r="E198" s="94">
        <v>1.0543576623225925</v>
      </c>
      <c r="F198" s="89" t="s">
        <v>314</v>
      </c>
      <c r="G198" s="89" t="b">
        <v>0</v>
      </c>
      <c r="H198" s="89" t="b">
        <v>0</v>
      </c>
      <c r="I198" s="89" t="b">
        <v>0</v>
      </c>
      <c r="J198" s="89" t="b">
        <v>0</v>
      </c>
      <c r="K198" s="89" t="b">
        <v>0</v>
      </c>
      <c r="L198" s="89" t="b">
        <v>0</v>
      </c>
    </row>
    <row r="199" spans="1:12" ht="15">
      <c r="A199" s="86" t="s">
        <v>344</v>
      </c>
      <c r="B199" s="89" t="s">
        <v>818</v>
      </c>
      <c r="C199" s="89">
        <v>2</v>
      </c>
      <c r="D199" s="94">
        <v>0.006174974270030383</v>
      </c>
      <c r="E199" s="94">
        <v>1.2304489213782739</v>
      </c>
      <c r="F199" s="89" t="s">
        <v>314</v>
      </c>
      <c r="G199" s="89" t="b">
        <v>0</v>
      </c>
      <c r="H199" s="89" t="b">
        <v>0</v>
      </c>
      <c r="I199" s="89" t="b">
        <v>0</v>
      </c>
      <c r="J199" s="89" t="b">
        <v>0</v>
      </c>
      <c r="K199" s="89" t="b">
        <v>0</v>
      </c>
      <c r="L199" s="89" t="b">
        <v>0</v>
      </c>
    </row>
    <row r="200" spans="1:12" ht="15">
      <c r="A200" s="86" t="s">
        <v>818</v>
      </c>
      <c r="B200" s="89" t="s">
        <v>798</v>
      </c>
      <c r="C200" s="89">
        <v>2</v>
      </c>
      <c r="D200" s="94">
        <v>0.006174974270030383</v>
      </c>
      <c r="E200" s="94">
        <v>1.426743566522242</v>
      </c>
      <c r="F200" s="89" t="s">
        <v>314</v>
      </c>
      <c r="G200" s="89" t="b">
        <v>0</v>
      </c>
      <c r="H200" s="89" t="b">
        <v>0</v>
      </c>
      <c r="I200" s="89" t="b">
        <v>0</v>
      </c>
      <c r="J200" s="89" t="b">
        <v>0</v>
      </c>
      <c r="K200" s="89" t="b">
        <v>0</v>
      </c>
      <c r="L200" s="89" t="b">
        <v>0</v>
      </c>
    </row>
    <row r="201" spans="1:12" ht="15">
      <c r="A201" s="86" t="s">
        <v>798</v>
      </c>
      <c r="B201" s="89" t="s">
        <v>803</v>
      </c>
      <c r="C201" s="89">
        <v>2</v>
      </c>
      <c r="D201" s="94">
        <v>0.006174974270030383</v>
      </c>
      <c r="E201" s="94">
        <v>0.9708116108725178</v>
      </c>
      <c r="F201" s="89" t="s">
        <v>314</v>
      </c>
      <c r="G201" s="89" t="b">
        <v>0</v>
      </c>
      <c r="H201" s="89" t="b">
        <v>0</v>
      </c>
      <c r="I201" s="89" t="b">
        <v>0</v>
      </c>
      <c r="J201" s="89" t="b">
        <v>0</v>
      </c>
      <c r="K201" s="89" t="b">
        <v>1</v>
      </c>
      <c r="L201" s="89" t="b">
        <v>0</v>
      </c>
    </row>
    <row r="202" spans="1:12" ht="15">
      <c r="A202" s="86" t="s">
        <v>380</v>
      </c>
      <c r="B202" s="89" t="s">
        <v>343</v>
      </c>
      <c r="C202" s="89">
        <v>2</v>
      </c>
      <c r="D202" s="94">
        <v>0.006174974270030383</v>
      </c>
      <c r="E202" s="94">
        <v>1.4936903561528554</v>
      </c>
      <c r="F202" s="89" t="s">
        <v>314</v>
      </c>
      <c r="G202" s="89" t="b">
        <v>0</v>
      </c>
      <c r="H202" s="89" t="b">
        <v>0</v>
      </c>
      <c r="I202" s="89" t="b">
        <v>0</v>
      </c>
      <c r="J202" s="89" t="b">
        <v>0</v>
      </c>
      <c r="K202" s="89" t="b">
        <v>0</v>
      </c>
      <c r="L202" s="89" t="b">
        <v>0</v>
      </c>
    </row>
    <row r="203" spans="1:12" ht="15">
      <c r="A203" s="86" t="s">
        <v>587</v>
      </c>
      <c r="B203" s="89" t="s">
        <v>595</v>
      </c>
      <c r="C203" s="89">
        <v>2</v>
      </c>
      <c r="D203" s="94">
        <v>0.00762101254845522</v>
      </c>
      <c r="E203" s="94">
        <v>1.5740312677277188</v>
      </c>
      <c r="F203" s="89" t="s">
        <v>315</v>
      </c>
      <c r="G203" s="89" t="b">
        <v>0</v>
      </c>
      <c r="H203" s="89" t="b">
        <v>0</v>
      </c>
      <c r="I203" s="89" t="b">
        <v>0</v>
      </c>
      <c r="J203" s="89" t="b">
        <v>0</v>
      </c>
      <c r="K203" s="89" t="b">
        <v>0</v>
      </c>
      <c r="L203" s="89" t="b">
        <v>0</v>
      </c>
    </row>
    <row r="204" spans="1:12" ht="15">
      <c r="A204" s="86" t="s">
        <v>867</v>
      </c>
      <c r="B204" s="89" t="s">
        <v>868</v>
      </c>
      <c r="C204" s="89">
        <v>2</v>
      </c>
      <c r="D204" s="94">
        <v>0.01524202509691044</v>
      </c>
      <c r="E204" s="94">
        <v>1.5740312677277188</v>
      </c>
      <c r="F204" s="89" t="s">
        <v>315</v>
      </c>
      <c r="G204" s="89" t="b">
        <v>0</v>
      </c>
      <c r="H204" s="89" t="b">
        <v>0</v>
      </c>
      <c r="I204" s="89" t="b">
        <v>0</v>
      </c>
      <c r="J204" s="89" t="b">
        <v>0</v>
      </c>
      <c r="K204" s="89" t="b">
        <v>0</v>
      </c>
      <c r="L204" s="89" t="b">
        <v>0</v>
      </c>
    </row>
    <row r="205" spans="1:12" ht="15">
      <c r="A205" s="86" t="s">
        <v>799</v>
      </c>
      <c r="B205" s="89" t="s">
        <v>807</v>
      </c>
      <c r="C205" s="89">
        <v>2</v>
      </c>
      <c r="D205" s="94">
        <v>0.006178640668620394</v>
      </c>
      <c r="E205" s="94">
        <v>1.4313637641589874</v>
      </c>
      <c r="F205" s="89" t="s">
        <v>316</v>
      </c>
      <c r="G205" s="89" t="b">
        <v>0</v>
      </c>
      <c r="H205" s="89" t="b">
        <v>0</v>
      </c>
      <c r="I205" s="89" t="b">
        <v>0</v>
      </c>
      <c r="J205" s="89" t="b">
        <v>0</v>
      </c>
      <c r="K205" s="89" t="b">
        <v>0</v>
      </c>
      <c r="L205" s="89" t="b">
        <v>0</v>
      </c>
    </row>
    <row r="206" spans="1:12" ht="15">
      <c r="A206" s="86" t="s">
        <v>807</v>
      </c>
      <c r="B206" s="89" t="s">
        <v>376</v>
      </c>
      <c r="C206" s="89">
        <v>2</v>
      </c>
      <c r="D206" s="94">
        <v>0.006178640668620394</v>
      </c>
      <c r="E206" s="94">
        <v>1.4313637641589874</v>
      </c>
      <c r="F206" s="89" t="s">
        <v>316</v>
      </c>
      <c r="G206" s="89" t="b">
        <v>0</v>
      </c>
      <c r="H206" s="89" t="b">
        <v>0</v>
      </c>
      <c r="I206" s="89" t="b">
        <v>0</v>
      </c>
      <c r="J206" s="89" t="b">
        <v>0</v>
      </c>
      <c r="K206" s="89" t="b">
        <v>0</v>
      </c>
      <c r="L206" s="89" t="b">
        <v>0</v>
      </c>
    </row>
    <row r="207" spans="1:12" ht="15">
      <c r="A207" s="86" t="s">
        <v>376</v>
      </c>
      <c r="B207" s="89" t="s">
        <v>825</v>
      </c>
      <c r="C207" s="89">
        <v>2</v>
      </c>
      <c r="D207" s="94">
        <v>0.006178640668620394</v>
      </c>
      <c r="E207" s="94">
        <v>1.4313637641589874</v>
      </c>
      <c r="F207" s="89" t="s">
        <v>316</v>
      </c>
      <c r="G207" s="89" t="b">
        <v>0</v>
      </c>
      <c r="H207" s="89" t="b">
        <v>0</v>
      </c>
      <c r="I207" s="89" t="b">
        <v>0</v>
      </c>
      <c r="J207" s="89" t="b">
        <v>0</v>
      </c>
      <c r="K207" s="89" t="b">
        <v>0</v>
      </c>
      <c r="L207" s="89" t="b">
        <v>0</v>
      </c>
    </row>
    <row r="208" spans="1:12" ht="15">
      <c r="A208" s="86" t="s">
        <v>825</v>
      </c>
      <c r="B208" s="89" t="s">
        <v>826</v>
      </c>
      <c r="C208" s="89">
        <v>2</v>
      </c>
      <c r="D208" s="94">
        <v>0.006178640668620394</v>
      </c>
      <c r="E208" s="94">
        <v>1.4313637641589874</v>
      </c>
      <c r="F208" s="89" t="s">
        <v>316</v>
      </c>
      <c r="G208" s="89" t="b">
        <v>0</v>
      </c>
      <c r="H208" s="89" t="b">
        <v>0</v>
      </c>
      <c r="I208" s="89" t="b">
        <v>0</v>
      </c>
      <c r="J208" s="89" t="b">
        <v>0</v>
      </c>
      <c r="K208" s="89" t="b">
        <v>0</v>
      </c>
      <c r="L208" s="89" t="b">
        <v>0</v>
      </c>
    </row>
    <row r="209" spans="1:12" ht="15">
      <c r="A209" s="86" t="s">
        <v>826</v>
      </c>
      <c r="B209" s="89" t="s">
        <v>827</v>
      </c>
      <c r="C209" s="89">
        <v>2</v>
      </c>
      <c r="D209" s="94">
        <v>0.006178640668620394</v>
      </c>
      <c r="E209" s="94">
        <v>1.4313637641589874</v>
      </c>
      <c r="F209" s="89" t="s">
        <v>316</v>
      </c>
      <c r="G209" s="89" t="b">
        <v>0</v>
      </c>
      <c r="H209" s="89" t="b">
        <v>0</v>
      </c>
      <c r="I209" s="89" t="b">
        <v>0</v>
      </c>
      <c r="J209" s="89" t="b">
        <v>0</v>
      </c>
      <c r="K209" s="89" t="b">
        <v>0</v>
      </c>
      <c r="L209" s="89" t="b">
        <v>0</v>
      </c>
    </row>
    <row r="210" spans="1:12" ht="15">
      <c r="A210" s="86" t="s">
        <v>827</v>
      </c>
      <c r="B210" s="89" t="s">
        <v>797</v>
      </c>
      <c r="C210" s="89">
        <v>2</v>
      </c>
      <c r="D210" s="94">
        <v>0.006178640668620394</v>
      </c>
      <c r="E210" s="94">
        <v>1.255272505103306</v>
      </c>
      <c r="F210" s="89" t="s">
        <v>316</v>
      </c>
      <c r="G210" s="89" t="b">
        <v>0</v>
      </c>
      <c r="H210" s="89" t="b">
        <v>0</v>
      </c>
      <c r="I210" s="89" t="b">
        <v>0</v>
      </c>
      <c r="J210" s="89" t="b">
        <v>0</v>
      </c>
      <c r="K210" s="89" t="b">
        <v>0</v>
      </c>
      <c r="L210" s="89" t="b">
        <v>0</v>
      </c>
    </row>
    <row r="211" spans="1:12" ht="15">
      <c r="A211" s="86" t="s">
        <v>797</v>
      </c>
      <c r="B211" s="89" t="s">
        <v>828</v>
      </c>
      <c r="C211" s="89">
        <v>2</v>
      </c>
      <c r="D211" s="94">
        <v>0.006178640668620394</v>
      </c>
      <c r="E211" s="94">
        <v>1.255272505103306</v>
      </c>
      <c r="F211" s="89" t="s">
        <v>316</v>
      </c>
      <c r="G211" s="89" t="b">
        <v>0</v>
      </c>
      <c r="H211" s="89" t="b">
        <v>0</v>
      </c>
      <c r="I211" s="89" t="b">
        <v>0</v>
      </c>
      <c r="J211" s="89" t="b">
        <v>0</v>
      </c>
      <c r="K211" s="89" t="b">
        <v>0</v>
      </c>
      <c r="L211" s="89" t="b">
        <v>0</v>
      </c>
    </row>
    <row r="212" spans="1:12" ht="15">
      <c r="A212" s="86" t="s">
        <v>828</v>
      </c>
      <c r="B212" s="89" t="s">
        <v>829</v>
      </c>
      <c r="C212" s="89">
        <v>2</v>
      </c>
      <c r="D212" s="94">
        <v>0.006178640668620394</v>
      </c>
      <c r="E212" s="94">
        <v>1.4313637641589874</v>
      </c>
      <c r="F212" s="89" t="s">
        <v>316</v>
      </c>
      <c r="G212" s="89" t="b">
        <v>0</v>
      </c>
      <c r="H212" s="89" t="b">
        <v>0</v>
      </c>
      <c r="I212" s="89" t="b">
        <v>0</v>
      </c>
      <c r="J212" s="89" t="b">
        <v>0</v>
      </c>
      <c r="K212" s="89" t="b">
        <v>0</v>
      </c>
      <c r="L212" s="89" t="b">
        <v>0</v>
      </c>
    </row>
    <row r="213" spans="1:12" ht="15">
      <c r="A213" s="86" t="s">
        <v>829</v>
      </c>
      <c r="B213" s="89" t="s">
        <v>811</v>
      </c>
      <c r="C213" s="89">
        <v>2</v>
      </c>
      <c r="D213" s="94">
        <v>0.006178640668620394</v>
      </c>
      <c r="E213" s="94">
        <v>1.4313637641589874</v>
      </c>
      <c r="F213" s="89" t="s">
        <v>316</v>
      </c>
      <c r="G213" s="89" t="b">
        <v>0</v>
      </c>
      <c r="H213" s="89" t="b">
        <v>0</v>
      </c>
      <c r="I213" s="89" t="b">
        <v>0</v>
      </c>
      <c r="J213" s="89" t="b">
        <v>0</v>
      </c>
      <c r="K213" s="89" t="b">
        <v>0</v>
      </c>
      <c r="L213" s="89" t="b">
        <v>0</v>
      </c>
    </row>
    <row r="214" spans="1:12" ht="15">
      <c r="A214" s="86" t="s">
        <v>811</v>
      </c>
      <c r="B214" s="89" t="s">
        <v>830</v>
      </c>
      <c r="C214" s="89">
        <v>2</v>
      </c>
      <c r="D214" s="94">
        <v>0.006178640668620394</v>
      </c>
      <c r="E214" s="94">
        <v>1.4313637641589874</v>
      </c>
      <c r="F214" s="89" t="s">
        <v>316</v>
      </c>
      <c r="G214" s="89" t="b">
        <v>0</v>
      </c>
      <c r="H214" s="89" t="b">
        <v>0</v>
      </c>
      <c r="I214" s="89" t="b">
        <v>0</v>
      </c>
      <c r="J214" s="89" t="b">
        <v>0</v>
      </c>
      <c r="K214" s="89" t="b">
        <v>0</v>
      </c>
      <c r="L214" s="89" t="b">
        <v>0</v>
      </c>
    </row>
    <row r="215" spans="1:12" ht="15">
      <c r="A215" s="86" t="s">
        <v>830</v>
      </c>
      <c r="B215" s="89" t="s">
        <v>801</v>
      </c>
      <c r="C215" s="89">
        <v>2</v>
      </c>
      <c r="D215" s="94">
        <v>0.006178640668620394</v>
      </c>
      <c r="E215" s="94">
        <v>1.4313637641589874</v>
      </c>
      <c r="F215" s="89" t="s">
        <v>316</v>
      </c>
      <c r="G215" s="89" t="b">
        <v>0</v>
      </c>
      <c r="H215" s="89" t="b">
        <v>0</v>
      </c>
      <c r="I215" s="89" t="b">
        <v>0</v>
      </c>
      <c r="J215" s="89" t="b">
        <v>0</v>
      </c>
      <c r="K215" s="89" t="b">
        <v>0</v>
      </c>
      <c r="L215" s="89" t="b">
        <v>0</v>
      </c>
    </row>
    <row r="216" spans="1:12" ht="15">
      <c r="A216" s="86" t="s">
        <v>801</v>
      </c>
      <c r="B216" s="89" t="s">
        <v>808</v>
      </c>
      <c r="C216" s="89">
        <v>2</v>
      </c>
      <c r="D216" s="94">
        <v>0.006178640668620394</v>
      </c>
      <c r="E216" s="94">
        <v>1.4313637641589874</v>
      </c>
      <c r="F216" s="89" t="s">
        <v>316</v>
      </c>
      <c r="G216" s="89" t="b">
        <v>0</v>
      </c>
      <c r="H216" s="89" t="b">
        <v>0</v>
      </c>
      <c r="I216" s="89" t="b">
        <v>0</v>
      </c>
      <c r="J216" s="89" t="b">
        <v>0</v>
      </c>
      <c r="K216" s="89" t="b">
        <v>0</v>
      </c>
      <c r="L216" s="89" t="b">
        <v>0</v>
      </c>
    </row>
    <row r="217" spans="1:12" ht="15">
      <c r="A217" s="86" t="s">
        <v>808</v>
      </c>
      <c r="B217" s="89" t="s">
        <v>812</v>
      </c>
      <c r="C217" s="89">
        <v>2</v>
      </c>
      <c r="D217" s="94">
        <v>0.006178640668620394</v>
      </c>
      <c r="E217" s="94">
        <v>1.255272505103306</v>
      </c>
      <c r="F217" s="89" t="s">
        <v>316</v>
      </c>
      <c r="G217" s="89" t="b">
        <v>0</v>
      </c>
      <c r="H217" s="89" t="b">
        <v>0</v>
      </c>
      <c r="I217" s="89" t="b">
        <v>0</v>
      </c>
      <c r="J217" s="89" t="b">
        <v>0</v>
      </c>
      <c r="K217" s="89" t="b">
        <v>0</v>
      </c>
      <c r="L217" s="89" t="b">
        <v>0</v>
      </c>
    </row>
    <row r="218" spans="1:12" ht="15">
      <c r="A218" s="86" t="s">
        <v>812</v>
      </c>
      <c r="B218" s="89" t="s">
        <v>813</v>
      </c>
      <c r="C218" s="89">
        <v>2</v>
      </c>
      <c r="D218" s="94">
        <v>0.006178640668620394</v>
      </c>
      <c r="E218" s="94">
        <v>1.0791812460476249</v>
      </c>
      <c r="F218" s="89" t="s">
        <v>316</v>
      </c>
      <c r="G218" s="89" t="b">
        <v>0</v>
      </c>
      <c r="H218" s="89" t="b">
        <v>0</v>
      </c>
      <c r="I218" s="89" t="b">
        <v>0</v>
      </c>
      <c r="J218" s="89" t="b">
        <v>0</v>
      </c>
      <c r="K218" s="89" t="b">
        <v>0</v>
      </c>
      <c r="L218" s="89" t="b">
        <v>0</v>
      </c>
    </row>
    <row r="219" spans="1:12" ht="15">
      <c r="A219" s="86" t="s">
        <v>813</v>
      </c>
      <c r="B219" s="89" t="s">
        <v>831</v>
      </c>
      <c r="C219" s="89">
        <v>2</v>
      </c>
      <c r="D219" s="94">
        <v>0.006178640668620394</v>
      </c>
      <c r="E219" s="94">
        <v>1.255272505103306</v>
      </c>
      <c r="F219" s="89" t="s">
        <v>316</v>
      </c>
      <c r="G219" s="89" t="b">
        <v>0</v>
      </c>
      <c r="H219" s="89" t="b">
        <v>0</v>
      </c>
      <c r="I219" s="89" t="b">
        <v>0</v>
      </c>
      <c r="J219" s="89" t="b">
        <v>0</v>
      </c>
      <c r="K219" s="89" t="b">
        <v>0</v>
      </c>
      <c r="L219" s="89" t="b">
        <v>0</v>
      </c>
    </row>
    <row r="220" spans="1:12" ht="15">
      <c r="A220" s="86" t="s">
        <v>831</v>
      </c>
      <c r="B220" s="89" t="s">
        <v>832</v>
      </c>
      <c r="C220" s="89">
        <v>2</v>
      </c>
      <c r="D220" s="94">
        <v>0.006178640668620394</v>
      </c>
      <c r="E220" s="94">
        <v>1.4313637641589874</v>
      </c>
      <c r="F220" s="89" t="s">
        <v>316</v>
      </c>
      <c r="G220" s="89" t="b">
        <v>0</v>
      </c>
      <c r="H220" s="89" t="b">
        <v>0</v>
      </c>
      <c r="I220" s="89" t="b">
        <v>0</v>
      </c>
      <c r="J220" s="89" t="b">
        <v>0</v>
      </c>
      <c r="K220" s="89" t="b">
        <v>0</v>
      </c>
      <c r="L220" s="89" t="b">
        <v>0</v>
      </c>
    </row>
    <row r="221" spans="1:12" ht="15">
      <c r="A221" s="86" t="s">
        <v>832</v>
      </c>
      <c r="B221" s="89" t="s">
        <v>805</v>
      </c>
      <c r="C221" s="89">
        <v>2</v>
      </c>
      <c r="D221" s="94">
        <v>0.006178640668620394</v>
      </c>
      <c r="E221" s="94">
        <v>1.255272505103306</v>
      </c>
      <c r="F221" s="89" t="s">
        <v>316</v>
      </c>
      <c r="G221" s="89" t="b">
        <v>0</v>
      </c>
      <c r="H221" s="89" t="b">
        <v>0</v>
      </c>
      <c r="I221" s="89" t="b">
        <v>0</v>
      </c>
      <c r="J221" s="89" t="b">
        <v>0</v>
      </c>
      <c r="K221" s="89" t="b">
        <v>0</v>
      </c>
      <c r="L221" s="89" t="b">
        <v>0</v>
      </c>
    </row>
    <row r="222" spans="1:12" ht="15">
      <c r="A222" s="86" t="s">
        <v>369</v>
      </c>
      <c r="B222" s="89" t="s">
        <v>800</v>
      </c>
      <c r="C222" s="89">
        <v>5</v>
      </c>
      <c r="D222" s="94">
        <v>0.015490949828560467</v>
      </c>
      <c r="E222" s="94">
        <v>1.1790967691954064</v>
      </c>
      <c r="F222" s="89" t="s">
        <v>318</v>
      </c>
      <c r="G222" s="89" t="b">
        <v>1</v>
      </c>
      <c r="H222" s="89" t="b">
        <v>0</v>
      </c>
      <c r="I222" s="89" t="b">
        <v>0</v>
      </c>
      <c r="J222" s="89" t="b">
        <v>0</v>
      </c>
      <c r="K222" s="89" t="b">
        <v>0</v>
      </c>
      <c r="L222" s="89" t="b">
        <v>0</v>
      </c>
    </row>
    <row r="223" spans="1:12" ht="15">
      <c r="A223" s="86" t="s">
        <v>797</v>
      </c>
      <c r="B223" s="89" t="s">
        <v>801</v>
      </c>
      <c r="C223" s="89">
        <v>4</v>
      </c>
      <c r="D223" s="94">
        <v>0.009147597873022403</v>
      </c>
      <c r="E223" s="94">
        <v>1.1401787031650368</v>
      </c>
      <c r="F223" s="89" t="s">
        <v>318</v>
      </c>
      <c r="G223" s="89" t="b">
        <v>0</v>
      </c>
      <c r="H223" s="89" t="b">
        <v>0</v>
      </c>
      <c r="I223" s="89" t="b">
        <v>0</v>
      </c>
      <c r="J223" s="89" t="b">
        <v>0</v>
      </c>
      <c r="K223" s="89" t="b">
        <v>0</v>
      </c>
      <c r="L223" s="89" t="b">
        <v>0</v>
      </c>
    </row>
    <row r="224" spans="1:12" ht="15">
      <c r="A224" s="86" t="s">
        <v>801</v>
      </c>
      <c r="B224" s="89" t="s">
        <v>797</v>
      </c>
      <c r="C224" s="89">
        <v>3</v>
      </c>
      <c r="D224" s="94">
        <v>0.009294569897136281</v>
      </c>
      <c r="E224" s="94">
        <v>0.9060954971316688</v>
      </c>
      <c r="F224" s="89" t="s">
        <v>318</v>
      </c>
      <c r="G224" s="89" t="b">
        <v>0</v>
      </c>
      <c r="H224" s="89" t="b">
        <v>0</v>
      </c>
      <c r="I224" s="89" t="b">
        <v>0</v>
      </c>
      <c r="J224" s="89" t="b">
        <v>0</v>
      </c>
      <c r="K224" s="89" t="b">
        <v>0</v>
      </c>
      <c r="L224" s="89" t="b">
        <v>0</v>
      </c>
    </row>
    <row r="225" spans="1:12" ht="15">
      <c r="A225" s="86" t="s">
        <v>372</v>
      </c>
      <c r="B225" s="89" t="s">
        <v>820</v>
      </c>
      <c r="C225" s="89">
        <v>2</v>
      </c>
      <c r="D225" s="94">
        <v>0.008483279399679789</v>
      </c>
      <c r="E225" s="94">
        <v>1.6842467475153124</v>
      </c>
      <c r="F225" s="89" t="s">
        <v>318</v>
      </c>
      <c r="G225" s="89" t="b">
        <v>0</v>
      </c>
      <c r="H225" s="89" t="b">
        <v>0</v>
      </c>
      <c r="I225" s="89" t="b">
        <v>0</v>
      </c>
      <c r="J225" s="89" t="b">
        <v>0</v>
      </c>
      <c r="K225" s="89" t="b">
        <v>0</v>
      </c>
      <c r="L225" s="89" t="b">
        <v>0</v>
      </c>
    </row>
    <row r="226" spans="1:12" ht="15">
      <c r="A226" s="86" t="s">
        <v>820</v>
      </c>
      <c r="B226" s="89" t="s">
        <v>389</v>
      </c>
      <c r="C226" s="89">
        <v>2</v>
      </c>
      <c r="D226" s="94">
        <v>0.008483279399679789</v>
      </c>
      <c r="E226" s="94">
        <v>1.8603380065709938</v>
      </c>
      <c r="F226" s="89" t="s">
        <v>318</v>
      </c>
      <c r="G226" s="89" t="b">
        <v>0</v>
      </c>
      <c r="H226" s="89" t="b">
        <v>0</v>
      </c>
      <c r="I226" s="89" t="b">
        <v>0</v>
      </c>
      <c r="J226" s="89" t="b">
        <v>0</v>
      </c>
      <c r="K226" s="89" t="b">
        <v>0</v>
      </c>
      <c r="L226" s="89" t="b">
        <v>0</v>
      </c>
    </row>
    <row r="227" spans="1:12" ht="15">
      <c r="A227" s="86" t="s">
        <v>389</v>
      </c>
      <c r="B227" s="89" t="s">
        <v>821</v>
      </c>
      <c r="C227" s="89">
        <v>2</v>
      </c>
      <c r="D227" s="94">
        <v>0.008483279399679789</v>
      </c>
      <c r="E227" s="94">
        <v>1.6842467475153124</v>
      </c>
      <c r="F227" s="89" t="s">
        <v>318</v>
      </c>
      <c r="G227" s="89" t="b">
        <v>0</v>
      </c>
      <c r="H227" s="89" t="b">
        <v>0</v>
      </c>
      <c r="I227" s="89" t="b">
        <v>0</v>
      </c>
      <c r="J227" s="89" t="b">
        <v>0</v>
      </c>
      <c r="K227" s="89" t="b">
        <v>0</v>
      </c>
      <c r="L227" s="89" t="b">
        <v>0</v>
      </c>
    </row>
    <row r="228" spans="1:12" ht="15">
      <c r="A228" s="86" t="s">
        <v>821</v>
      </c>
      <c r="B228" s="89" t="s">
        <v>800</v>
      </c>
      <c r="C228" s="89">
        <v>2</v>
      </c>
      <c r="D228" s="94">
        <v>0.008483279399679789</v>
      </c>
      <c r="E228" s="94">
        <v>1.0821867561873502</v>
      </c>
      <c r="F228" s="89" t="s">
        <v>318</v>
      </c>
      <c r="G228" s="89" t="b">
        <v>0</v>
      </c>
      <c r="H228" s="89" t="b">
        <v>0</v>
      </c>
      <c r="I228" s="89" t="b">
        <v>0</v>
      </c>
      <c r="J228" s="89" t="b">
        <v>0</v>
      </c>
      <c r="K228" s="89" t="b">
        <v>0</v>
      </c>
      <c r="L228" s="89" t="b">
        <v>0</v>
      </c>
    </row>
    <row r="229" spans="1:12" ht="15">
      <c r="A229" s="86" t="s">
        <v>800</v>
      </c>
      <c r="B229" s="89" t="s">
        <v>358</v>
      </c>
      <c r="C229" s="89">
        <v>2</v>
      </c>
      <c r="D229" s="94">
        <v>0.008483279399679789</v>
      </c>
      <c r="E229" s="94">
        <v>1.0821867561873502</v>
      </c>
      <c r="F229" s="89" t="s">
        <v>318</v>
      </c>
      <c r="G229" s="89" t="b">
        <v>0</v>
      </c>
      <c r="H229" s="89" t="b">
        <v>0</v>
      </c>
      <c r="I229" s="89" t="b">
        <v>0</v>
      </c>
      <c r="J229" s="89" t="b">
        <v>0</v>
      </c>
      <c r="K229" s="89" t="b">
        <v>0</v>
      </c>
      <c r="L229" s="89" t="b">
        <v>0</v>
      </c>
    </row>
    <row r="230" spans="1:12" ht="15">
      <c r="A230" s="86" t="s">
        <v>358</v>
      </c>
      <c r="B230" s="89" t="s">
        <v>797</v>
      </c>
      <c r="C230" s="89">
        <v>2</v>
      </c>
      <c r="D230" s="94">
        <v>0.008483279399679789</v>
      </c>
      <c r="E230" s="94">
        <v>1.031034233739969</v>
      </c>
      <c r="F230" s="89" t="s">
        <v>318</v>
      </c>
      <c r="G230" s="89" t="b">
        <v>0</v>
      </c>
      <c r="H230" s="89" t="b">
        <v>0</v>
      </c>
      <c r="I230" s="89" t="b">
        <v>0</v>
      </c>
      <c r="J230" s="89" t="b">
        <v>0</v>
      </c>
      <c r="K230" s="89" t="b">
        <v>0</v>
      </c>
      <c r="L230" s="89" t="b">
        <v>0</v>
      </c>
    </row>
    <row r="231" spans="1:12" ht="15">
      <c r="A231" s="86" t="s">
        <v>801</v>
      </c>
      <c r="B231" s="89" t="s">
        <v>857</v>
      </c>
      <c r="C231" s="89">
        <v>2</v>
      </c>
      <c r="D231" s="94">
        <v>0.008483279399679789</v>
      </c>
      <c r="E231" s="94">
        <v>1.3832167518513312</v>
      </c>
      <c r="F231" s="89" t="s">
        <v>318</v>
      </c>
      <c r="G231" s="89" t="b">
        <v>0</v>
      </c>
      <c r="H231" s="89" t="b">
        <v>0</v>
      </c>
      <c r="I231" s="89" t="b">
        <v>0</v>
      </c>
      <c r="J231" s="89" t="b">
        <v>0</v>
      </c>
      <c r="K231" s="89" t="b">
        <v>0</v>
      </c>
      <c r="L231" s="89" t="b">
        <v>0</v>
      </c>
    </row>
    <row r="232" spans="1:12" ht="15">
      <c r="A232" s="86" t="s">
        <v>857</v>
      </c>
      <c r="B232" s="89" t="s">
        <v>822</v>
      </c>
      <c r="C232" s="89">
        <v>2</v>
      </c>
      <c r="D232" s="94">
        <v>0.008483279399679789</v>
      </c>
      <c r="E232" s="94">
        <v>1.6842467475153124</v>
      </c>
      <c r="F232" s="89" t="s">
        <v>318</v>
      </c>
      <c r="G232" s="89" t="b">
        <v>0</v>
      </c>
      <c r="H232" s="89" t="b">
        <v>0</v>
      </c>
      <c r="I232" s="89" t="b">
        <v>0</v>
      </c>
      <c r="J232" s="89" t="b">
        <v>0</v>
      </c>
      <c r="K232" s="89" t="b">
        <v>0</v>
      </c>
      <c r="L232" s="89" t="b">
        <v>0</v>
      </c>
    </row>
    <row r="233" spans="1:12" ht="15">
      <c r="A233" s="86" t="s">
        <v>354</v>
      </c>
      <c r="B233" s="89" t="s">
        <v>858</v>
      </c>
      <c r="C233" s="89">
        <v>2</v>
      </c>
      <c r="D233" s="94">
        <v>0.008483279399679789</v>
      </c>
      <c r="E233" s="94">
        <v>1.8603380065709938</v>
      </c>
      <c r="F233" s="89" t="s">
        <v>318</v>
      </c>
      <c r="G233" s="89" t="b">
        <v>0</v>
      </c>
      <c r="H233" s="89" t="b">
        <v>0</v>
      </c>
      <c r="I233" s="89" t="b">
        <v>0</v>
      </c>
      <c r="J233" s="89" t="b">
        <v>1</v>
      </c>
      <c r="K233" s="89" t="b">
        <v>0</v>
      </c>
      <c r="L233" s="89" t="b">
        <v>0</v>
      </c>
    </row>
    <row r="234" spans="1:12" ht="15">
      <c r="A234" s="86" t="s">
        <v>858</v>
      </c>
      <c r="B234" s="89" t="s">
        <v>386</v>
      </c>
      <c r="C234" s="89">
        <v>2</v>
      </c>
      <c r="D234" s="94">
        <v>0.008483279399679789</v>
      </c>
      <c r="E234" s="94">
        <v>1.6842467475153124</v>
      </c>
      <c r="F234" s="89" t="s">
        <v>318</v>
      </c>
      <c r="G234" s="89" t="b">
        <v>1</v>
      </c>
      <c r="H234" s="89" t="b">
        <v>0</v>
      </c>
      <c r="I234" s="89" t="b">
        <v>0</v>
      </c>
      <c r="J234" s="89" t="b">
        <v>0</v>
      </c>
      <c r="K234" s="89" t="b">
        <v>0</v>
      </c>
      <c r="L234" s="89" t="b">
        <v>0</v>
      </c>
    </row>
    <row r="235" spans="1:12" ht="15">
      <c r="A235" s="86" t="s">
        <v>386</v>
      </c>
      <c r="B235" s="89" t="s">
        <v>859</v>
      </c>
      <c r="C235" s="89">
        <v>2</v>
      </c>
      <c r="D235" s="94">
        <v>0.008483279399679789</v>
      </c>
      <c r="E235" s="94">
        <v>1.6842467475153124</v>
      </c>
      <c r="F235" s="89" t="s">
        <v>318</v>
      </c>
      <c r="G235" s="89" t="b">
        <v>0</v>
      </c>
      <c r="H235" s="89" t="b">
        <v>0</v>
      </c>
      <c r="I235" s="89" t="b">
        <v>0</v>
      </c>
      <c r="J235" s="89" t="b">
        <v>1</v>
      </c>
      <c r="K235" s="89" t="b">
        <v>0</v>
      </c>
      <c r="L235" s="89" t="b">
        <v>0</v>
      </c>
    </row>
    <row r="236" spans="1:12" ht="15">
      <c r="A236" s="86" t="s">
        <v>859</v>
      </c>
      <c r="B236" s="89" t="s">
        <v>363</v>
      </c>
      <c r="C236" s="89">
        <v>2</v>
      </c>
      <c r="D236" s="94">
        <v>0.008483279399679789</v>
      </c>
      <c r="E236" s="94">
        <v>1.8603380065709938</v>
      </c>
      <c r="F236" s="89" t="s">
        <v>318</v>
      </c>
      <c r="G236" s="89" t="b">
        <v>1</v>
      </c>
      <c r="H236" s="89" t="b">
        <v>0</v>
      </c>
      <c r="I236" s="89" t="b">
        <v>0</v>
      </c>
      <c r="J236" s="89" t="b">
        <v>0</v>
      </c>
      <c r="K236" s="89" t="b">
        <v>0</v>
      </c>
      <c r="L236" s="89" t="b">
        <v>0</v>
      </c>
    </row>
    <row r="237" spans="1:12" ht="15">
      <c r="A237" s="86" t="s">
        <v>363</v>
      </c>
      <c r="B237" s="89" t="s">
        <v>367</v>
      </c>
      <c r="C237" s="89">
        <v>2</v>
      </c>
      <c r="D237" s="94">
        <v>0.008483279399679789</v>
      </c>
      <c r="E237" s="94">
        <v>1.8603380065709938</v>
      </c>
      <c r="F237" s="89" t="s">
        <v>318</v>
      </c>
      <c r="G237" s="89" t="b">
        <v>0</v>
      </c>
      <c r="H237" s="89" t="b">
        <v>0</v>
      </c>
      <c r="I237" s="89" t="b">
        <v>0</v>
      </c>
      <c r="J237" s="89" t="b">
        <v>0</v>
      </c>
      <c r="K237" s="89" t="b">
        <v>1</v>
      </c>
      <c r="L237" s="89" t="b">
        <v>0</v>
      </c>
    </row>
    <row r="238" spans="1:12" ht="15">
      <c r="A238" s="86" t="s">
        <v>367</v>
      </c>
      <c r="B238" s="89" t="s">
        <v>860</v>
      </c>
      <c r="C238" s="89">
        <v>2</v>
      </c>
      <c r="D238" s="94">
        <v>0.008483279399679789</v>
      </c>
      <c r="E238" s="94">
        <v>1.8603380065709938</v>
      </c>
      <c r="F238" s="89" t="s">
        <v>318</v>
      </c>
      <c r="G238" s="89" t="b">
        <v>0</v>
      </c>
      <c r="H238" s="89" t="b">
        <v>1</v>
      </c>
      <c r="I238" s="89" t="b">
        <v>0</v>
      </c>
      <c r="J238" s="89" t="b">
        <v>0</v>
      </c>
      <c r="K238" s="89" t="b">
        <v>0</v>
      </c>
      <c r="L238" s="89" t="b">
        <v>0</v>
      </c>
    </row>
    <row r="239" spans="1:12" ht="15">
      <c r="A239" s="86" t="s">
        <v>860</v>
      </c>
      <c r="B239" s="89" t="s">
        <v>378</v>
      </c>
      <c r="C239" s="89">
        <v>2</v>
      </c>
      <c r="D239" s="94">
        <v>0.008483279399679789</v>
      </c>
      <c r="E239" s="94">
        <v>1.8603380065709938</v>
      </c>
      <c r="F239" s="89" t="s">
        <v>318</v>
      </c>
      <c r="G239" s="89" t="b">
        <v>0</v>
      </c>
      <c r="H239" s="89" t="b">
        <v>0</v>
      </c>
      <c r="I239" s="89" t="b">
        <v>0</v>
      </c>
      <c r="J239" s="89" t="b">
        <v>0</v>
      </c>
      <c r="K239" s="89" t="b">
        <v>0</v>
      </c>
      <c r="L239" s="89" t="b">
        <v>0</v>
      </c>
    </row>
    <row r="240" spans="1:12" ht="15">
      <c r="A240" s="86" t="s">
        <v>378</v>
      </c>
      <c r="B240" s="89" t="s">
        <v>369</v>
      </c>
      <c r="C240" s="89">
        <v>2</v>
      </c>
      <c r="D240" s="94">
        <v>0.008483279399679789</v>
      </c>
      <c r="E240" s="94">
        <v>1.3832167518513312</v>
      </c>
      <c r="F240" s="89" t="s">
        <v>318</v>
      </c>
      <c r="G240" s="89" t="b">
        <v>0</v>
      </c>
      <c r="H240" s="89" t="b">
        <v>0</v>
      </c>
      <c r="I240" s="89" t="b">
        <v>0</v>
      </c>
      <c r="J240" s="89" t="b">
        <v>1</v>
      </c>
      <c r="K240" s="89" t="b">
        <v>0</v>
      </c>
      <c r="L240" s="89" t="b">
        <v>0</v>
      </c>
    </row>
    <row r="241" spans="1:12" ht="15">
      <c r="A241" s="86" t="s">
        <v>800</v>
      </c>
      <c r="B241" s="89" t="s">
        <v>861</v>
      </c>
      <c r="C241" s="89">
        <v>2</v>
      </c>
      <c r="D241" s="94">
        <v>0.008483279399679789</v>
      </c>
      <c r="E241" s="94">
        <v>1.2582780152430313</v>
      </c>
      <c r="F241" s="89" t="s">
        <v>318</v>
      </c>
      <c r="G241" s="89" t="b">
        <v>0</v>
      </c>
      <c r="H241" s="89" t="b">
        <v>0</v>
      </c>
      <c r="I241" s="89" t="b">
        <v>0</v>
      </c>
      <c r="J241" s="89" t="b">
        <v>0</v>
      </c>
      <c r="K241" s="89" t="b">
        <v>0</v>
      </c>
      <c r="L241" s="89" t="b">
        <v>0</v>
      </c>
    </row>
    <row r="242" spans="1:12" ht="15">
      <c r="A242" s="86" t="s">
        <v>861</v>
      </c>
      <c r="B242" s="89" t="s">
        <v>862</v>
      </c>
      <c r="C242" s="89">
        <v>2</v>
      </c>
      <c r="D242" s="94">
        <v>0.008483279399679789</v>
      </c>
      <c r="E242" s="94">
        <v>1.8603380065709938</v>
      </c>
      <c r="F242" s="89" t="s">
        <v>318</v>
      </c>
      <c r="G242" s="89" t="b">
        <v>0</v>
      </c>
      <c r="H242" s="89" t="b">
        <v>0</v>
      </c>
      <c r="I242" s="89" t="b">
        <v>0</v>
      </c>
      <c r="J242" s="89" t="b">
        <v>0</v>
      </c>
      <c r="K242" s="89" t="b">
        <v>0</v>
      </c>
      <c r="L242" s="89" t="b">
        <v>0</v>
      </c>
    </row>
    <row r="243" spans="1:12" ht="15">
      <c r="A243" s="86" t="s">
        <v>862</v>
      </c>
      <c r="B243" s="89" t="s">
        <v>365</v>
      </c>
      <c r="C243" s="89">
        <v>2</v>
      </c>
      <c r="D243" s="94">
        <v>0.008483279399679789</v>
      </c>
      <c r="E243" s="94">
        <v>1.8603380065709938</v>
      </c>
      <c r="F243" s="89" t="s">
        <v>318</v>
      </c>
      <c r="G243" s="89" t="b">
        <v>0</v>
      </c>
      <c r="H243" s="89" t="b">
        <v>0</v>
      </c>
      <c r="I243" s="89" t="b">
        <v>0</v>
      </c>
      <c r="J243" s="89" t="b">
        <v>0</v>
      </c>
      <c r="K243" s="89" t="b">
        <v>0</v>
      </c>
      <c r="L243" s="89" t="b">
        <v>0</v>
      </c>
    </row>
    <row r="244" spans="1:12" ht="15">
      <c r="A244" s="86" t="s">
        <v>365</v>
      </c>
      <c r="B244" s="89" t="s">
        <v>863</v>
      </c>
      <c r="C244" s="89">
        <v>2</v>
      </c>
      <c r="D244" s="94">
        <v>0.008483279399679789</v>
      </c>
      <c r="E244" s="94">
        <v>1.8603380065709938</v>
      </c>
      <c r="F244" s="89" t="s">
        <v>318</v>
      </c>
      <c r="G244" s="89" t="b">
        <v>0</v>
      </c>
      <c r="H244" s="89" t="b">
        <v>0</v>
      </c>
      <c r="I244" s="89" t="b">
        <v>0</v>
      </c>
      <c r="J244" s="89" t="b">
        <v>0</v>
      </c>
      <c r="K244" s="89" t="b">
        <v>0</v>
      </c>
      <c r="L244" s="89" t="b">
        <v>0</v>
      </c>
    </row>
    <row r="245" spans="1:12" ht="15">
      <c r="A245" s="86" t="s">
        <v>863</v>
      </c>
      <c r="B245" s="89" t="s">
        <v>370</v>
      </c>
      <c r="C245" s="89">
        <v>2</v>
      </c>
      <c r="D245" s="94">
        <v>0.008483279399679789</v>
      </c>
      <c r="E245" s="94">
        <v>1.8603380065709938</v>
      </c>
      <c r="F245" s="89" t="s">
        <v>318</v>
      </c>
      <c r="G245" s="89" t="b">
        <v>0</v>
      </c>
      <c r="H245" s="89" t="b">
        <v>0</v>
      </c>
      <c r="I245" s="89" t="b">
        <v>0</v>
      </c>
      <c r="J245" s="89" t="b">
        <v>0</v>
      </c>
      <c r="K245" s="89" t="b">
        <v>0</v>
      </c>
      <c r="L245" s="89" t="b">
        <v>0</v>
      </c>
    </row>
    <row r="246" spans="1:12" ht="15">
      <c r="A246" s="86" t="s">
        <v>370</v>
      </c>
      <c r="B246" s="89" t="s">
        <v>369</v>
      </c>
      <c r="C246" s="89">
        <v>2</v>
      </c>
      <c r="D246" s="94">
        <v>0.008483279399679789</v>
      </c>
      <c r="E246" s="94">
        <v>1.3832167518513312</v>
      </c>
      <c r="F246" s="89" t="s">
        <v>318</v>
      </c>
      <c r="G246" s="89" t="b">
        <v>0</v>
      </c>
      <c r="H246" s="89" t="b">
        <v>0</v>
      </c>
      <c r="I246" s="89" t="b">
        <v>0</v>
      </c>
      <c r="J246" s="89" t="b">
        <v>1</v>
      </c>
      <c r="K246" s="89" t="b">
        <v>0</v>
      </c>
      <c r="L246" s="89" t="b">
        <v>0</v>
      </c>
    </row>
    <row r="247" spans="1:12" ht="15">
      <c r="A247" s="86" t="s">
        <v>800</v>
      </c>
      <c r="B247" s="89" t="s">
        <v>355</v>
      </c>
      <c r="C247" s="89">
        <v>2</v>
      </c>
      <c r="D247" s="94">
        <v>0.008483279399679789</v>
      </c>
      <c r="E247" s="94">
        <v>1.2582780152430313</v>
      </c>
      <c r="F247" s="89" t="s">
        <v>318</v>
      </c>
      <c r="G247" s="89" t="b">
        <v>0</v>
      </c>
      <c r="H247" s="89" t="b">
        <v>0</v>
      </c>
      <c r="I247" s="89" t="b">
        <v>0</v>
      </c>
      <c r="J247" s="89" t="b">
        <v>1</v>
      </c>
      <c r="K247" s="89" t="b">
        <v>0</v>
      </c>
      <c r="L247" s="89" t="b">
        <v>0</v>
      </c>
    </row>
    <row r="248" spans="1:12" ht="15">
      <c r="A248" s="86" t="s">
        <v>355</v>
      </c>
      <c r="B248" s="89" t="s">
        <v>864</v>
      </c>
      <c r="C248" s="89">
        <v>2</v>
      </c>
      <c r="D248" s="94">
        <v>0.008483279399679789</v>
      </c>
      <c r="E248" s="94">
        <v>1.8603380065709938</v>
      </c>
      <c r="F248" s="89" t="s">
        <v>318</v>
      </c>
      <c r="G248" s="89" t="b">
        <v>1</v>
      </c>
      <c r="H248" s="89" t="b">
        <v>0</v>
      </c>
      <c r="I248" s="89" t="b">
        <v>0</v>
      </c>
      <c r="J248" s="89" t="b">
        <v>0</v>
      </c>
      <c r="K248" s="89" t="b">
        <v>0</v>
      </c>
      <c r="L248" s="89" t="b">
        <v>0</v>
      </c>
    </row>
    <row r="249" spans="1:12" ht="15">
      <c r="A249" s="86" t="s">
        <v>864</v>
      </c>
      <c r="B249" s="89" t="s">
        <v>350</v>
      </c>
      <c r="C249" s="89">
        <v>2</v>
      </c>
      <c r="D249" s="94">
        <v>0.008483279399679789</v>
      </c>
      <c r="E249" s="94">
        <v>1.8603380065709938</v>
      </c>
      <c r="F249" s="89" t="s">
        <v>318</v>
      </c>
      <c r="G249" s="89" t="b">
        <v>0</v>
      </c>
      <c r="H249" s="89" t="b">
        <v>0</v>
      </c>
      <c r="I249" s="89" t="b">
        <v>0</v>
      </c>
      <c r="J249" s="89" t="b">
        <v>0</v>
      </c>
      <c r="K249" s="89" t="b">
        <v>0</v>
      </c>
      <c r="L249" s="89" t="b">
        <v>0</v>
      </c>
    </row>
    <row r="250" spans="1:12" ht="15">
      <c r="A250" s="86" t="s">
        <v>350</v>
      </c>
      <c r="B250" s="89" t="s">
        <v>865</v>
      </c>
      <c r="C250" s="89">
        <v>2</v>
      </c>
      <c r="D250" s="94">
        <v>0.008483279399679789</v>
      </c>
      <c r="E250" s="94">
        <v>1.8603380065709938</v>
      </c>
      <c r="F250" s="89" t="s">
        <v>318</v>
      </c>
      <c r="G250" s="89" t="b">
        <v>0</v>
      </c>
      <c r="H250" s="89" t="b">
        <v>0</v>
      </c>
      <c r="I250" s="89" t="b">
        <v>0</v>
      </c>
      <c r="J250" s="89" t="b">
        <v>0</v>
      </c>
      <c r="K250" s="89" t="b">
        <v>0</v>
      </c>
      <c r="L250" s="89" t="b">
        <v>0</v>
      </c>
    </row>
    <row r="251" spans="1:12" ht="15">
      <c r="A251" s="86" t="s">
        <v>865</v>
      </c>
      <c r="B251" s="89" t="s">
        <v>823</v>
      </c>
      <c r="C251" s="89">
        <v>2</v>
      </c>
      <c r="D251" s="94">
        <v>0.008483279399679789</v>
      </c>
      <c r="E251" s="94">
        <v>1.6842467475153124</v>
      </c>
      <c r="F251" s="89" t="s">
        <v>318</v>
      </c>
      <c r="G251" s="89" t="b">
        <v>0</v>
      </c>
      <c r="H251" s="89" t="b">
        <v>0</v>
      </c>
      <c r="I251" s="89" t="b">
        <v>0</v>
      </c>
      <c r="J251" s="89" t="b">
        <v>0</v>
      </c>
      <c r="K251" s="89" t="b">
        <v>0</v>
      </c>
      <c r="L251" s="89" t="b">
        <v>0</v>
      </c>
    </row>
    <row r="252" spans="1:12" ht="15">
      <c r="A252" s="86" t="s">
        <v>823</v>
      </c>
      <c r="B252" s="89" t="s">
        <v>801</v>
      </c>
      <c r="C252" s="89">
        <v>2</v>
      </c>
      <c r="D252" s="94">
        <v>0.008483279399679789</v>
      </c>
      <c r="E252" s="94">
        <v>1.1401787031650368</v>
      </c>
      <c r="F252" s="89" t="s">
        <v>318</v>
      </c>
      <c r="G252" s="89" t="b">
        <v>0</v>
      </c>
      <c r="H252" s="89" t="b">
        <v>0</v>
      </c>
      <c r="I252" s="89" t="b">
        <v>0</v>
      </c>
      <c r="J252" s="89" t="b">
        <v>0</v>
      </c>
      <c r="K252" s="89" t="b">
        <v>0</v>
      </c>
      <c r="L252" s="89" t="b">
        <v>0</v>
      </c>
    </row>
    <row r="253" spans="1:12" ht="15">
      <c r="A253" s="86" t="s">
        <v>797</v>
      </c>
      <c r="B253" s="89" t="s">
        <v>808</v>
      </c>
      <c r="C253" s="89">
        <v>2</v>
      </c>
      <c r="D253" s="94">
        <v>0.008483279399679789</v>
      </c>
      <c r="E253" s="94">
        <v>1.3832167518513312</v>
      </c>
      <c r="F253" s="89" t="s">
        <v>318</v>
      </c>
      <c r="G253" s="89" t="b">
        <v>0</v>
      </c>
      <c r="H253" s="89" t="b">
        <v>0</v>
      </c>
      <c r="I253" s="89" t="b">
        <v>0</v>
      </c>
      <c r="J253" s="89" t="b">
        <v>0</v>
      </c>
      <c r="K253" s="89" t="b">
        <v>0</v>
      </c>
      <c r="L253" s="89" t="b">
        <v>0</v>
      </c>
    </row>
    <row r="254" spans="1:12" ht="15">
      <c r="A254" s="86" t="s">
        <v>824</v>
      </c>
      <c r="B254" s="89" t="s">
        <v>797</v>
      </c>
      <c r="C254" s="89">
        <v>2</v>
      </c>
      <c r="D254" s="94">
        <v>0.008483279399679789</v>
      </c>
      <c r="E254" s="94">
        <v>1.031034233739969</v>
      </c>
      <c r="F254" s="89" t="s">
        <v>318</v>
      </c>
      <c r="G254" s="89" t="b">
        <v>0</v>
      </c>
      <c r="H254" s="89" t="b">
        <v>0</v>
      </c>
      <c r="I254" s="89" t="b">
        <v>0</v>
      </c>
      <c r="J254" s="89" t="b">
        <v>0</v>
      </c>
      <c r="K254" s="89" t="b">
        <v>0</v>
      </c>
      <c r="L254" s="89" t="b">
        <v>0</v>
      </c>
    </row>
    <row r="255" spans="1:12" ht="15">
      <c r="A255" s="86" t="s">
        <v>361</v>
      </c>
      <c r="B255" s="89" t="s">
        <v>833</v>
      </c>
      <c r="C255" s="89">
        <v>2</v>
      </c>
      <c r="D255" s="94">
        <v>0.006288973537702901</v>
      </c>
      <c r="E255" s="94">
        <v>1.423245873936808</v>
      </c>
      <c r="F255" s="89" t="s">
        <v>321</v>
      </c>
      <c r="G255" s="89" t="b">
        <v>1</v>
      </c>
      <c r="H255" s="89" t="b">
        <v>0</v>
      </c>
      <c r="I255" s="89" t="b">
        <v>0</v>
      </c>
      <c r="J255" s="89" t="b">
        <v>0</v>
      </c>
      <c r="K255" s="89" t="b">
        <v>0</v>
      </c>
      <c r="L255" s="89" t="b">
        <v>0</v>
      </c>
    </row>
    <row r="256" spans="1:12" ht="15">
      <c r="A256" s="86" t="s">
        <v>833</v>
      </c>
      <c r="B256" s="89" t="s">
        <v>799</v>
      </c>
      <c r="C256" s="89">
        <v>2</v>
      </c>
      <c r="D256" s="94">
        <v>0.006288973537702901</v>
      </c>
      <c r="E256" s="94">
        <v>1.1222158782728267</v>
      </c>
      <c r="F256" s="89" t="s">
        <v>321</v>
      </c>
      <c r="G256" s="89" t="b">
        <v>0</v>
      </c>
      <c r="H256" s="89" t="b">
        <v>0</v>
      </c>
      <c r="I256" s="89" t="b">
        <v>0</v>
      </c>
      <c r="J256" s="89" t="b">
        <v>0</v>
      </c>
      <c r="K256" s="89" t="b">
        <v>0</v>
      </c>
      <c r="L256" s="89" t="b">
        <v>0</v>
      </c>
    </row>
    <row r="257" spans="1:12" ht="15">
      <c r="A257" s="86" t="s">
        <v>799</v>
      </c>
      <c r="B257" s="89" t="s">
        <v>834</v>
      </c>
      <c r="C257" s="89">
        <v>2</v>
      </c>
      <c r="D257" s="94">
        <v>0.006288973537702901</v>
      </c>
      <c r="E257" s="94">
        <v>1.1222158782728267</v>
      </c>
      <c r="F257" s="89" t="s">
        <v>321</v>
      </c>
      <c r="G257" s="89" t="b">
        <v>0</v>
      </c>
      <c r="H257" s="89" t="b">
        <v>0</v>
      </c>
      <c r="I257" s="89" t="b">
        <v>0</v>
      </c>
      <c r="J257" s="89" t="b">
        <v>0</v>
      </c>
      <c r="K257" s="89" t="b">
        <v>0</v>
      </c>
      <c r="L257" s="89" t="b">
        <v>0</v>
      </c>
    </row>
    <row r="258" spans="1:12" ht="15">
      <c r="A258" s="86" t="s">
        <v>834</v>
      </c>
      <c r="B258" s="89" t="s">
        <v>360</v>
      </c>
      <c r="C258" s="89">
        <v>2</v>
      </c>
      <c r="D258" s="94">
        <v>0.006288973537702901</v>
      </c>
      <c r="E258" s="94">
        <v>1.423245873936808</v>
      </c>
      <c r="F258" s="89" t="s">
        <v>321</v>
      </c>
      <c r="G258" s="89" t="b">
        <v>0</v>
      </c>
      <c r="H258" s="89" t="b">
        <v>0</v>
      </c>
      <c r="I258" s="89" t="b">
        <v>0</v>
      </c>
      <c r="J258" s="89" t="b">
        <v>0</v>
      </c>
      <c r="K258" s="89" t="b">
        <v>0</v>
      </c>
      <c r="L258" s="89" t="b">
        <v>0</v>
      </c>
    </row>
    <row r="259" spans="1:12" ht="15">
      <c r="A259" s="86" t="s">
        <v>360</v>
      </c>
      <c r="B259" s="89" t="s">
        <v>357</v>
      </c>
      <c r="C259" s="89">
        <v>2</v>
      </c>
      <c r="D259" s="94">
        <v>0.006288973537702901</v>
      </c>
      <c r="E259" s="94">
        <v>1.423245873936808</v>
      </c>
      <c r="F259" s="89" t="s">
        <v>321</v>
      </c>
      <c r="G259" s="89" t="b">
        <v>0</v>
      </c>
      <c r="H259" s="89" t="b">
        <v>0</v>
      </c>
      <c r="I259" s="89" t="b">
        <v>0</v>
      </c>
      <c r="J259" s="89" t="b">
        <v>0</v>
      </c>
      <c r="K259" s="89" t="b">
        <v>0</v>
      </c>
      <c r="L259" s="89" t="b">
        <v>0</v>
      </c>
    </row>
    <row r="260" spans="1:12" ht="15">
      <c r="A260" s="86" t="s">
        <v>357</v>
      </c>
      <c r="B260" s="89" t="s">
        <v>345</v>
      </c>
      <c r="C260" s="89">
        <v>2</v>
      </c>
      <c r="D260" s="94">
        <v>0.006288973537702901</v>
      </c>
      <c r="E260" s="94">
        <v>1.423245873936808</v>
      </c>
      <c r="F260" s="89" t="s">
        <v>321</v>
      </c>
      <c r="G260" s="89" t="b">
        <v>0</v>
      </c>
      <c r="H260" s="89" t="b">
        <v>0</v>
      </c>
      <c r="I260" s="89" t="b">
        <v>0</v>
      </c>
      <c r="J260" s="89" t="b">
        <v>0</v>
      </c>
      <c r="K260" s="89" t="b">
        <v>0</v>
      </c>
      <c r="L260" s="89" t="b">
        <v>0</v>
      </c>
    </row>
    <row r="261" spans="1:12" ht="15">
      <c r="A261" s="86" t="s">
        <v>345</v>
      </c>
      <c r="B261" s="89" t="s">
        <v>835</v>
      </c>
      <c r="C261" s="89">
        <v>2</v>
      </c>
      <c r="D261" s="94">
        <v>0.006288973537702901</v>
      </c>
      <c r="E261" s="94">
        <v>1.423245873936808</v>
      </c>
      <c r="F261" s="89" t="s">
        <v>321</v>
      </c>
      <c r="G261" s="89" t="b">
        <v>0</v>
      </c>
      <c r="H261" s="89" t="b">
        <v>0</v>
      </c>
      <c r="I261" s="89" t="b">
        <v>0</v>
      </c>
      <c r="J261" s="89" t="b">
        <v>0</v>
      </c>
      <c r="K261" s="89" t="b">
        <v>0</v>
      </c>
      <c r="L261" s="89" t="b">
        <v>0</v>
      </c>
    </row>
    <row r="262" spans="1:12" ht="15">
      <c r="A262" s="86" t="s">
        <v>835</v>
      </c>
      <c r="B262" s="89" t="s">
        <v>799</v>
      </c>
      <c r="C262" s="89">
        <v>2</v>
      </c>
      <c r="D262" s="94">
        <v>0.006288973537702901</v>
      </c>
      <c r="E262" s="94">
        <v>1.1222158782728267</v>
      </c>
      <c r="F262" s="89" t="s">
        <v>321</v>
      </c>
      <c r="G262" s="89" t="b">
        <v>0</v>
      </c>
      <c r="H262" s="89" t="b">
        <v>0</v>
      </c>
      <c r="I262" s="89" t="b">
        <v>0</v>
      </c>
      <c r="J262" s="89" t="b">
        <v>0</v>
      </c>
      <c r="K262" s="89" t="b">
        <v>0</v>
      </c>
      <c r="L262" s="89" t="b">
        <v>0</v>
      </c>
    </row>
    <row r="263" spans="1:12" ht="15">
      <c r="A263" s="86" t="s">
        <v>799</v>
      </c>
      <c r="B263" s="89" t="s">
        <v>836</v>
      </c>
      <c r="C263" s="89">
        <v>2</v>
      </c>
      <c r="D263" s="94">
        <v>0.006288973537702901</v>
      </c>
      <c r="E263" s="94">
        <v>1.1222158782728267</v>
      </c>
      <c r="F263" s="89" t="s">
        <v>321</v>
      </c>
      <c r="G263" s="89" t="b">
        <v>0</v>
      </c>
      <c r="H263" s="89" t="b">
        <v>0</v>
      </c>
      <c r="I263" s="89" t="b">
        <v>0</v>
      </c>
      <c r="J263" s="89" t="b">
        <v>0</v>
      </c>
      <c r="K263" s="89" t="b">
        <v>0</v>
      </c>
      <c r="L263" s="89" t="b">
        <v>0</v>
      </c>
    </row>
    <row r="264" spans="1:12" ht="15">
      <c r="A264" s="86" t="s">
        <v>836</v>
      </c>
      <c r="B264" s="89" t="s">
        <v>309</v>
      </c>
      <c r="C264" s="89">
        <v>2</v>
      </c>
      <c r="D264" s="94">
        <v>0.006288973537702901</v>
      </c>
      <c r="E264" s="94">
        <v>1.423245873936808</v>
      </c>
      <c r="F264" s="89" t="s">
        <v>321</v>
      </c>
      <c r="G264" s="89" t="b">
        <v>0</v>
      </c>
      <c r="H264" s="89" t="b">
        <v>0</v>
      </c>
      <c r="I264" s="89" t="b">
        <v>0</v>
      </c>
      <c r="J264" s="89" t="b">
        <v>0</v>
      </c>
      <c r="K264" s="89" t="b">
        <v>0</v>
      </c>
      <c r="L264" s="89" t="b">
        <v>0</v>
      </c>
    </row>
    <row r="265" spans="1:12" ht="15">
      <c r="A265" s="86" t="s">
        <v>309</v>
      </c>
      <c r="B265" s="89" t="s">
        <v>837</v>
      </c>
      <c r="C265" s="89">
        <v>2</v>
      </c>
      <c r="D265" s="94">
        <v>0.006288973537702901</v>
      </c>
      <c r="E265" s="94">
        <v>1.423245873936808</v>
      </c>
      <c r="F265" s="89" t="s">
        <v>321</v>
      </c>
      <c r="G265" s="89" t="b">
        <v>0</v>
      </c>
      <c r="H265" s="89" t="b">
        <v>0</v>
      </c>
      <c r="I265" s="89" t="b">
        <v>0</v>
      </c>
      <c r="J265" s="89" t="b">
        <v>0</v>
      </c>
      <c r="K265" s="89" t="b">
        <v>0</v>
      </c>
      <c r="L265" s="89" t="b">
        <v>0</v>
      </c>
    </row>
    <row r="266" spans="1:12" ht="15">
      <c r="A266" s="86" t="s">
        <v>837</v>
      </c>
      <c r="B266" s="89" t="s">
        <v>838</v>
      </c>
      <c r="C266" s="89">
        <v>2</v>
      </c>
      <c r="D266" s="94">
        <v>0.006288973537702901</v>
      </c>
      <c r="E266" s="94">
        <v>1.423245873936808</v>
      </c>
      <c r="F266" s="89" t="s">
        <v>321</v>
      </c>
      <c r="G266" s="89" t="b">
        <v>0</v>
      </c>
      <c r="H266" s="89" t="b">
        <v>0</v>
      </c>
      <c r="I266" s="89" t="b">
        <v>0</v>
      </c>
      <c r="J266" s="89" t="b">
        <v>0</v>
      </c>
      <c r="K266" s="89" t="b">
        <v>0</v>
      </c>
      <c r="L266" s="89" t="b">
        <v>0</v>
      </c>
    </row>
    <row r="267" spans="1:12" ht="15">
      <c r="A267" s="86" t="s">
        <v>838</v>
      </c>
      <c r="B267" s="89" t="s">
        <v>839</v>
      </c>
      <c r="C267" s="89">
        <v>2</v>
      </c>
      <c r="D267" s="94">
        <v>0.006288973537702901</v>
      </c>
      <c r="E267" s="94">
        <v>1.423245873936808</v>
      </c>
      <c r="F267" s="89" t="s">
        <v>321</v>
      </c>
      <c r="G267" s="89" t="b">
        <v>0</v>
      </c>
      <c r="H267" s="89" t="b">
        <v>0</v>
      </c>
      <c r="I267" s="89" t="b">
        <v>0</v>
      </c>
      <c r="J267" s="89" t="b">
        <v>0</v>
      </c>
      <c r="K267" s="89" t="b">
        <v>0</v>
      </c>
      <c r="L267" s="89" t="b">
        <v>0</v>
      </c>
    </row>
    <row r="268" spans="1:12" ht="15">
      <c r="A268" s="86" t="s">
        <v>839</v>
      </c>
      <c r="B268" s="89" t="s">
        <v>797</v>
      </c>
      <c r="C268" s="89">
        <v>2</v>
      </c>
      <c r="D268" s="94">
        <v>0.006288973537702901</v>
      </c>
      <c r="E268" s="94">
        <v>1.2471546148811266</v>
      </c>
      <c r="F268" s="89" t="s">
        <v>321</v>
      </c>
      <c r="G268" s="89" t="b">
        <v>0</v>
      </c>
      <c r="H268" s="89" t="b">
        <v>0</v>
      </c>
      <c r="I268" s="89" t="b">
        <v>0</v>
      </c>
      <c r="J268" s="89" t="b">
        <v>0</v>
      </c>
      <c r="K268" s="89" t="b">
        <v>0</v>
      </c>
      <c r="L268" s="89" t="b">
        <v>0</v>
      </c>
    </row>
    <row r="269" spans="1:12" ht="15">
      <c r="A269" s="86" t="s">
        <v>797</v>
      </c>
      <c r="B269" s="89" t="s">
        <v>814</v>
      </c>
      <c r="C269" s="89">
        <v>2</v>
      </c>
      <c r="D269" s="94">
        <v>0.006288973537702901</v>
      </c>
      <c r="E269" s="94">
        <v>1.2471546148811266</v>
      </c>
      <c r="F269" s="89" t="s">
        <v>321</v>
      </c>
      <c r="G269" s="89" t="b">
        <v>0</v>
      </c>
      <c r="H269" s="89" t="b">
        <v>0</v>
      </c>
      <c r="I269" s="89" t="b">
        <v>0</v>
      </c>
      <c r="J269" s="89" t="b">
        <v>0</v>
      </c>
      <c r="K269" s="89" t="b">
        <v>0</v>
      </c>
      <c r="L269" s="89" t="b">
        <v>0</v>
      </c>
    </row>
    <row r="270" spans="1:12" ht="15">
      <c r="A270" s="86" t="s">
        <v>814</v>
      </c>
      <c r="B270" s="89" t="s">
        <v>840</v>
      </c>
      <c r="C270" s="89">
        <v>2</v>
      </c>
      <c r="D270" s="94">
        <v>0.006288973537702901</v>
      </c>
      <c r="E270" s="94">
        <v>1.2471546148811266</v>
      </c>
      <c r="F270" s="89" t="s">
        <v>321</v>
      </c>
      <c r="G270" s="89" t="b">
        <v>0</v>
      </c>
      <c r="H270" s="89" t="b">
        <v>0</v>
      </c>
      <c r="I270" s="89" t="b">
        <v>0</v>
      </c>
      <c r="J270" s="89" t="b">
        <v>0</v>
      </c>
      <c r="K270" s="89" t="b">
        <v>0</v>
      </c>
      <c r="L270" s="89" t="b">
        <v>0</v>
      </c>
    </row>
    <row r="271" spans="1:12" ht="15">
      <c r="A271" s="86" t="s">
        <v>840</v>
      </c>
      <c r="B271" s="89" t="s">
        <v>841</v>
      </c>
      <c r="C271" s="89">
        <v>2</v>
      </c>
      <c r="D271" s="94">
        <v>0.006288973537702901</v>
      </c>
      <c r="E271" s="94">
        <v>1.423245873936808</v>
      </c>
      <c r="F271" s="89" t="s">
        <v>321</v>
      </c>
      <c r="G271" s="89" t="b">
        <v>0</v>
      </c>
      <c r="H271" s="89" t="b">
        <v>0</v>
      </c>
      <c r="I271" s="89" t="b">
        <v>0</v>
      </c>
      <c r="J271" s="89" t="b">
        <v>0</v>
      </c>
      <c r="K271" s="89" t="b">
        <v>0</v>
      </c>
      <c r="L271" s="89" t="b">
        <v>0</v>
      </c>
    </row>
    <row r="272" spans="1:12" ht="15">
      <c r="A272" s="86" t="s">
        <v>841</v>
      </c>
      <c r="B272" s="89" t="s">
        <v>805</v>
      </c>
      <c r="C272" s="89">
        <v>2</v>
      </c>
      <c r="D272" s="94">
        <v>0.006288973537702901</v>
      </c>
      <c r="E272" s="94">
        <v>1.423245873936808</v>
      </c>
      <c r="F272" s="89" t="s">
        <v>321</v>
      </c>
      <c r="G272" s="89" t="b">
        <v>0</v>
      </c>
      <c r="H272" s="89" t="b">
        <v>0</v>
      </c>
      <c r="I272" s="89" t="b">
        <v>0</v>
      </c>
      <c r="J272" s="89" t="b">
        <v>0</v>
      </c>
      <c r="K272" s="89" t="b">
        <v>0</v>
      </c>
      <c r="L272"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CF4672-5C7C-4403-BA30-261F6ECEC16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2022-05-17T00:44:32Z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