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35700" yWindow="2832" windowWidth="17280" windowHeight="888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Edges" sheetId="18" state="hidden" r:id="rId14"/>
    <sheet name="Time Series" sheetId="19" r:id="rId15"/>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<sst xmlns="http://schemas.openxmlformats.org/spreadsheetml/2006/main" count="6763" uniqueCount="997">
  <si>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</si>
  <si>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</si>
  <si>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</si>
  <si>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</si>
  <si>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</si>
  <si>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</si>
  <si>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</si>
  <si>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</si>
  <si>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</si>
  <si>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</si>
  <si>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</si>
  <si>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</si>
  <si>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</si>
  <si>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</si>
  <si>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</si>
  <si>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</si>
  <si>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</si>
  <si>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</si>
  <si>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</si>
  <si>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</si>
  <si>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</si>
  <si>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</si>
  <si>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</si>
  <si>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</si>
  <si>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</si>
  <si>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</si>
  <si>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</si>
  <si>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</si>
  <si>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</si>
  <si>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</si>
  <si>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</si>
  <si>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</si>
  <si>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</si>
  <si>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</si>
  <si>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</si>
  <si>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</si>
  <si>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</si>
  <si>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</si>
  <si>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</si>
  <si>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</si>
  <si>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</si>
  <si>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</si>
  <si>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</si>
  <si>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</si>
  <si>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</si>
  <si>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</si>
  <si>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</si>
  <si>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</si>
  <si>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</si>
  <si>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</si>
  <si>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</si>
  <si>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</si>
  <si>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</si>
  <si>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</si>
  <si>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</si>
  <si>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</si>
  <si>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</si>
  <si>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</si>
  <si>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</si>
  <si>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</si>
  <si>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</si>
  <si>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</si>
  <si>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</si>
  <si>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</si>
  <si>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</si>
  <si>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</si>
  <si>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</si>
  <si>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</si>
  <si>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</si>
  <si>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</si>
  <si>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</si>
  <si>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</si>
  <si>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</si>
  <si>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</si>
  <si>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</si>
  <si>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</si>
  <si>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</si>
  <si>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</si>
  <si>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</si>
  <si>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</si>
  <si>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</si>
  <si>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</si>
  <si>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</si>
  <si>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</si>
  <si>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</si>
  <si>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</si>
  <si>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</si>
  <si>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</si>
  <si>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</si>
  <si>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</si>
  <si>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</si>
  <si>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</si>
  <si>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</si>
  <si>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</si>
  <si>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</si>
  <si>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</si>
  <si>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</si>
  <si>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</si>
  <si>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</si>
  <si>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</si>
  <si>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</si>
  <si>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</si>
  <si>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</si>
  <si>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</si>
  <si>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</si>
  <si>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</si>
  <si>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</si>
  <si>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</si>
  <si>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</si>
  <si>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</si>
  <si>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</si>
  <si>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</si>
  <si>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</si>
  <si>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</si>
  <si>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</si>
  <si>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</si>
  <si>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</si>
  <si>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</si>
  <si>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</si>
  <si>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</si>
  <si>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</si>
  <si>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</si>
  <si>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</si>
  <si>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</si>
  <si>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</si>
  <si>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</si>
  <si>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</si>
  <si>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</si>
  <si>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</si>
  <si>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</si>
  <si>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</si>
  <si>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</si>
  <si>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</si>
  <si>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</si>
  <si>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</si>
  <si>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</si>
  <si>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</si>
  <si>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</si>
  <si>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</si>
  <si>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</si>
  <si>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</si>
  <si>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</si>
  <si>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</si>
  <si>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</si>
  <si>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</si>
  <si>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</si>
  <si>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</si>
  <si>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</si>
  <si>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</si>
  <si>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</si>
  <si>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</si>
  <si>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</si>
  <si>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</si>
  <si>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</si>
  <si>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</si>
  <si>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</si>
  <si>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</si>
  <si>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</si>
  <si>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</si>
  <si>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</si>
  <si>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</si>
  <si>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</si>
  <si>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</si>
  <si>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</si>
  <si>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</si>
  <si>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</si>
  <si>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</si>
  <si>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</si>
  <si>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</si>
  <si>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</si>
  <si>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</si>
  <si>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</si>
  <si>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</si>
  <si>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</si>
  <si>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name="AutomateTasksDialog2" type="System.Configuration.ClientSettingsSection, Syst</t>
  </si>
  <si>
    <t>Workbook Settings 2</t>
  </si>
  <si>
    <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t>
  </si>
  <si>
    <t>Workbook Settings 3</t>
  </si>
  <si>
    <t>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t>
  </si>
  <si>
    <t>Workbook Settings 4</t>
  </si>
  <si>
    <t xml:space="preserv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t>
  </si>
  <si>
    <t>Workbook Settings 5</t>
  </si>
  <si>
    <t xml:space="preserve">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t>
  </si>
  <si>
    <t>Workbook Settings 6</t>
  </si>
  <si>
    <t>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t>
  </si>
  <si>
    <t>Workbook Settings 7</t>
  </si>
  <si>
    <t>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t>
  </si>
  <si>
    <t>Workbook Settings 8</t>
  </si>
  <si>
    <t>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t>
  </si>
  <si>
    <t>Workbook Settings 9</t>
  </si>
  <si>
    <t xml:space="preserve">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t>
  </si>
  <si>
    <t>Workbook Settings 10</t>
  </si>
  <si>
    <t xml:space="preserve">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t>
  </si>
  <si>
    <t>Workbook Settings 11</t>
  </si>
  <si>
    <t xml:space="preserve">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t>
  </si>
  <si>
    <t>Workbook Settings 12</t>
  </si>
  <si>
    <t xml:space="preserve">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t>
  </si>
  <si>
    <t>Workbook Settings 13</t>
  </si>
  <si>
    <t>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t>
  </si>
  <si>
    <t>Workbook Settings 14</t>
  </si>
  <si>
    <t>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t>
  </si>
  <si>
    <t>Workbook Settings 15</t>
  </si>
  <si>
    <t xml:space="preserve">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
  </si>
  <si>
    <t>Workbook Settings 16</t>
  </si>
  <si>
    <t>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t>
  </si>
  <si>
    <t>Workbook Settings 17</t>
  </si>
  <si>
    <t>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
  </si>
  <si>
    <t>Workbook Settings 18</t>
  </si>
  <si>
    <t>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t>
  </si>
  <si>
    <t>Workbook Settings 19</t>
  </si>
  <si>
    <t>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&lt;value&gt;C:\Users\Space Lab\Desktop&lt;/value&gt;
      &lt;/setting&gt;
    &lt;/Au</t>
  </si>
  <si>
    <t>Workbook Settings 20</t>
  </si>
  <si>
    <t>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t>
  </si>
  <si>
    <t>Workbook Settings 21</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</si>
  <si>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</si>
  <si>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</si>
  <si>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</si>
  <si>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</si>
  <si>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</si>
  <si>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</si>
  <si>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</si>
  <si>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</si>
  <si>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</si>
  <si>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</si>
  <si>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</si>
  <si>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</si>
  <si>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</si>
  <si>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</si>
  <si>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</si>
  <si>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</si>
  <si>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</si>
  <si>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</si>
  <si>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</si>
  <si>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</si>
  <si>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</si>
  <si>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</si>
  <si>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</si>
  <si>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</si>
  <si>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</si>
  <si>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</si>
  <si>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</si>
  <si>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</si>
  <si>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</si>
  <si>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</si>
  <si>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</si>
  <si>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</si>
  <si>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</si>
  <si>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</si>
  <si>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</si>
  <si>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</si>
  <si>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</si>
  <si>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</si>
  <si>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</si>
  <si>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</si>
  <si>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</si>
  <si>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</si>
  <si>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theconsultant18</t>
  </si>
  <si>
    <t>_chloeswarbrick</t>
  </si>
  <si>
    <t>jacindaardern</t>
  </si>
  <si>
    <t>mfatnz</t>
  </si>
  <si>
    <t>nzpol</t>
  </si>
  <si>
    <t>Mentions</t>
  </si>
  <si>
    <t>Replies to</t>
  </si>
  <si>
    <t>Retweet</t>
  </si>
  <si>
    <t>MentionsInRetweet</t>
  </si>
  <si>
    <t>twitter.com</t>
  </si>
  <si>
    <t>co.nz</t>
  </si>
  <si>
    <t/>
  </si>
  <si>
    <t>en</t>
  </si>
  <si>
    <t>und</t>
  </si>
  <si>
    <t>Twitter Web App</t>
  </si>
  <si>
    <t>Twitter for iPhone</t>
  </si>
  <si>
    <t>Twitter for Android</t>
  </si>
  <si>
    <t>New Zealand</t>
  </si>
  <si>
    <t>Auckland, New Zealand</t>
  </si>
  <si>
    <t>Wellington City, New Zealand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</si>
  <si>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</si>
  <si>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</si>
  <si>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</si>
  <si>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</si>
  <si>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</si>
  <si>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</si>
  <si>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</si>
  <si>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</si>
  <si>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</si>
  <si>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</si>
  <si>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</si>
  <si>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</si>
  <si>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</si>
  <si>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</si>
  <si>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</si>
  <si>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</si>
  <si>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</si>
  <si>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</si>
  <si>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</si>
  <si>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</si>
  <si>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</si>
  <si>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</si>
  <si>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Chlöe Swarbrick</t>
  </si>
  <si>
    <t>Jacinda Ardern</t>
  </si>
  <si>
    <t>The Consultant</t>
  </si>
  <si>
    <t>New Zealand Ministry of Foreign Affairs &amp; Trade</t>
  </si>
  <si>
    <t>229711860</t>
  </si>
  <si>
    <t>22959763</t>
  </si>
  <si>
    <t>873882053871374336</t>
  </si>
  <si>
    <t>1611641605</t>
  </si>
  <si>
    <t>@NZGreens MP for Auckland Central. Housing is a human right. Pls email, can’t keep up with DMs.  #AuthorisedBy C Swarbrick, 76 Karangahape Rd</t>
  </si>
  <si>
    <t>Prime Minister of NZ. Leader @nzlabour. Won't tweet what I ate for breakfast-make no promises beyond that. Authorised by Timothy Grigg 160 Willis St, Wellington</t>
  </si>
  <si>
    <t>Analyst,
Commenter,
Seeking truth in a world of confusion,
You never know who's watching,
The back story is always the real story.</t>
  </si>
  <si>
    <t>_xD83C__xDDF3__xD83C__xDDFF_ Kia hangai ake e te Manatū Aorere he ao-haumaru, ao-tōnui, ao-pūmau, ki te oranga tonutanga mo Aotearoa whānui. Tikanga: https://t.co/IRUsMXE0gd</t>
  </si>
  <si>
    <t>Aotearoa New Zealand</t>
  </si>
  <si>
    <t>Sydney, New South Wales</t>
  </si>
  <si>
    <t>Tāmaki Makaurau, Auckland</t>
  </si>
  <si>
    <t>Wellington</t>
  </si>
  <si>
    <t xml:space="preserve">New Zealand _xD83C__xDDF3__xD83C__xDDFF_  UK _xD83C__xDDEC__xD83C__xDDE7_ </t>
  </si>
  <si>
    <t>Open Twitter Page for This Person</t>
  </si>
  <si>
    <t xml:space="preserve">_chloeswarbrick
</t>
  </si>
  <si>
    <t xml:space="preserve">jacindaardern
</t>
  </si>
  <si>
    <t xml:space="preserve">mfatnz
</t>
  </si>
  <si>
    <t>Directed</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</si>
  <si>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</si>
  <si>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</si>
  <si>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</si>
  <si>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</si>
  <si>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</si>
  <si>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</si>
  <si>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</si>
  <si>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</si>
  <si>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</si>
  <si>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</si>
  <si>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</si>
  <si>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</si>
  <si>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</si>
  <si>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</si>
  <si>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</si>
  <si>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</si>
  <si>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</si>
  <si>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</si>
  <si>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</si>
  <si>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</si>
  <si>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</si>
  <si>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nz</t>
  </si>
  <si>
    <t>government</t>
  </si>
  <si>
    <t>more</t>
  </si>
  <si>
    <t>minister</t>
  </si>
  <si>
    <t>left</t>
  </si>
  <si>
    <t>believe</t>
  </si>
  <si>
    <t>policy</t>
  </si>
  <si>
    <t>great</t>
  </si>
  <si>
    <t>zealand</t>
  </si>
  <si>
    <t>getting</t>
  </si>
  <si>
    <t>against</t>
  </si>
  <si>
    <t>killing</t>
  </si>
  <si>
    <t>politics</t>
  </si>
  <si>
    <t>breaking</t>
  </si>
  <si>
    <t>re</t>
  </si>
  <si>
    <t>still</t>
  </si>
  <si>
    <t>having</t>
  </si>
  <si>
    <t>gone</t>
  </si>
  <si>
    <t>again</t>
  </si>
  <si>
    <t>paid</t>
  </si>
  <si>
    <t>students</t>
  </si>
  <si>
    <t>pm</t>
  </si>
  <si>
    <t>justice</t>
  </si>
  <si>
    <t>truth</t>
  </si>
  <si>
    <t>plan</t>
  </si>
  <si>
    <t>once</t>
  </si>
  <si>
    <t>months</t>
  </si>
  <si>
    <t>till</t>
  </si>
  <si>
    <t>visas</t>
  </si>
  <si>
    <t>refused</t>
  </si>
  <si>
    <t>2022</t>
  </si>
  <si>
    <t>divide</t>
  </si>
  <si>
    <t>thousands</t>
  </si>
  <si>
    <t>australian</t>
  </si>
  <si>
    <t>applied</t>
  </si>
  <si>
    <t>australia</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</si>
  <si>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</si>
  <si>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</si>
  <si>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</si>
  <si>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</si>
  <si>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</si>
  <si>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</si>
  <si>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</si>
  <si>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</si>
  <si>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</si>
  <si>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</si>
  <si>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</si>
  <si>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</si>
  <si>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</si>
  <si>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</si>
  <si>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</si>
  <si>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</si>
  <si>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</si>
  <si>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</si>
  <si>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</si>
  <si>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</si>
  <si>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</si>
  <si>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</si>
  <si>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</si>
  <si>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</si>
  <si>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</si>
  <si>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</si>
  <si>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</si>
  <si>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</si>
  <si>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</si>
  <si>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</si>
  <si>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</si>
  <si>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</si>
  <si>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</si>
  <si>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</si>
  <si>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</si>
  <si>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</si>
  <si>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</si>
  <si>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</si>
  <si>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</si>
  <si>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</si>
  <si>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</si>
  <si>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</si>
  <si>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</si>
  <si>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</si>
  <si>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</si>
  <si>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</si>
  <si>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</si>
  <si>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</si>
  <si>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</si>
  <si>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</si>
  <si>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</si>
  <si>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</si>
  <si>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</si>
  <si>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</si>
  <si>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</si>
  <si>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</si>
  <si>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</si>
  <si>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</si>
  <si>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</si>
  <si>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</si>
  <si>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</si>
  <si>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</si>
  <si>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</si>
  <si>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</si>
  <si>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</si>
  <si>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</si>
  <si>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</si>
  <si>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</si>
  <si>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</si>
  <si>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</si>
  <si>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</si>
  <si>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</si>
  <si>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</si>
  <si>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</si>
  <si>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</si>
  <si>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</si>
  <si>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</si>
  <si>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</si>
  <si>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</si>
  <si>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</si>
  <si>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</si>
  <si>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</si>
  <si>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</si>
  <si>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</si>
  <si>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</si>
  <si>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</si>
  <si>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</si>
  <si>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</si>
  <si>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</si>
  <si>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</si>
  <si>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</si>
  <si>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</si>
  <si>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</si>
  <si>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</si>
  <si>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</si>
  <si>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</si>
  <si>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</si>
  <si>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</si>
  <si>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</si>
  <si>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</si>
  <si>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</si>
  <si>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</si>
  <si>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</si>
  <si>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</si>
  <si>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</si>
  <si>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</si>
  <si>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</si>
  <si>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</si>
  <si>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</si>
  <si>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</si>
  <si>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</si>
  <si>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</si>
  <si>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</si>
  <si>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</si>
  <si>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</si>
  <si>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</si>
  <si>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</si>
  <si>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</si>
  <si>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</si>
  <si>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</si>
  <si>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</si>
  <si>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</si>
  <si>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</si>
  <si>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</si>
  <si>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</si>
  <si>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</si>
  <si>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</si>
  <si>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Relationship Date (UTC)</t>
  </si>
  <si>
    <t>Row Labels</t>
  </si>
  <si>
    <t>Grand Total</t>
  </si>
  <si>
    <t>May</t>
  </si>
  <si>
    <t>11-May</t>
  </si>
  <si>
    <t>12-May</t>
  </si>
  <si>
    <t>13-May</t>
  </si>
  <si>
    <t>14-May</t>
  </si>
  <si>
    <t>16-May</t>
  </si>
  <si>
    <t>128, 128, 128</t>
  </si>
  <si>
    <t>Red</t>
  </si>
  <si>
    <t>TwitterSearch</t>
  </si>
  <si>
    <t>The graph was laid out using the Harel-Koren Fast Multiscale layout algorithm.</t>
  </si>
  <si>
    <t>The graph's vertices were grouped by cluster using the Clauset-Newman-Moore cluster algorithm.</t>
  </si>
  <si>
    <t>sureshk01547631</t>
  </si>
  <si>
    <t>krisinmana</t>
  </si>
  <si>
    <t>mbiegovtnz</t>
  </si>
  <si>
    <t>nzlabour</t>
  </si>
  <si>
    <t>204154654</t>
  </si>
  <si>
    <t>532682706</t>
  </si>
  <si>
    <t>Kris Faafoi Mana</t>
  </si>
  <si>
    <t>MBIE</t>
  </si>
  <si>
    <t>Suresh Kumar</t>
  </si>
  <si>
    <t>New Zealand Labour</t>
  </si>
  <si>
    <t>1447801595836567556</t>
  </si>
  <si>
    <t>15466126</t>
  </si>
  <si>
    <t>Proud to be the MP for Mana. Authorised by Kris Faafoi, 6 Hartham Place, Porirua.</t>
  </si>
  <si>
    <t>The official Twitter feed for New Zealand's Ministry of Business, Innovation and Employment. We're here 9-5 weekdays NZT. Terms of use https://t.co/CJGcBgaB0T</t>
  </si>
  <si>
    <t>Let's keep moving →
Authorised by Rob Salmond, 160 Willis St, Wellington.</t>
  </si>
  <si>
    <t xml:space="preserve">krisinmana
</t>
  </si>
  <si>
    <t xml:space="preserve">mbiegovtnz
</t>
  </si>
  <si>
    <t xml:space="preserve">nzlabour
</t>
  </si>
  <si>
    <t>immigration</t>
  </si>
  <si>
    <t>visa</t>
  </si>
  <si>
    <t>migrants</t>
  </si>
  <si>
    <t>harveen57162832</t>
  </si>
  <si>
    <t>preetmohan20</t>
  </si>
  <si>
    <t>arshdee51860094</t>
  </si>
  <si>
    <t>kulvirkaurdhil4</t>
  </si>
  <si>
    <t>sahilpa45483022</t>
  </si>
  <si>
    <t>simranj59927871</t>
  </si>
  <si>
    <t>pathruduabilash</t>
  </si>
  <si>
    <t>bains_gurpinder</t>
  </si>
  <si>
    <t>satvirsohi5</t>
  </si>
  <si>
    <t>fenilsavani</t>
  </si>
  <si>
    <t>reenapu64276812</t>
  </si>
  <si>
    <t>kannumix</t>
  </si>
  <si>
    <t>vlhtt</t>
  </si>
  <si>
    <t>manidee33889398</t>
  </si>
  <si>
    <t>pen2vivek</t>
  </si>
  <si>
    <t>jatinde45666597</t>
  </si>
  <si>
    <t>hardikp59369014</t>
  </si>
  <si>
    <t>bumrahgarry</t>
  </si>
  <si>
    <t>kulbir51059784</t>
  </si>
  <si>
    <t>hargurpreetkau4</t>
  </si>
  <si>
    <t>letusbacktonz</t>
  </si>
  <si>
    <t>ericastanfordmp</t>
  </si>
  <si>
    <t>ssidhugurpreet</t>
  </si>
  <si>
    <t>gurisydney</t>
  </si>
  <si>
    <t>smartkiwis</t>
  </si>
  <si>
    <t>drsjaishankar</t>
  </si>
  <si>
    <t>scottmorrisonmp</t>
  </si>
  <si>
    <t>meaindia</t>
  </si>
  <si>
    <t>nzinindia</t>
  </si>
  <si>
    <t>nzparliament</t>
  </si>
  <si>
    <t>unhumanrights</t>
  </si>
  <si>
    <t>nzhumanrights</t>
  </si>
  <si>
    <t>judithcollinsmp</t>
  </si>
  <si>
    <t>nicolawillismp</t>
  </si>
  <si>
    <t>rmarchnz</t>
  </si>
  <si>
    <t>nznationalparty</t>
  </si>
  <si>
    <t>chrisluxonmp</t>
  </si>
  <si>
    <t>chrishipkins</t>
  </si>
  <si>
    <t>grantrobertson1</t>
  </si>
  <si>
    <t>dileepa_fonseka</t>
  </si>
  <si>
    <t>nzgreens</t>
  </si>
  <si>
    <t>_xD83E__xDD2C_Shameless, Senseless, and Heartless.
NZ PM @jacindaardern and INZ Minister @KrisinMana are now playing dirty politics with Innocent Offshore Migrants.
_xD83D__xDD1D_Divide the migrants is still the No. 1 Policy.
Once again #Discriminate against migrants and didn't extend offshore visas. https://t.co/FxjOEsWtgU</t>
  </si>
  <si>
    <t>_xD83E__xDD2F_ After killing thousands of Dreams, Careers, and Innocent Souls, here is New Zealand Immigration Minister @KrisinMana still not having a plan for offshore migrants.
Could you believe he is also Justice Minister of NZ.
However, 26 months gone and Injustice is still there _xD83D__xDE35_‍_xD83D__xDCAB_ https://t.co/r99HaBOgLP</t>
  </si>
  <si>
    <t>@LetusbacktoNZ @MBIEgovtnz Bitter truth _xD83D__xDC94_</t>
  </si>
  <si>
    <t>@LetusbacktoNZ I am also stuck due to lockdown till now, even I applied for visa extension and had paid and all other expenses but even then they refused my visa….</t>
  </si>
  <si>
    <t>@LetusbacktoNZ Who said Australian government extended the visa??</t>
  </si>
  <si>
    <t>100% True✅
Asians who paid thousands for Edu. fees and taxes are still getting limbo while European-American Working Holiday Visa holders are getting Visa Extension
#Inhumane: 26 months gone and he has no plan for Innocent Offshore Migrants. @MBIEgovtnz
https://t.co/E5gJiW5m4x</t>
  </si>
  <si>
    <t>@jacindaardern @nzlabour @KrisinMana @grantrobertson1 @chrishipkins @chrisluxonmp @NZNationalParty @RMarchNZ @NZGreens @NicolaWillisMP @JudithCollinsMP @EricaStanfordMP @NZHumanRights @UNHumanRights @NZParliament @MFATNZ @NZinIndia @MEAIndia @ScottMorrisonMP @DrSJaishankar https://t.co/ay7c4IIzFy</t>
  </si>
  <si>
    <t>Not a reset. Not a rebalance. Not even a re-tweak. The immigration announcement yestersay was a spit and polish of the status quo with more left unsaid than was said. Great from @dileepa_fonseka https://t.co/d7T5j2ymk0</t>
  </si>
  <si>
    <t>@LetusbacktoNZ That’s not for students bro…</t>
  </si>
  <si>
    <t>@Gurisydney Australia replaced the visas, which is the same thing as extending the visas for 2 years.
https://t.co/8027xcykCt</t>
  </si>
  <si>
    <t>@Gurisydney Students and Migrants are different, we are fighting for the Migrants who had valid visas and NZ Gov. blocked them on tha name of #COVID19</t>
  </si>
  <si>
    <t>Australia and Canada extended visas to Offshore Stuck Migrants who lost visas due to lockdown.
New Zealand on the other hand, has not given any clear statement.
NZ PM Jacinda Arden &amp;amp; INZ Minister Kris Faffoi wasted 26 Months of Innocent Migrants.
#shame
https://t.co/mWhFoMUIt2</t>
  </si>
  <si>
    <t>Dataviz of hashtags @nzgreens 
Top hashtags:
#nzpol -45
#climateaction-34
#breaking -16
#nzgreens -14
#climatechange -8
#climatechangenow -8
Influencers
@nzgreens
@theconsultant18
@nzlabour
@_chloeswarbrick
@letusbacktonz
https://t.co/9forVuDVvd</t>
  </si>
  <si>
    <t>https://www.newshub.co.nz/home/politics/2022/05/green-party-co-leader-marama-davidson-slams-government-s-new-immigration-policies-labels-them-racist-inhumane-and-discriminatory.html?cid=soc3%3Anewshubfb&amp;fbclid=IwAR3bXR4HspOrRRMRqByv9DhUnsp1gOrtf2pCfYOt7eM5fBx3UdmAOpEGcFQ</t>
  </si>
  <si>
    <t>mondaq.com</t>
  </si>
  <si>
    <t>nodexlgraphgallery.org</t>
  </si>
  <si>
    <t>discriminate</t>
  </si>
  <si>
    <t>inhumane</t>
  </si>
  <si>
    <t>covid19</t>
  </si>
  <si>
    <t>shame</t>
  </si>
  <si>
    <t>nzpol climateaction breaking nzgreens climatechange climatechangenow</t>
  </si>
  <si>
    <t>04:57:28</t>
  </si>
  <si>
    <t>05:00:21</t>
  </si>
  <si>
    <t>05:12:45</t>
  </si>
  <si>
    <t>05:13:22</t>
  </si>
  <si>
    <t>12:40:04</t>
  </si>
  <si>
    <t>13:12:59</t>
  </si>
  <si>
    <t>13:13:11</t>
  </si>
  <si>
    <t>18:42:12</t>
  </si>
  <si>
    <t>07:21:31</t>
  </si>
  <si>
    <t>01:15:18</t>
  </si>
  <si>
    <t>05:36:36</t>
  </si>
  <si>
    <t>01:38:09</t>
  </si>
  <si>
    <t>02:02:39</t>
  </si>
  <si>
    <t>02:02:48</t>
  </si>
  <si>
    <t>05:08:19</t>
  </si>
  <si>
    <t>04:33:51</t>
  </si>
  <si>
    <t>04:56:33</t>
  </si>
  <si>
    <t>04:56:50</t>
  </si>
  <si>
    <t>05:35:16</t>
  </si>
  <si>
    <t>05:35:21</t>
  </si>
  <si>
    <t>08:43:55</t>
  </si>
  <si>
    <t>14:48:03</t>
  </si>
  <si>
    <t>03:13:17</t>
  </si>
  <si>
    <t>11:27:49</t>
  </si>
  <si>
    <t>06:57:51</t>
  </si>
  <si>
    <t>11:47:26</t>
  </si>
  <si>
    <t>04:10:09</t>
  </si>
  <si>
    <t>08:31:50</t>
  </si>
  <si>
    <t>09:00:16</t>
  </si>
  <si>
    <t>04:44:08</t>
  </si>
  <si>
    <t>12:51:49</t>
  </si>
  <si>
    <t>05:57:24</t>
  </si>
  <si>
    <t>05:57:30</t>
  </si>
  <si>
    <t>04:53:57</t>
  </si>
  <si>
    <t>08:57:36</t>
  </si>
  <si>
    <t>07:05:40</t>
  </si>
  <si>
    <t>07:05:53</t>
  </si>
  <si>
    <t>05:31:59</t>
  </si>
  <si>
    <t>05:35:18</t>
  </si>
  <si>
    <t>06:26:45</t>
  </si>
  <si>
    <t>12:55:24</t>
  </si>
  <si>
    <t>04:39:57</t>
  </si>
  <si>
    <t>12:27:27</t>
  </si>
  <si>
    <t>12:40:24</t>
  </si>
  <si>
    <t>00:42:55</t>
  </si>
  <si>
    <t>00:44:12</t>
  </si>
  <si>
    <t>05:39:32</t>
  </si>
  <si>
    <t>05:40:38</t>
  </si>
  <si>
    <t>06:50:50</t>
  </si>
  <si>
    <t>05:43:26</t>
  </si>
  <si>
    <t>07:40:18</t>
  </si>
  <si>
    <t>00:45:25</t>
  </si>
  <si>
    <t>05:13:29</t>
  </si>
  <si>
    <t>19:31:46</t>
  </si>
  <si>
    <t>1524252326029971456</t>
  </si>
  <si>
    <t>1524253050113646593</t>
  </si>
  <si>
    <t>1524256174153281536</t>
  </si>
  <si>
    <t>1524256327886794754</t>
  </si>
  <si>
    <t>1524368741751918592</t>
  </si>
  <si>
    <t>1524377029289791489</t>
  </si>
  <si>
    <t>1524377076651814912</t>
  </si>
  <si>
    <t>1524459877162053632</t>
  </si>
  <si>
    <t>1524288578758475776</t>
  </si>
  <si>
    <t>1524558803768729600</t>
  </si>
  <si>
    <t>1524262175203676160</t>
  </si>
  <si>
    <t>1524564554965225472</t>
  </si>
  <si>
    <t>1524570721917476865</t>
  </si>
  <si>
    <t>1524570756797321218</t>
  </si>
  <si>
    <t>1524255057029758976</t>
  </si>
  <si>
    <t>1524608769178890240</t>
  </si>
  <si>
    <t>1524614483087290368</t>
  </si>
  <si>
    <t>1524614554621161478</t>
  </si>
  <si>
    <t>1524624226463801344</t>
  </si>
  <si>
    <t>1524624246126759936</t>
  </si>
  <si>
    <t>1524671700838797312</t>
  </si>
  <si>
    <t>1524763337711828992</t>
  </si>
  <si>
    <t>1524950883259547648</t>
  </si>
  <si>
    <t>1524350561193463808</t>
  </si>
  <si>
    <t>1525007396992536577</t>
  </si>
  <si>
    <t>1524355496316391424</t>
  </si>
  <si>
    <t>1524602805578649600</t>
  </si>
  <si>
    <t>1524668661138882566</t>
  </si>
  <si>
    <t>1525038206667870209</t>
  </si>
  <si>
    <t>1524248969043673088</t>
  </si>
  <si>
    <t>1524371701240598528</t>
  </si>
  <si>
    <t>1525354574462083073</t>
  </si>
  <si>
    <t>1525354596113084416</t>
  </si>
  <si>
    <t>1524251440260460544</t>
  </si>
  <si>
    <t>1524675147508031488</t>
  </si>
  <si>
    <t>1525371752292880384</t>
  </si>
  <si>
    <t>1525371807032692736</t>
  </si>
  <si>
    <t>1524623401868214272</t>
  </si>
  <si>
    <t>1524624235989442561</t>
  </si>
  <si>
    <t>1524637184011120641</t>
  </si>
  <si>
    <t>1524734992089497600</t>
  </si>
  <si>
    <t>1524247919188389888</t>
  </si>
  <si>
    <t>1524365566693486592</t>
  </si>
  <si>
    <t>1524368825562836992</t>
  </si>
  <si>
    <t>1526000207132930048</t>
  </si>
  <si>
    <t>1526000528181694464</t>
  </si>
  <si>
    <t>1525350074842480640</t>
  </si>
  <si>
    <t>1525350352807403520</t>
  </si>
  <si>
    <t>1525368017634201601</t>
  </si>
  <si>
    <t>1525351058729742341</t>
  </si>
  <si>
    <t>1525380469281415168</t>
  </si>
  <si>
    <t>1526000834928005121</t>
  </si>
  <si>
    <t>1525343522484011009</t>
  </si>
  <si>
    <t>1526284290048159744</t>
  </si>
  <si>
    <t>1364641667282657281</t>
  </si>
  <si>
    <t>1285251567487049728</t>
  </si>
  <si>
    <t>NZOffshoreMigrants</t>
  </si>
  <si>
    <t>Preet Mohan</t>
  </si>
  <si>
    <t>deep singh</t>
  </si>
  <si>
    <t>Kulvir Kaur Dhillon</t>
  </si>
  <si>
    <t>Sahil Panwar</t>
  </si>
  <si>
    <t>sam</t>
  </si>
  <si>
    <t>abilash pathrudu</t>
  </si>
  <si>
    <t>Gurpinder Bains</t>
  </si>
  <si>
    <t>satvir sohi</t>
  </si>
  <si>
    <t>Fenil savani</t>
  </si>
  <si>
    <t>reena puri</t>
  </si>
  <si>
    <t>Sandeep Malik</t>
  </si>
  <si>
    <t>Vin</t>
  </si>
  <si>
    <t>Manideep</t>
  </si>
  <si>
    <t>vivek Sharma_xD83C__xDF8B_</t>
  </si>
  <si>
    <t>jatinder singh</t>
  </si>
  <si>
    <t>Hardik Prajapati</t>
  </si>
  <si>
    <t>Garry Bumrah</t>
  </si>
  <si>
    <t>Kulbir</t>
  </si>
  <si>
    <t>Gurpreet singh</t>
  </si>
  <si>
    <t>Hargurpreet kaur</t>
  </si>
  <si>
    <t>Dr. S. Jaishankar</t>
  </si>
  <si>
    <t>Scott Morrison</t>
  </si>
  <si>
    <t>Arindam Bagchi</t>
  </si>
  <si>
    <t>NZ in India</t>
  </si>
  <si>
    <t>NZ Parliament</t>
  </si>
  <si>
    <t>UN Human Rights</t>
  </si>
  <si>
    <t>NZ Human Rights Commission</t>
  </si>
  <si>
    <t>Judith Collins</t>
  </si>
  <si>
    <t>Nicola Willis</t>
  </si>
  <si>
    <t>Ricardo Menéndez</t>
  </si>
  <si>
    <t>NZ National Party</t>
  </si>
  <si>
    <t>Christopher Luxon</t>
  </si>
  <si>
    <t>Chris Hipkins</t>
  </si>
  <si>
    <t>Grant Robertson</t>
  </si>
  <si>
    <t>Erica Stanford MP</t>
  </si>
  <si>
    <t>Dileepa Fonseka</t>
  </si>
  <si>
    <t>Gurpreet Singh Sidhu</t>
  </si>
  <si>
    <t>Green Party NZ</t>
  </si>
  <si>
    <t>Smart Kiwi</t>
  </si>
  <si>
    <t>Harveen</t>
  </si>
  <si>
    <t>1339165439839019008</t>
  </si>
  <si>
    <t>1258415438393942018</t>
  </si>
  <si>
    <t>1366335738271309826</t>
  </si>
  <si>
    <t>1333862925191106560</t>
  </si>
  <si>
    <t>1295754987662843906</t>
  </si>
  <si>
    <t>3182098772</t>
  </si>
  <si>
    <t>704838484163301376</t>
  </si>
  <si>
    <t>1296831213093740545</t>
  </si>
  <si>
    <t>972952234240569349</t>
  </si>
  <si>
    <t>1258408174077370370</t>
  </si>
  <si>
    <t>780575006</t>
  </si>
  <si>
    <t>946374152</t>
  </si>
  <si>
    <t>1298547941850808321</t>
  </si>
  <si>
    <t>1429017226573537285</t>
  </si>
  <si>
    <t>1295748297529884673</t>
  </si>
  <si>
    <t>1092567027879821312</t>
  </si>
  <si>
    <t>1357225629603794944</t>
  </si>
  <si>
    <t>1495240613221965824</t>
  </si>
  <si>
    <t>1504517216775340034</t>
  </si>
  <si>
    <t>859363899291742210</t>
  </si>
  <si>
    <t>34116377</t>
  </si>
  <si>
    <t>441636351</t>
  </si>
  <si>
    <t>3003011065</t>
  </si>
  <si>
    <t>15470058</t>
  </si>
  <si>
    <t>69231187</t>
  </si>
  <si>
    <t>2300664583</t>
  </si>
  <si>
    <t>756227808</t>
  </si>
  <si>
    <t>421375843</t>
  </si>
  <si>
    <t>745599511960051712</t>
  </si>
  <si>
    <t>18996642</t>
  </si>
  <si>
    <t>1180976032658014209</t>
  </si>
  <si>
    <t>25754056</t>
  </si>
  <si>
    <t>24149001</t>
  </si>
  <si>
    <t>1002990314</t>
  </si>
  <si>
    <t>844377336082419713</t>
  </si>
  <si>
    <t>1366791561598676994</t>
  </si>
  <si>
    <t>20424235</t>
  </si>
  <si>
    <t>2664297194</t>
  </si>
  <si>
    <t>1472957803086196740</t>
  </si>
  <si>
    <t>Raise the voice for Justice, Rights, and Equality for the New Zealand Offshore Migrants.
Double standard of NZ Gov &amp; INZ destroying careers and dreams everyday.</t>
  </si>
  <si>
    <t>ਮੈਂ ਬਣਨਾ ਚਾਹੁੰਦਾ ਜੂਲੀਅਨ ਅਸਾਂਝੇ!!</t>
  </si>
  <si>
    <t>Electrical &amp; Electronics engineer_xD83C__xDF93_ • Tech ßlogger_xD83D__xDCBB_ • Sportsman_xD83C__xDFCF_⚽️ • Travel &amp; Explore_xD83C__xDFD6_ • ße yourself, the world will adjust.._xD83D__xDE0E_</t>
  </si>
  <si>
    <t>I bred Only English Mastiff breed.</t>
  </si>
  <si>
    <t>ig @intkwi</t>
  </si>
  <si>
    <t>Power is a dangerous thing it attracts the worst and corrupts the best _xD83C__xDDEE__xD83C__xDDF3_</t>
  </si>
  <si>
    <t>Love ...Help....laugh...1313....Be Good ...Do Good....Be One.._xD83D__xDE0A_</t>
  </si>
  <si>
    <t>Karama believer</t>
  </si>
  <si>
    <t>Diesel mechanic.             Never Stop Being who You Truely Are Just To Impress some people That aren’t who they truely are..............._xD83E__xDD19__xD83C__xDFFB_ read that again.</t>
  </si>
  <si>
    <t>Love ❤ makes you even stronger _xD83D__xDCAA_ in hard times</t>
  </si>
  <si>
    <t>PB 39 wale,     _xD83D__xDC7B_gurpreet_0846</t>
  </si>
  <si>
    <t>External Affairs Minister of India. Member of Parliament (Rajya Sabha) from Gujarat State.</t>
  </si>
  <si>
    <t>Prime Minister of Australia and Federal Member for Cook. Authorised by S. Morrison, Liberal Party, Canberra.</t>
  </si>
  <si>
    <t>Official Spokesperson, Ministry of External Affairs, India. #Alert : #Passport issues may kindly be addressed to → @CPVIndia @passportsevamea</t>
  </si>
  <si>
    <t>The New Zealand High Commission in New Delhi advances New Zealand's interests in India, Bangladesh and Nepal.</t>
  </si>
  <si>
    <t>Official account of the NZ House of Representatives, bringing you news &amp; info about how to get involved. Online Mon-Fri, 9am-5pm. RTs &amp; follows ≠endorsements.</t>
  </si>
  <si>
    <t>The United Nations #HumanRights office is led by High Commissioner @MBachelet. Follow us on FB, IG &amp; Tiktok at unitednationshumanrights. #StandUp4HumanRights</t>
  </si>
  <si>
    <t>We work for a free, fair, safe and just New Zealand, where diversity is valued and human dignity and rights are respected.</t>
  </si>
  <si>
    <t>Authorised by Hon Judith Collins, MP for Papakura, 98 Great South Rd, Papakura. Mother, Wife, Lawyer, Author._xD83C__xDDFA__xD83C__xDDE6_</t>
  </si>
  <si>
    <t>Mum of 4. Deputy Leader &amp; Finance Spokesperson of the NZ National Party. Wellingtonian. Authorised by Nicola Willis, 41 Pipitea St, Wgtn.</t>
  </si>
  <si>
    <t>@nzgreens MP. Climate &amp; economic justice yarns _xD83C__xDF49_ Auth’d by M Ross, 1/17 Garrett Street, WLG. he/him</t>
  </si>
  <si>
    <t>Leader @chrisluxonmp _xD83C__xDDF3__xD83C__xDDFF_ Authorised by W Durning, 41 Pipitea Street, Wellington.</t>
  </si>
  <si>
    <t>A husband, a father, a brother and a son. MP for Botany and Leader of the National Party.</t>
  </si>
  <si>
    <t>MP for Remutaka. Leader of the House. Minister of Education. Minister for the Public Service. Authorised by Rob Salmond, 160 Willis Street, Wellington</t>
  </si>
  <si>
    <t>Labour MP for Wellington Central, Deputy Prime Minister, Minister of Finance, Sport+Recreation+Racing, . Authorised by Timothy Grigg 160 Willis St, Wellington</t>
  </si>
  <si>
    <t>Member of Parliament for East Coast Bays. Spokesperson for Immigration &amp; Early Childhood Education. Authorised by Erica Stanford 85 Beachfront Lane, Browns Bay.</t>
  </si>
  <si>
    <t>Senior business reporter @NZStuff looking into everything that’s interesting! Ex-press gallery @NewsroomNZ, ex-council reporter @dompost, ex-Stuff Auckland</t>
  </si>
  <si>
    <t>Explorer</t>
  </si>
  <si>
    <t>Green Party of Aotearoa New Zealand. Authorised by Miriam Ross, Level 1 / 17 Garrett Street, Wellington.</t>
  </si>
  <si>
    <t>Promoting transparent and constructive twitter dialogue through social media analysis and visualization #tweetsmart</t>
  </si>
  <si>
    <t>Burn your calories every day</t>
  </si>
  <si>
    <t>Te Puke</t>
  </si>
  <si>
    <t>Rohtak, Haryana</t>
  </si>
  <si>
    <t>New Delhi, India</t>
  </si>
  <si>
    <t>Canberra, Australia</t>
  </si>
  <si>
    <t>New Delhi</t>
  </si>
  <si>
    <t>Geneva, Switzerland</t>
  </si>
  <si>
    <t>Aotearoa, New Zealand</t>
  </si>
  <si>
    <t>Auth by C Luxon, Parl Bld, WLG</t>
  </si>
  <si>
    <t>East Coast Bays</t>
  </si>
  <si>
    <t>letusbacktonz
@Gurisydney Students and Migrants
are different, we are fighting
for the Migrants who had valid
visas and NZ Gov. blocked them
on tha name of #COVID19</t>
  </si>
  <si>
    <t>preetmohan20
_xD83E__xDD2C_Shameless, Senseless, and Heartless.
NZ PM @jacindaardern and INZ Minister
@KrisinMana are now playing dirty
politics with Innocent Offshore
Migrants. _xD83D__xDD1D_Divide the migrants
is still the No. 1 Policy. Once
again #Discriminate against migrants
and didn't extend offshore visas.
https://t.co/FxjOEsWtgU</t>
  </si>
  <si>
    <t>arshdee51860094
_xD83E__xDD2C_Shameless, Senseless, and Heartless.
NZ PM @jacindaardern and INZ Minister
@KrisinMana are now playing dirty
politics with Innocent Offshore
Migrants. _xD83D__xDD1D_Divide the migrants
is still the No. 1 Policy. Once
again #Discriminate against migrants
and didn't extend offshore visas.
https://t.co/FxjOEsWtgU</t>
  </si>
  <si>
    <t>kulvirkaurdhil4
_xD83E__xDD2C_Shameless, Senseless, and Heartless.
NZ PM @jacindaardern and INZ Minister
@KrisinMana are now playing dirty
politics with Innocent Offshore
Migrants. _xD83D__xDD1D_Divide the migrants
is still the No. 1 Policy. Once
again #Discriminate against migrants
and didn't extend offshore visas.
https://t.co/FxjOEsWtgU</t>
  </si>
  <si>
    <t>sahilpa45483022
_xD83E__xDD2C_Shameless, Senseless, and Heartless.
NZ PM @jacindaardern and INZ Minister
@KrisinMana are now playing dirty
politics with Innocent Offshore
Migrants. _xD83D__xDD1D_Divide the migrants
is still the No. 1 Policy. Once
again #Discriminate against migrants
and didn't extend offshore visas.
https://t.co/FxjOEsWtgU</t>
  </si>
  <si>
    <t>simranj59927871
_xD83E__xDD2C_Shameless, Senseless, and Heartless.
NZ PM @jacindaardern and INZ Minister
@KrisinMana are now playing dirty
politics with Innocent Offshore
Migrants. _xD83D__xDD1D_Divide the migrants
is still the No. 1 Policy. Once
again #Discriminate against migrants
and didn't extend offshore visas.
https://t.co/FxjOEsWtgU</t>
  </si>
  <si>
    <t>pathruduabilash
_xD83E__xDD2F_ After killing thousands of Dreams,
Careers, and Innocent Souls, here
is New Zealand Immigration Minister
@KrisinMana still not having a
plan for offshore migrants. Could
you believe he is also Justice
Minister of NZ. However, 26 months
gone and Injustice is still there
_xD83D__xDE35_‍_xD83D__xDCAB_ https://t.co/r99HaBOgLP</t>
  </si>
  <si>
    <t>bains_gurpinder
_xD83E__xDD2F_ After killing thousands of Dreams,
Careers, and Innocent Souls, here
is New Zealand Immigration Minister
@KrisinMana still not having a
plan for offshore migrants. Could
you believe he is also Justice
Minister of NZ. However, 26 months
gone and Injustice is still there
_xD83D__xDE35_‍_xD83D__xDCAB_ https://t.co/r99HaBOgLP</t>
  </si>
  <si>
    <t>sureshk01547631
_xD83E__xDD2F_ After killing thousands of Dreams,
Careers, and Innocent Souls, here
is New Zealand Immigration Minister
@KrisinMana still not having a
plan for offshore migrants. Could
you believe he is also Justice
Minister of NZ. However, 26 months
gone and Injustice is still there
_xD83D__xDE35_‍_xD83D__xDCAB_ https://t.co/r99HaBOgLP</t>
  </si>
  <si>
    <t>satvirsohi5
_xD83E__xDD2F_ After killing thousands of Dreams,
Careers, and Innocent Souls, here
is New Zealand Immigration Minister
@KrisinMana still not having a
plan for offshore migrants. Could
you believe he is also Justice
Minister of NZ. However, 26 months
gone and Injustice is still there
_xD83D__xDE35_‍_xD83D__xDCAB_ https://t.co/r99HaBOgLP</t>
  </si>
  <si>
    <t>fenilsavani
_xD83E__xDD2F_ After killing thousands of Dreams,
Careers, and Innocent Souls, here
is New Zealand Immigration Minister
@KrisinMana still not having a
plan for offshore migrants. Could
you believe he is also Justice
Minister of NZ. However, 26 months
gone and Injustice is still there
_xD83D__xDE35_‍_xD83D__xDCAB_ https://t.co/r99HaBOgLP</t>
  </si>
  <si>
    <t>reenapu64276812
_xD83E__xDD2C_Shameless, Senseless, and Heartless.
NZ PM @jacindaardern and INZ Minister
@KrisinMana are now playing dirty
politics with Innocent Offshore
Migrants. _xD83D__xDD1D_Divide the migrants
is still the No. 1 Policy. Once
again #Discriminate against migrants
and didn't extend offshore visas.
https://t.co/FxjOEsWtgU</t>
  </si>
  <si>
    <t>kannumix
_xD83E__xDD2F_ After killing thousands of Dreams,
Careers, and Innocent Souls, here
is New Zealand Immigration Minister
@KrisinMana still not having a
plan for offshore migrants. Could
you believe he is also Justice
Minister of NZ. However, 26 months
gone and Injustice is still there
_xD83D__xDE35_‍_xD83D__xDCAB_ https://t.co/r99HaBOgLP</t>
  </si>
  <si>
    <t>vlhtt
_xD83E__xDD2F_ After killing thousands of Dreams,
Careers, and Innocent Souls, here
is New Zealand Immigration Minister
@KrisinMana still not having a
plan for offshore migrants. Could
you believe he is also Justice
Minister of NZ. However, 26 months
gone and Injustice is still there
_xD83D__xDE35_‍_xD83D__xDCAB_ https://t.co/r99HaBOgLP</t>
  </si>
  <si>
    <t>manidee33889398
_xD83E__xDD2F_ After killing thousands of Dreams,
Careers, and Innocent Souls, here
is New Zealand Immigration Minister
@KrisinMana still not having a
plan for offshore migrants. Could
you believe he is also Justice
Minister of NZ. However, 26 months
gone and Injustice is still there
_xD83D__xDE35_‍_xD83D__xDCAB_ https://t.co/r99HaBOgLP</t>
  </si>
  <si>
    <t>pen2vivek
_xD83E__xDD2F_ After killing thousands of Dreams,
Careers, and Innocent Souls, here
is New Zealand Immigration Minister
@KrisinMana still not having a
plan for offshore migrants. Could
you believe he is also Justice
Minister of NZ. However, 26 months
gone and Injustice is still there
_xD83D__xDE35_‍_xD83D__xDCAB_ https://t.co/r99HaBOgLP</t>
  </si>
  <si>
    <t>jatinde45666597
_xD83E__xDD2F_ After killing thousands of Dreams,
Careers, and Innocent Souls, here
is New Zealand Immigration Minister
@KrisinMana still not having a
plan for offshore migrants. Could
you believe he is also Justice
Minister of NZ. However, 26 months
gone and Injustice is still there
_xD83D__xDE35_‍_xD83D__xDCAB_ https://t.co/r99HaBOgLP</t>
  </si>
  <si>
    <t>hardikp59369014
@LetusbacktoNZ @MBIEgovtnz Bitter
truth _xD83D__xDC94_</t>
  </si>
  <si>
    <t>bumrahgarry
@LetusbacktoNZ @MBIEgovtnz Bitter
truth _xD83D__xDC94_</t>
  </si>
  <si>
    <t>kulbir51059784
@LetusbacktoNZ Who said Australian
government extended the visa??</t>
  </si>
  <si>
    <t>gurisydney
@LetusbacktoNZ That’s not for students
bro…</t>
  </si>
  <si>
    <t>hargurpreetkau4
@LetusbacktoNZ Who said Australian
government extended the visa??</t>
  </si>
  <si>
    <t xml:space="preserve">drsjaishankar
</t>
  </si>
  <si>
    <t xml:space="preserve">scottmorrisonmp
</t>
  </si>
  <si>
    <t xml:space="preserve">meaindia
</t>
  </si>
  <si>
    <t xml:space="preserve">nzinindia
</t>
  </si>
  <si>
    <t xml:space="preserve">nzparliament
</t>
  </si>
  <si>
    <t xml:space="preserve">unhumanrights
</t>
  </si>
  <si>
    <t xml:space="preserve">nzhumanrights
</t>
  </si>
  <si>
    <t xml:space="preserve">judithcollinsmp
</t>
  </si>
  <si>
    <t xml:space="preserve">nicolawillismp
</t>
  </si>
  <si>
    <t xml:space="preserve">rmarchnz
</t>
  </si>
  <si>
    <t xml:space="preserve">nznationalparty
</t>
  </si>
  <si>
    <t xml:space="preserve">chrisluxonmp
</t>
  </si>
  <si>
    <t xml:space="preserve">chrishipkins
</t>
  </si>
  <si>
    <t xml:space="preserve">grantrobertson1
</t>
  </si>
  <si>
    <t>ericastanfordmp
Not a reset. Not a rebalance. Not
even a re-tweak. The immigration
announcement yestersay was a spit
and polish of the status quo with
more left unsaid than was said.
Great from @dileepa_fonseka https://t.co/d7T5j2ymk0</t>
  </si>
  <si>
    <t xml:space="preserve">dileepa_fonseka
</t>
  </si>
  <si>
    <t>ssidhugurpreet
@LetusbacktoNZ I am also stuck
due to lockdown till now, even
I applied for visa extension and
had paid and all other expenses
but even then they refused my visa….</t>
  </si>
  <si>
    <t xml:space="preserve">nzgreens
</t>
  </si>
  <si>
    <t>smartkiwis
Dataviz of hashtags @nzgreens Top
hashtags: #nzpol -45 #climateaction-34
#breaking -16 #nzgreens -14 #climatechange
-8 #climatechangenow -8 Influencers
@nzgreens @theconsultant18 @nzlabour
@_chloeswarbrick @letusbacktonz
https://t.co/9forVuDVvd</t>
  </si>
  <si>
    <t xml:space="preserve">theconsultant18
</t>
  </si>
  <si>
    <t>harveen57162832
_xD83E__xDD2C_Shameless, Senseless, and Heartless.
NZ PM @jacindaardern and INZ Minister
@KrisinMana are now playing dirty
politics with Innocent Offshore
Migrants. _xD83D__xDD1D_Divide the migrants
is still the No. 1 Policy. Once
again #Discriminate against migrants
and didn't extend offshore visas.
https://t.co/FxjOEsWtgU</t>
  </si>
  <si>
    <t>offshore</t>
  </si>
  <si>
    <t>innocent</t>
  </si>
  <si>
    <t>inz</t>
  </si>
  <si>
    <t>shameless</t>
  </si>
  <si>
    <t>senseless</t>
  </si>
  <si>
    <t>heartless</t>
  </si>
  <si>
    <t>playing</t>
  </si>
  <si>
    <t>dirty</t>
  </si>
  <si>
    <t>#discriminate</t>
  </si>
  <si>
    <t>extend</t>
  </si>
  <si>
    <t>26</t>
  </si>
  <si>
    <t>dreams</t>
  </si>
  <si>
    <t>careers</t>
  </si>
  <si>
    <t>souls</t>
  </si>
  <si>
    <t>injustice</t>
  </si>
  <si>
    <t>stuck</t>
  </si>
  <si>
    <t>due</t>
  </si>
  <si>
    <t>lockdown</t>
  </si>
  <si>
    <t>extension</t>
  </si>
  <si>
    <t>expenses</t>
  </si>
  <si>
    <t>extended</t>
  </si>
  <si>
    <t>hashtags</t>
  </si>
  <si>
    <t>reset</t>
  </si>
  <si>
    <t>rebalance</t>
  </si>
  <si>
    <t>tweak</t>
  </si>
  <si>
    <t>announcement</t>
  </si>
  <si>
    <t>yestersay</t>
  </si>
  <si>
    <t>spit</t>
  </si>
  <si>
    <t>polish</t>
  </si>
  <si>
    <t>status</t>
  </si>
  <si>
    <t>quo</t>
  </si>
  <si>
    <t>unsaid</t>
  </si>
  <si>
    <t>bitter</t>
  </si>
  <si>
    <t>https://www.stuff.co.nz/business/128606699/immigration-is-being-reset-back-to-where-we-started</t>
  </si>
  <si>
    <t>https://nodexlgraphgallery.org/Pages/Graph.aspx?graphID=276416</t>
  </si>
  <si>
    <t>https://twitter.com/LetusbacktoNZ/status/1524623401868214272</t>
  </si>
  <si>
    <t>https://www.mondaq.com/australia/work-visas/1164678/extension-of-subclass-485-489-491-494-visas-for-holders-impacted-by-australian-covid-19-border-closures</t>
  </si>
  <si>
    <t>https://www.indianweekender.co.nz/Pages/ArticleDetails/52/19649/Editorials/Why-govt-has-no-rationale-to-not-extend-expired-visas-of-migrant-workers-stuck?fbclid=IwAR2N6zafme4riiGzBLZrjOoQ2GFiFPa-YmoKXQrWtoZPkyviyXZRZBzs64k</t>
  </si>
  <si>
    <t>https://www.stuff.co.nz/business/128606699/immigration-is-being-reset-back-to-where-we-started https://twitter.com/LetusbacktoNZ/status/1524623401868214272 https://www.indianweekender.co.nz/Pages/ArticleDetails/52/19649/Editorials/Why-govt-has-no-rationale-to-not-extend-expired-visas-of-migrant-workers-stuck?fbclid=IwAR2N6zafme4riiGzBLZrjOoQ2GFiFPa-YmoKXQrWtoZPkyviyXZRZBzs64k https://www.newshub.co.nz/home/politics/2022/05/green-party-co-leader-marama-davidson-slams-government-s-new-immigration-policies-labels-them-racist-inhumane-and-discriminatory.html?cid=soc3%3Anewshubfb&amp;fbclid=IwAR3bXR4HspOrRRMRqByv9DhUnsp1gOrtf2pCfYOt7eM5fBx3UdmAOpEGcFQ https://www.mondaq.com/australia/work-visas/1164678/extension-of-subclass-485-489-491-494-visas-for-holders-impacted-by-australian-covid-19-border-closures</t>
  </si>
  <si>
    <t>co.nz twitter.com mondaq.com</t>
  </si>
  <si>
    <t>climateaction</t>
  </si>
  <si>
    <t>climatechange</t>
  </si>
  <si>
    <t>climatechangenow</t>
  </si>
  <si>
    <t>discriminate shame inhumane covid19</t>
  </si>
  <si>
    <t>migrants offshore minister still innocent krisinmana nz shameless senseless heartless</t>
  </si>
  <si>
    <t>migrants offshore visas innocent minister still nz krisinmana jacindaardern immigration</t>
  </si>
  <si>
    <t>hashtags nzgreens</t>
  </si>
  <si>
    <t>migrants minister offshore still letusbacktonz mbiegovtnz bitter truth nz krisinmana</t>
  </si>
  <si>
    <t>offshore,migrants</t>
  </si>
  <si>
    <t>minister,krisinmana</t>
  </si>
  <si>
    <t>nz,pm</t>
  </si>
  <si>
    <t>inz,minister</t>
  </si>
  <si>
    <t>innocent,offshore</t>
  </si>
  <si>
    <t>shameless,senseless</t>
  </si>
  <si>
    <t>senseless,heartless</t>
  </si>
  <si>
    <t>heartless,nz</t>
  </si>
  <si>
    <t>pm,jacindaardern</t>
  </si>
  <si>
    <t>jacindaardern,inz</t>
  </si>
  <si>
    <t>krisinmana,playing</t>
  </si>
  <si>
    <t>26,months</t>
  </si>
  <si>
    <t>months,gone</t>
  </si>
  <si>
    <t>letusbacktonz,mbiegovtnz</t>
  </si>
  <si>
    <t>mbiegovtnz,bitter</t>
  </si>
  <si>
    <t>bitter,truth</t>
  </si>
  <si>
    <t>minister,krisinmana  offshore,migrants  shameless,senseless  senseless,heartless  heartless,nz  nz,pm  pm,jacindaardern  jacindaardern,inz  inz,minister  krisinmana,playing</t>
  </si>
  <si>
    <t>offshore,migrants  minister,krisinmana  26,months  nz,pm  inz,minister  innocent,offshore  months,gone  shameless,senseless  senseless,heartless  heartless,nz</t>
  </si>
  <si>
    <t>letusbacktonz,mbiegovtnz  mbiegovtnz,bitter  bitter,truth  minister,krisinmana  offshore,migrants</t>
  </si>
  <si>
    <t>gurisydney jacindaardern</t>
  </si>
  <si>
    <t>krisinmana jacindaardern</t>
  </si>
  <si>
    <t>krisinmana jacindaardern dileepa_fonseka nzlabour grantrobertson1 chrishipkins chrisluxonmp nznationalparty rmarchnz nzgreens</t>
  </si>
  <si>
    <t>nzgreens theconsultant18 nzlabour _chloeswarbrick letusbacktonz</t>
  </si>
  <si>
    <t>mbiegovtnz krisinmana jacindaardern</t>
  </si>
  <si>
    <t>reenapu64276812 arshdee51860094 jacindaardern ssidhugurpreet pen2vivek simranj59927871 kannumix jatinde45666597 krisinmana fenilsavani</t>
  </si>
  <si>
    <t>meaindia unhumanrights nznationalparty judithcollinsmp grantrobertson1 scottmorrisonmp nzparliament nzhumanrights mfatnz rmarchnz</t>
  </si>
  <si>
    <t>theconsultant18 nzgreens nzlabour _chloeswarbrick smartkiwis</t>
  </si>
  <si>
    <t>mbiegovtnz bumrahgarry hardikp59369014</t>
  </si>
  <si>
    <t>https://twitter.com/LetusbacktoNZ/status/1524623401868214272 https://www.stuff.co.nz/business/128606699/immigration-is-being-reset-back-to-where-we-started https://www.mondaq.com/australia/work-visas/1164678/extension-of-subclass-485-489-491-494-visas-for-holders-impacted-by-australian-covid-19-border-closures https://www.newshub.co.nz/home/politics/2022/05/green-party-co-leader-marama-davidson-slams-government-s-new-immigration-policies-labels-them-racist-inhumane-and-discriminatory.html?cid=soc3%3Anewshubfb&amp;fbclid=IwAR3bXR4HspOrRRMRqByv9DhUnsp1gOrtf2pCfYOt7eM5fBx3UdmAOpEGcFQ https://www.indianweekender.co.nz/Pages/ArticleDetails/52/19649/Editorials/Why-govt-has-no-rationale-to-not-extend-expired-visas-of-migrant-workers-stuck?fbclid=IwAR2N6zafme4riiGzBLZrjOoQ2GFiFPa-YmoKXQrWtoZPkyviyXZRZBzs64k</t>
  </si>
  <si>
    <t>twitter.com mondaq.com co.nz</t>
  </si>
  <si>
    <t>discriminate covid19 inhumane shame</t>
  </si>
  <si>
    <t>migrants offshore shameless senseless heartless nz pm jacindaardern inz minister</t>
  </si>
  <si>
    <t>migrants visas offshore nz still innocent minister krisinmana jacindaardern 26</t>
  </si>
  <si>
    <t>migrants minister offshore still nz krisinmana innocent shameless senseless heartless</t>
  </si>
  <si>
    <t>minister still killing thousands dreams careers innocent souls zealand immigration</t>
  </si>
  <si>
    <t>migrants minister still offshore innocent krisinmana nz killing thousands dreams</t>
  </si>
  <si>
    <t>migrants minister still offshore innocent krisinmana nz mbiegovtnz bitter truth</t>
  </si>
  <si>
    <t>mbiegovtnz bitter truth</t>
  </si>
  <si>
    <t>migrants visa minister still offshore innocent krisinmana nz australian government</t>
  </si>
  <si>
    <t>visa students bro stuck due lockdown till applied extension paid</t>
  </si>
  <si>
    <t>reset rebalance re tweak immigration announcement yestersay spit polish status</t>
  </si>
  <si>
    <t>migrants minister offshore still visa nz krisinmana innocent stuck due</t>
  </si>
  <si>
    <t>hashtags nzgreens dataviz top #nzpol 45 #climateaction 34 #breaking 16</t>
  </si>
  <si>
    <t>migrants getting visa visas offshore still minister jacindaardern 26 months</t>
  </si>
  <si>
    <t>shameless senseless heartless pm jacindaardern inz playing dirty politics divide</t>
  </si>
  <si>
    <t>killing thousands dreams careers souls zealand immigration having plan believe</t>
  </si>
  <si>
    <t>migrants minister still offshore mbiegovtnz bitter truth killing thousands dreams</t>
  </si>
  <si>
    <t>visa migrants minister offshore still stuck due lockdown till applied</t>
  </si>
  <si>
    <t>shameless,senseless  senseless,heartless  heartless,nz  nz,pm  pm,jacindaardern  jacindaardern,inz  inz,minister  minister,krisinmana  krisinmana,playing  playing,dirty</t>
  </si>
  <si>
    <t>offshore,migrants  26,months  innocent,offshore  nz,pm  inz,minister  minister,krisinmana  months,gone  shameless,senseless  senseless,heartless  heartless,nz</t>
  </si>
  <si>
    <t>killing,thousands  thousands,dreams  dreams,careers  careers,innocent  innocent,souls  souls,zealand  zealand,immigration  immigration,minister  minister,krisinmana  krisinmana,still</t>
  </si>
  <si>
    <t>minister,krisinmana  offshore,migrants  killing,thousands  thousands,dreams  dreams,careers  careers,innocent  innocent,souls  souls,zealand  zealand,immigration  immigration,minister</t>
  </si>
  <si>
    <t>minister,krisinmana  offshore,migrants  letusbacktonz,mbiegovtnz  mbiegovtnz,bitter  bitter,truth  killing,thousands  thousands,dreams  dreams,careers  careers,innocent  innocent,souls</t>
  </si>
  <si>
    <t>letusbacktonz,mbiegovtnz  mbiegovtnz,bitter  bitter,truth</t>
  </si>
  <si>
    <t>minister,krisinmana  offshore,migrants  letusbacktonz,australian  australian,government  government,extended  extended,visa  letusbacktonz,stuck  stuck,due  due,lockdown  lockdown,till</t>
  </si>
  <si>
    <t>letusbacktonz,students  students,bro  letusbacktonz,stuck  stuck,due  due,lockdown  lockdown,till  till,applied  applied,visa  visa,extension  extension,paid</t>
  </si>
  <si>
    <t>reset,rebalance  rebalance,re  re,tweak  tweak,immigration  immigration,announcement  announcement,yestersay  yestersay,spit  spit,polish  polish,status  status,quo</t>
  </si>
  <si>
    <t>minister,krisinmana  offshore,migrants  letusbacktonz,stuck  stuck,due  due,lockdown  lockdown,till  till,applied  applied,visa  visa,extension  extension,paid</t>
  </si>
  <si>
    <t>dataviz,hashtags  hashtags,nzgreens  nzgreens,top  top,hashtags  hashtags,#nzpol  #nzpol,45  45,#climateaction  #climateaction,34  34,#breaking  #breaking,16</t>
  </si>
  <si>
    <t>26,months  innocent,offshore  nz,pm  inz,minister  minister,krisinmana  offshore,migrants  months,gone  shameless,senseless  senseless,heartless  heartless,nz</t>
  </si>
  <si>
    <t>shameless,senseless  senseless,heartless  heartless,nz  nz,pm  pm,jacindaardern  jacindaardern,inz  inz,minister  krisinmana,playing  playing,dirty  dirty,politics</t>
  </si>
  <si>
    <t>killing,thousands  thousands,dreams  dreams,careers  careers,innocent  innocent,souls  souls,zealand  zealand,immigration  immigration,minister  krisinmana,still  still,having</t>
  </si>
  <si>
    <t>letusbacktonz,mbiegovtnz  mbiegovtnz,bitter  bitter,truth  killing,thousands  thousands,dreams  dreams,careers  careers,innocent  innocent,souls  souls,zealand  zealand,immigration</t>
  </si>
  <si>
    <t>letusbacktonz,stuck  stuck,due  due,lockdown  lockdown,till  till,applied  applied,visa  visa,extension  extension,paid  paid,expenses  expenses,refused</t>
  </si>
  <si>
    <t>G1: discriminate</t>
  </si>
  <si>
    <t>G2: discriminate shame inhumane covid19</t>
  </si>
  <si>
    <t>G3: nzpol climateaction breaking nzgreens climatechange climatechangenow</t>
  </si>
  <si>
    <t>G4: discriminate</t>
  </si>
  <si>
    <t>Edge Weight▓1▓2▓0▓True▓Gray▓Red▓▓Edge Weight▓1▓2▓0▓5▓10▓False▓Edge Weight▓1▓2▓0▓50▓15▓False▓▓0▓0▓0▓True▓Black▓Black▓▓Betweenness Centrality▓0▓187▓3▓100▓1000▓False▓▓0▓0▓0▓0▓0▓False▓▓0▓0▓0▓0▓0▓False▓▓0▓0▓0▓0▓0▓False</t>
  </si>
  <si>
    <t>GraphSource░TwitterSearch▓GraphTerm░letusbacktoNZ▓ImportDescription░The graph represents a network of 49 Twitter users whose recent tweets contained "letusbacktoNZ", or who were replied to or mentioned in those tweets, taken from a data set limited to a maximum of 18,000 tweets.  The network was obtained from Twitter on Tuesday, 17 May 2022 at 00:59 UTC.
The tweets in the network were tweeted over the 5-day, 14-hour, 51-minute period from Wednesday, 11 May 2022 at 04:39 UTC to Monday, 16 May 2022 at 19:31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"mentions".▓ImportSuggestedTitle░letusbacktoNZ Twitter NodeXL SNA Map and Report for Tuesday, 17 May 2022 at 00:59 UTC▓ImportSuggestedFileNameNoExtension░2022-05-17 00-59-45 NodeXL Twitter Search letusbacktoNZ▓GroupingDescription░The graph's vertices were grouped by cluster using the Clauset-Newman-Moore cluster algorithm.▓LayoutAlgorithm░The graph was laid out using the Harel-Koren Fast Multiscale layout algorithm.▓GraphDirectedness░The graph is directed.</t>
  </si>
  <si>
    <t>letusbacktoNZ</t>
  </si>
  <si>
    <t>The graph represents a network of 49 Twitter users whose recent tweets contained "letusbacktoNZ", or who were replied to or mentioned in those tweets, taken from a data set limited to a maximum of 18,000 tweets.  The network was obtained from Twitter on Tuesday, 17 May 2022 at 00:59 UTC.
The tweets in the network were tweeted over the 5-day, 14-hour, 51-minute period from Wednesday, 11 May 2022 at 04:39 UTC to Monday, 16 May 2022 at 19:31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</si>
  <si>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https://nodexlgraphgallery.org/Pages/Graph.aspx?graphID=276488</t>
  </si>
  <si>
    <t>https://nodexlgraphgallery.org/Images/Image.ashx?graphID=276488&amp;type=f</t>
  </si>
  <si>
    <t>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</si>
</sst>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0"/>
      <tableStyleElement type="headerRow" dxfId="409"/>
    </tableStyle>
    <tableStyle name="NodeXL Table" pivot="0" count="1">
      <tableStyleElement type="headerRow" dxfId="4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801300"/>
        <c:axId val="9558517"/>
      </c:barChart>
      <c:catAx>
        <c:axId val="458013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558517"/>
        <c:crosses val="autoZero"/>
        <c:auto val="1"/>
        <c:lblOffset val="100"/>
        <c:noMultiLvlLbl val="0"/>
      </c:catAx>
      <c:valAx>
        <c:axId val="9558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01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letusbacktoNZ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5"/>
                <c:pt idx="0">
                  <c:v>11-May
May
2022</c:v>
                </c:pt>
                <c:pt idx="1">
                  <c:v>12-May</c:v>
                </c:pt>
                <c:pt idx="2">
                  <c:v>13-May</c:v>
                </c:pt>
                <c:pt idx="3">
                  <c:v>14-May</c:v>
                </c:pt>
                <c:pt idx="4">
                  <c:v>16-May</c:v>
                </c:pt>
              </c:strCache>
            </c:strRef>
          </c:cat>
          <c:val>
            <c:numRef>
              <c:f>'Time Series'!$B$26:$B$33</c:f>
              <c:numCache>
                <c:formatCode>General</c:formatCode>
                <c:ptCount val="5"/>
                <c:pt idx="0">
                  <c:v>51</c:v>
                </c:pt>
                <c:pt idx="1">
                  <c:v>55</c:v>
                </c:pt>
                <c:pt idx="2">
                  <c:v>7</c:v>
                </c:pt>
                <c:pt idx="3">
                  <c:v>14</c:v>
                </c:pt>
                <c:pt idx="4">
                  <c:v>12</c:v>
                </c:pt>
              </c:numCache>
            </c:numRef>
          </c:val>
        </c:ser>
        <c:axId val="55673966"/>
        <c:axId val="31303647"/>
      </c:barChart>
      <c:catAx>
        <c:axId val="55673966"/>
        <c:scaling>
          <c:orientation val="minMax"/>
        </c:scaling>
        <c:axPos val="b"/>
        <c:delete val="0"/>
        <c:numFmt formatCode="General" sourceLinked="1"/>
        <c:majorTickMark val="out"/>
        <c:minorTickMark val="none"/>
        <c:tickLblPos val="nextTo"/>
        <c:crossAx val="31303647"/>
        <c:crosses val="autoZero"/>
        <c:auto val="1"/>
        <c:lblOffset val="100"/>
        <c:noMultiLvlLbl val="0"/>
      </c:catAx>
      <c:valAx>
        <c:axId val="31303647"/>
        <c:scaling>
          <c:orientation val="minMax"/>
        </c:scaling>
        <c:axPos val="l"/>
        <c:majorGridlines/>
        <c:delete val="0"/>
        <c:numFmt formatCode="General" sourceLinked="1"/>
        <c:majorTickMark val="out"/>
        <c:minorTickMark val="none"/>
        <c:tickLblPos val="nextTo"/>
        <c:crossAx val="556739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917790"/>
        <c:axId val="36042383"/>
      </c:barChart>
      <c:catAx>
        <c:axId val="189177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042383"/>
        <c:crosses val="autoZero"/>
        <c:auto val="1"/>
        <c:lblOffset val="100"/>
        <c:noMultiLvlLbl val="0"/>
      </c:catAx>
      <c:valAx>
        <c:axId val="36042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17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945992"/>
        <c:axId val="33751881"/>
      </c:barChart>
      <c:catAx>
        <c:axId val="559459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751881"/>
        <c:crosses val="autoZero"/>
        <c:auto val="1"/>
        <c:lblOffset val="100"/>
        <c:noMultiLvlLbl val="0"/>
      </c:catAx>
      <c:valAx>
        <c:axId val="33751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45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331474"/>
        <c:axId val="49547811"/>
      </c:barChart>
      <c:catAx>
        <c:axId val="353314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547811"/>
        <c:crosses val="autoZero"/>
        <c:auto val="1"/>
        <c:lblOffset val="100"/>
        <c:noMultiLvlLbl val="0"/>
      </c:catAx>
      <c:valAx>
        <c:axId val="49547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31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277116"/>
        <c:axId val="53949725"/>
      </c:barChart>
      <c:catAx>
        <c:axId val="432771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949725"/>
        <c:crosses val="autoZero"/>
        <c:auto val="1"/>
        <c:lblOffset val="100"/>
        <c:noMultiLvlLbl val="0"/>
      </c:catAx>
      <c:valAx>
        <c:axId val="53949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77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785478"/>
        <c:axId val="7851575"/>
      </c:barChart>
      <c:catAx>
        <c:axId val="157854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851575"/>
        <c:crosses val="autoZero"/>
        <c:auto val="1"/>
        <c:lblOffset val="100"/>
        <c:noMultiLvlLbl val="0"/>
      </c:catAx>
      <c:valAx>
        <c:axId val="7851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85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55312"/>
        <c:axId val="31997809"/>
      </c:barChart>
      <c:catAx>
        <c:axId val="35553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997809"/>
        <c:crosses val="autoZero"/>
        <c:auto val="1"/>
        <c:lblOffset val="100"/>
        <c:noMultiLvlLbl val="0"/>
      </c:catAx>
      <c:valAx>
        <c:axId val="31997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5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544826"/>
        <c:axId val="41685707"/>
      </c:barChart>
      <c:catAx>
        <c:axId val="195448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685707"/>
        <c:crosses val="autoZero"/>
        <c:auto val="1"/>
        <c:lblOffset val="100"/>
        <c:noMultiLvlLbl val="0"/>
      </c:catAx>
      <c:valAx>
        <c:axId val="41685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44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627044"/>
        <c:axId val="21099077"/>
      </c:barChart>
      <c:catAx>
        <c:axId val="39627044"/>
        <c:scaling>
          <c:orientation val="minMax"/>
        </c:scaling>
        <c:axPos val="b"/>
        <c:delete val="1"/>
        <c:majorTickMark val="out"/>
        <c:minorTickMark val="none"/>
        <c:tickLblPos val="none"/>
        <c:crossAx val="21099077"/>
        <c:crosses val="autoZero"/>
        <c:auto val="1"/>
        <c:lblOffset val="100"/>
        <c:noMultiLvlLbl val="0"/>
      </c:catAx>
      <c:valAx>
        <c:axId val="21099077"/>
        <c:scaling>
          <c:orientation val="minMax"/>
        </c:scaling>
        <c:axPos val="l"/>
        <c:delete val="1"/>
        <c:majorTickMark val="out"/>
        <c:minorTickMark val="none"/>
        <c:tickLblPos val="none"/>
        <c:crossAx val="396270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66675</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9" refreshedBy="Liz Stedman" refreshedVersion="7">
  <cacheSource type="worksheet">
    <worksheetSource ref="A2:BN14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54">
        <d v="2022-05-11T04:57:28.000"/>
        <d v="2022-05-11T05:00:21.000"/>
        <d v="2022-05-11T05:12:45.000"/>
        <d v="2022-05-11T05:13:22.000"/>
        <d v="2022-05-11T12:40:04.000"/>
        <d v="2022-05-11T13:12:59.000"/>
        <d v="2022-05-11T13:13:11.000"/>
        <d v="2022-05-11T18:42:12.000"/>
        <d v="2022-05-11T07:21:31.000"/>
        <d v="2022-05-12T01:15:18.000"/>
        <d v="2022-05-11T05:36:36.000"/>
        <d v="2022-05-12T01:38:09.000"/>
        <d v="2022-05-12T02:02:39.000"/>
        <d v="2022-05-12T02:02:48.000"/>
        <d v="2022-05-11T05:08:19.000"/>
        <d v="2022-05-12T04:33:51.000"/>
        <d v="2022-05-12T04:56:33.000"/>
        <d v="2022-05-12T04:56:50.000"/>
        <d v="2022-05-12T05:35:16.000"/>
        <d v="2022-05-12T05:35:21.000"/>
        <d v="2022-05-12T08:43:55.000"/>
        <d v="2022-05-12T14:48:03.000"/>
        <d v="2022-05-13T03:13:17.000"/>
        <d v="2022-05-11T11:27:49.000"/>
        <d v="2022-05-13T06:57:51.000"/>
        <d v="2022-05-11T11:47:26.000"/>
        <d v="2022-05-12T04:10:09.000"/>
        <d v="2022-05-12T08:31:50.000"/>
        <d v="2022-05-13T09:00:16.000"/>
        <d v="2022-05-11T04:44:08.000"/>
        <d v="2022-05-11T12:51:49.000"/>
        <d v="2022-05-14T05:57:24.000"/>
        <d v="2022-05-14T05:57:30.000"/>
        <d v="2022-05-11T04:53:57.000"/>
        <d v="2022-05-12T08:57:36.000"/>
        <d v="2022-05-14T07:05:40.000"/>
        <d v="2022-05-14T07:05:53.000"/>
        <d v="2022-05-12T05:31:59.000"/>
        <d v="2022-05-12T05:35:18.000"/>
        <d v="2022-05-12T06:26:45.000"/>
        <d v="2022-05-12T12:55:24.000"/>
        <d v="2022-05-11T04:39:57.000"/>
        <d v="2022-05-11T12:27:27.000"/>
        <d v="2022-05-11T12:40:24.000"/>
        <d v="2022-05-16T00:42:55.000"/>
        <d v="2022-05-16T00:44:12.000"/>
        <d v="2022-05-14T05:39:32.000"/>
        <d v="2022-05-14T05:40:38.000"/>
        <d v="2022-05-14T06:50:50.000"/>
        <d v="2022-05-14T05:43:26.000"/>
        <d v="2022-05-14T07:40:18.000"/>
        <d v="2022-05-16T00:45:25.000"/>
        <d v="2022-05-14T05:13:29.000"/>
        <d v="2022-05-16T19:31:46.000"/>
      </sharedItems>
      <fieldGroup par="67" base="15">
        <rangePr groupBy="days" autoEnd="1" autoStart="1" startDate="2022-05-11T04:39:57.000" endDate="2022-05-16T19:31:46.000"/>
        <groupItems count="368">
          <s v="&lt;11/0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6/05/2022"/>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2-05-11T04:39:57.000" endDate="2022-05-16T19:31:46.000"/>
        <groupItems count="14">
          <s v="&lt;11/05/2022"/>
          <s v="Jan"/>
          <s v="Feb"/>
          <s v="Mar"/>
          <s v="Apr"/>
          <s v="May"/>
          <s v="Jun"/>
          <s v="Jul"/>
          <s v="Aug"/>
          <s v="Sep"/>
          <s v="Oct"/>
          <s v="Nov"/>
          <s v="Dec"/>
          <s v="&gt;16/05/2022"/>
        </groupItems>
      </fieldGroup>
    </cacheField>
    <cacheField name="Years" databaseField="0">
      <sharedItems containsMixedTypes="0" count="0"/>
      <fieldGroup base="15">
        <rangePr groupBy="years" autoEnd="1" autoStart="1" startDate="2022-05-11T04:39:57.000" endDate="2022-05-16T19:31:46.000"/>
        <groupItems count="3">
          <s v="&lt;11/05/2022"/>
          <s v="2022"/>
          <s v="&gt;16/05/2022"/>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39">
  <r>
    <s v="harveen57162832"/>
    <s v="krisinmana"/>
    <m/>
    <m/>
    <m/>
    <m/>
    <m/>
    <m/>
    <m/>
    <m/>
    <s v="No"/>
    <n v="3"/>
    <m/>
    <m/>
    <s v="MentionsInRetweet"/>
    <x v="0"/>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4:57:28.000"/>
    <d v="2022-05-11T00:00:00.000"/>
    <s v="04:57:28"/>
    <s v="https://twitter.com/harveen57162832/status/1524252326029971456"/>
    <m/>
    <m/>
    <s v="1524252326029971456"/>
    <m/>
    <b v="0"/>
    <n v="0"/>
    <s v=""/>
    <b v="0"/>
    <s v="en"/>
    <m/>
    <s v=""/>
    <b v="0"/>
    <n v="19"/>
    <s v="1524247919188389888"/>
    <s v="Twitter for iPhone"/>
    <b v="0"/>
    <s v="1524247919188389888"/>
    <s v="Tweet"/>
    <n v="0"/>
    <n v="0"/>
    <m/>
    <m/>
    <m/>
    <m/>
    <m/>
    <m/>
    <m/>
    <m/>
    <n v="1"/>
    <s v="1"/>
    <s v="1"/>
    <m/>
    <m/>
    <m/>
    <m/>
    <m/>
    <m/>
    <m/>
    <m/>
    <m/>
  </r>
  <r>
    <s v="harveen57162832"/>
    <s v="jacindaardern"/>
    <m/>
    <m/>
    <m/>
    <m/>
    <m/>
    <m/>
    <m/>
    <m/>
    <s v="No"/>
    <n v="4"/>
    <m/>
    <m/>
    <s v="MentionsInRetweet"/>
    <x v="0"/>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4:57:28.000"/>
    <d v="2022-05-11T00:00:00.000"/>
    <s v="04:57:28"/>
    <s v="https://twitter.com/harveen57162832/status/1524252326029971456"/>
    <m/>
    <m/>
    <s v="1524252326029971456"/>
    <m/>
    <b v="0"/>
    <n v="0"/>
    <s v=""/>
    <b v="0"/>
    <s v="en"/>
    <m/>
    <s v=""/>
    <b v="0"/>
    <n v="19"/>
    <s v="1524247919188389888"/>
    <s v="Twitter for iPhone"/>
    <b v="0"/>
    <s v="1524247919188389888"/>
    <s v="Tweet"/>
    <n v="0"/>
    <n v="0"/>
    <m/>
    <m/>
    <m/>
    <m/>
    <m/>
    <m/>
    <m/>
    <m/>
    <n v="1"/>
    <s v="1"/>
    <s v="1"/>
    <m/>
    <m/>
    <m/>
    <m/>
    <m/>
    <m/>
    <m/>
    <m/>
    <m/>
  </r>
  <r>
    <s v="harveen57162832"/>
    <s v="letusbacktonz"/>
    <m/>
    <m/>
    <m/>
    <m/>
    <m/>
    <m/>
    <m/>
    <m/>
    <s v="No"/>
    <n v="5"/>
    <m/>
    <m/>
    <s v="Retweet"/>
    <x v="0"/>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4:57:28.000"/>
    <d v="2022-05-11T00:00:00.000"/>
    <s v="04:57:28"/>
    <s v="https://twitter.com/harveen57162832/status/1524252326029971456"/>
    <m/>
    <m/>
    <s v="1524252326029971456"/>
    <m/>
    <b v="0"/>
    <n v="0"/>
    <s v=""/>
    <b v="0"/>
    <s v="en"/>
    <m/>
    <s v=""/>
    <b v="0"/>
    <n v="19"/>
    <s v="1524247919188389888"/>
    <s v="Twitter for iPhone"/>
    <b v="0"/>
    <s v="1524247919188389888"/>
    <s v="Tweet"/>
    <n v="0"/>
    <n v="0"/>
    <m/>
    <m/>
    <m/>
    <m/>
    <m/>
    <m/>
    <m/>
    <m/>
    <n v="1"/>
    <s v="1"/>
    <s v="2"/>
    <n v="0"/>
    <n v="0"/>
    <n v="5"/>
    <n v="12.820512820512821"/>
    <n v="0"/>
    <n v="0"/>
    <n v="34"/>
    <n v="87.17948717948718"/>
    <n v="39"/>
  </r>
  <r>
    <s v="preetmohan20"/>
    <s v="krisinmana"/>
    <m/>
    <m/>
    <m/>
    <m/>
    <m/>
    <m/>
    <m/>
    <m/>
    <s v="No"/>
    <n v="6"/>
    <m/>
    <m/>
    <s v="MentionsInRetweet"/>
    <x v="1"/>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5:00:21.000"/>
    <d v="2022-05-11T00:00:00.000"/>
    <s v="05:00:21"/>
    <s v="https://twitter.com/preetmohan20/status/1524253050113646593"/>
    <m/>
    <m/>
    <s v="1524253050113646593"/>
    <m/>
    <b v="0"/>
    <n v="0"/>
    <s v=""/>
    <b v="0"/>
    <s v="en"/>
    <m/>
    <s v=""/>
    <b v="0"/>
    <n v="19"/>
    <s v="1524247919188389888"/>
    <s v="Twitter for iPhone"/>
    <b v="0"/>
    <s v="1524247919188389888"/>
    <s v="Tweet"/>
    <n v="0"/>
    <n v="0"/>
    <m/>
    <m/>
    <m/>
    <m/>
    <m/>
    <m/>
    <m/>
    <m/>
    <n v="1"/>
    <s v="1"/>
    <s v="1"/>
    <m/>
    <m/>
    <m/>
    <m/>
    <m/>
    <m/>
    <m/>
    <m/>
    <m/>
  </r>
  <r>
    <s v="preetmohan20"/>
    <s v="jacindaardern"/>
    <m/>
    <m/>
    <m/>
    <m/>
    <m/>
    <m/>
    <m/>
    <m/>
    <s v="No"/>
    <n v="7"/>
    <m/>
    <m/>
    <s v="MentionsInRetweet"/>
    <x v="1"/>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5:00:21.000"/>
    <d v="2022-05-11T00:00:00.000"/>
    <s v="05:00:21"/>
    <s v="https://twitter.com/preetmohan20/status/1524253050113646593"/>
    <m/>
    <m/>
    <s v="1524253050113646593"/>
    <m/>
    <b v="0"/>
    <n v="0"/>
    <s v=""/>
    <b v="0"/>
    <s v="en"/>
    <m/>
    <s v=""/>
    <b v="0"/>
    <n v="19"/>
    <s v="1524247919188389888"/>
    <s v="Twitter for iPhone"/>
    <b v="0"/>
    <s v="1524247919188389888"/>
    <s v="Tweet"/>
    <n v="0"/>
    <n v="0"/>
    <m/>
    <m/>
    <m/>
    <m/>
    <m/>
    <m/>
    <m/>
    <m/>
    <n v="1"/>
    <s v="1"/>
    <s v="1"/>
    <m/>
    <m/>
    <m/>
    <m/>
    <m/>
    <m/>
    <m/>
    <m/>
    <m/>
  </r>
  <r>
    <s v="preetmohan20"/>
    <s v="letusbacktonz"/>
    <m/>
    <m/>
    <m/>
    <m/>
    <m/>
    <m/>
    <m/>
    <m/>
    <s v="No"/>
    <n v="8"/>
    <m/>
    <m/>
    <s v="Retweet"/>
    <x v="1"/>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5:00:21.000"/>
    <d v="2022-05-11T00:00:00.000"/>
    <s v="05:00:21"/>
    <s v="https://twitter.com/preetmohan20/status/1524253050113646593"/>
    <m/>
    <m/>
    <s v="1524253050113646593"/>
    <m/>
    <b v="0"/>
    <n v="0"/>
    <s v=""/>
    <b v="0"/>
    <s v="en"/>
    <m/>
    <s v=""/>
    <b v="0"/>
    <n v="19"/>
    <s v="1524247919188389888"/>
    <s v="Twitter for iPhone"/>
    <b v="0"/>
    <s v="1524247919188389888"/>
    <s v="Tweet"/>
    <n v="0"/>
    <n v="0"/>
    <m/>
    <m/>
    <m/>
    <m/>
    <m/>
    <m/>
    <m/>
    <m/>
    <n v="1"/>
    <s v="1"/>
    <s v="2"/>
    <n v="0"/>
    <n v="0"/>
    <n v="5"/>
    <n v="12.820512820512821"/>
    <n v="0"/>
    <n v="0"/>
    <n v="34"/>
    <n v="87.17948717948718"/>
    <n v="39"/>
  </r>
  <r>
    <s v="arshdee51860094"/>
    <s v="krisinmana"/>
    <m/>
    <m/>
    <m/>
    <m/>
    <m/>
    <m/>
    <m/>
    <m/>
    <s v="No"/>
    <n v="9"/>
    <m/>
    <m/>
    <s v="MentionsInRetweet"/>
    <x v="2"/>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5:12:45.000"/>
    <d v="2022-05-11T00:00:00.000"/>
    <s v="05:12:45"/>
    <s v="https://twitter.com/arshdee51860094/status/1524256174153281536"/>
    <m/>
    <m/>
    <s v="1524256174153281536"/>
    <m/>
    <b v="0"/>
    <n v="0"/>
    <s v=""/>
    <b v="0"/>
    <s v="en"/>
    <m/>
    <s v=""/>
    <b v="0"/>
    <n v="19"/>
    <s v="1524247919188389888"/>
    <s v="Twitter for iPhone"/>
    <b v="0"/>
    <s v="1524247919188389888"/>
    <s v="Tweet"/>
    <n v="0"/>
    <n v="0"/>
    <m/>
    <m/>
    <m/>
    <m/>
    <m/>
    <m/>
    <m/>
    <m/>
    <n v="1"/>
    <s v="1"/>
    <s v="1"/>
    <m/>
    <m/>
    <m/>
    <m/>
    <m/>
    <m/>
    <m/>
    <m/>
    <m/>
  </r>
  <r>
    <s v="arshdee51860094"/>
    <s v="jacindaardern"/>
    <m/>
    <m/>
    <m/>
    <m/>
    <m/>
    <m/>
    <m/>
    <m/>
    <s v="No"/>
    <n v="10"/>
    <m/>
    <m/>
    <s v="MentionsInRetweet"/>
    <x v="2"/>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5:12:45.000"/>
    <d v="2022-05-11T00:00:00.000"/>
    <s v="05:12:45"/>
    <s v="https://twitter.com/arshdee51860094/status/1524256174153281536"/>
    <m/>
    <m/>
    <s v="1524256174153281536"/>
    <m/>
    <b v="0"/>
    <n v="0"/>
    <s v=""/>
    <b v="0"/>
    <s v="en"/>
    <m/>
    <s v=""/>
    <b v="0"/>
    <n v="19"/>
    <s v="1524247919188389888"/>
    <s v="Twitter for iPhone"/>
    <b v="0"/>
    <s v="1524247919188389888"/>
    <s v="Tweet"/>
    <n v="0"/>
    <n v="0"/>
    <m/>
    <m/>
    <m/>
    <m/>
    <m/>
    <m/>
    <m/>
    <m/>
    <n v="1"/>
    <s v="1"/>
    <s v="1"/>
    <m/>
    <m/>
    <m/>
    <m/>
    <m/>
    <m/>
    <m/>
    <m/>
    <m/>
  </r>
  <r>
    <s v="arshdee51860094"/>
    <s v="letusbacktonz"/>
    <m/>
    <m/>
    <m/>
    <m/>
    <m/>
    <m/>
    <m/>
    <m/>
    <s v="No"/>
    <n v="11"/>
    <m/>
    <m/>
    <s v="Retweet"/>
    <x v="2"/>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5:12:45.000"/>
    <d v="2022-05-11T00:00:00.000"/>
    <s v="05:12:45"/>
    <s v="https://twitter.com/arshdee51860094/status/1524256174153281536"/>
    <m/>
    <m/>
    <s v="1524256174153281536"/>
    <m/>
    <b v="0"/>
    <n v="0"/>
    <s v=""/>
    <b v="0"/>
    <s v="en"/>
    <m/>
    <s v=""/>
    <b v="0"/>
    <n v="19"/>
    <s v="1524247919188389888"/>
    <s v="Twitter for iPhone"/>
    <b v="0"/>
    <s v="1524247919188389888"/>
    <s v="Tweet"/>
    <n v="0"/>
    <n v="0"/>
    <m/>
    <m/>
    <m/>
    <m/>
    <m/>
    <m/>
    <m/>
    <m/>
    <n v="1"/>
    <s v="1"/>
    <s v="2"/>
    <n v="0"/>
    <n v="0"/>
    <n v="5"/>
    <n v="12.820512820512821"/>
    <n v="0"/>
    <n v="0"/>
    <n v="34"/>
    <n v="87.17948717948718"/>
    <n v="39"/>
  </r>
  <r>
    <s v="kulvirkaurdhil4"/>
    <s v="krisinmana"/>
    <m/>
    <m/>
    <m/>
    <m/>
    <m/>
    <m/>
    <m/>
    <m/>
    <s v="No"/>
    <n v="12"/>
    <m/>
    <m/>
    <s v="MentionsInRetweet"/>
    <x v="3"/>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5:13:22.000"/>
    <d v="2022-05-11T00:00:00.000"/>
    <s v="05:13:22"/>
    <s v="https://twitter.com/kulvirkaurdhil4/status/1524256327886794754"/>
    <m/>
    <m/>
    <s v="1524256327886794754"/>
    <m/>
    <b v="0"/>
    <n v="0"/>
    <s v=""/>
    <b v="0"/>
    <s v="en"/>
    <m/>
    <s v=""/>
    <b v="0"/>
    <n v="19"/>
    <s v="1524247919188389888"/>
    <s v="Twitter for iPhone"/>
    <b v="0"/>
    <s v="1524247919188389888"/>
    <s v="Tweet"/>
    <n v="0"/>
    <n v="0"/>
    <m/>
    <m/>
    <m/>
    <m/>
    <m/>
    <m/>
    <m/>
    <m/>
    <n v="1"/>
    <s v="1"/>
    <s v="1"/>
    <m/>
    <m/>
    <m/>
    <m/>
    <m/>
    <m/>
    <m/>
    <m/>
    <m/>
  </r>
  <r>
    <s v="kulvirkaurdhil4"/>
    <s v="jacindaardern"/>
    <m/>
    <m/>
    <m/>
    <m/>
    <m/>
    <m/>
    <m/>
    <m/>
    <s v="No"/>
    <n v="13"/>
    <m/>
    <m/>
    <s v="MentionsInRetweet"/>
    <x v="3"/>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5:13:22.000"/>
    <d v="2022-05-11T00:00:00.000"/>
    <s v="05:13:22"/>
    <s v="https://twitter.com/kulvirkaurdhil4/status/1524256327886794754"/>
    <m/>
    <m/>
    <s v="1524256327886794754"/>
    <m/>
    <b v="0"/>
    <n v="0"/>
    <s v=""/>
    <b v="0"/>
    <s v="en"/>
    <m/>
    <s v=""/>
    <b v="0"/>
    <n v="19"/>
    <s v="1524247919188389888"/>
    <s v="Twitter for iPhone"/>
    <b v="0"/>
    <s v="1524247919188389888"/>
    <s v="Tweet"/>
    <n v="0"/>
    <n v="0"/>
    <m/>
    <m/>
    <m/>
    <m/>
    <m/>
    <m/>
    <m/>
    <m/>
    <n v="1"/>
    <s v="1"/>
    <s v="1"/>
    <m/>
    <m/>
    <m/>
    <m/>
    <m/>
    <m/>
    <m/>
    <m/>
    <m/>
  </r>
  <r>
    <s v="kulvirkaurdhil4"/>
    <s v="letusbacktonz"/>
    <m/>
    <m/>
    <m/>
    <m/>
    <m/>
    <m/>
    <m/>
    <m/>
    <s v="No"/>
    <n v="14"/>
    <m/>
    <m/>
    <s v="Retweet"/>
    <x v="3"/>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5:13:22.000"/>
    <d v="2022-05-11T00:00:00.000"/>
    <s v="05:13:22"/>
    <s v="https://twitter.com/kulvirkaurdhil4/status/1524256327886794754"/>
    <m/>
    <m/>
    <s v="1524256327886794754"/>
    <m/>
    <b v="0"/>
    <n v="0"/>
    <s v=""/>
    <b v="0"/>
    <s v="en"/>
    <m/>
    <s v=""/>
    <b v="0"/>
    <n v="19"/>
    <s v="1524247919188389888"/>
    <s v="Twitter for iPhone"/>
    <b v="0"/>
    <s v="1524247919188389888"/>
    <s v="Tweet"/>
    <n v="0"/>
    <n v="0"/>
    <m/>
    <m/>
    <m/>
    <m/>
    <m/>
    <m/>
    <m/>
    <m/>
    <n v="1"/>
    <s v="1"/>
    <s v="2"/>
    <n v="0"/>
    <n v="0"/>
    <n v="5"/>
    <n v="12.820512820512821"/>
    <n v="0"/>
    <n v="0"/>
    <n v="34"/>
    <n v="87.17948717948718"/>
    <n v="39"/>
  </r>
  <r>
    <s v="sahilpa45483022"/>
    <s v="krisinmana"/>
    <m/>
    <m/>
    <m/>
    <m/>
    <m/>
    <m/>
    <m/>
    <m/>
    <s v="No"/>
    <n v="15"/>
    <m/>
    <m/>
    <s v="MentionsInRetweet"/>
    <x v="4"/>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12:40:04.000"/>
    <d v="2022-05-11T00:00:00.000"/>
    <s v="12:40:04"/>
    <s v="https://twitter.com/sahilpa45483022/status/1524368741751918592"/>
    <m/>
    <m/>
    <s v="1524368741751918592"/>
    <m/>
    <b v="0"/>
    <n v="0"/>
    <s v=""/>
    <b v="0"/>
    <s v="en"/>
    <m/>
    <s v=""/>
    <b v="0"/>
    <n v="19"/>
    <s v="1524247919188389888"/>
    <s v="Twitter for Android"/>
    <b v="0"/>
    <s v="1524247919188389888"/>
    <s v="Tweet"/>
    <n v="0"/>
    <n v="0"/>
    <m/>
    <m/>
    <m/>
    <m/>
    <m/>
    <m/>
    <m/>
    <m/>
    <n v="1"/>
    <s v="1"/>
    <s v="1"/>
    <m/>
    <m/>
    <m/>
    <m/>
    <m/>
    <m/>
    <m/>
    <m/>
    <m/>
  </r>
  <r>
    <s v="sahilpa45483022"/>
    <s v="jacindaardern"/>
    <m/>
    <m/>
    <m/>
    <m/>
    <m/>
    <m/>
    <m/>
    <m/>
    <s v="No"/>
    <n v="16"/>
    <m/>
    <m/>
    <s v="MentionsInRetweet"/>
    <x v="4"/>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12:40:04.000"/>
    <d v="2022-05-11T00:00:00.000"/>
    <s v="12:40:04"/>
    <s v="https://twitter.com/sahilpa45483022/status/1524368741751918592"/>
    <m/>
    <m/>
    <s v="1524368741751918592"/>
    <m/>
    <b v="0"/>
    <n v="0"/>
    <s v=""/>
    <b v="0"/>
    <s v="en"/>
    <m/>
    <s v=""/>
    <b v="0"/>
    <n v="19"/>
    <s v="1524247919188389888"/>
    <s v="Twitter for Android"/>
    <b v="0"/>
    <s v="1524247919188389888"/>
    <s v="Tweet"/>
    <n v="0"/>
    <n v="0"/>
    <m/>
    <m/>
    <m/>
    <m/>
    <m/>
    <m/>
    <m/>
    <m/>
    <n v="1"/>
    <s v="1"/>
    <s v="1"/>
    <m/>
    <m/>
    <m/>
    <m/>
    <m/>
    <m/>
    <m/>
    <m/>
    <m/>
  </r>
  <r>
    <s v="sahilpa45483022"/>
    <s v="letusbacktonz"/>
    <m/>
    <m/>
    <m/>
    <m/>
    <m/>
    <m/>
    <m/>
    <m/>
    <s v="No"/>
    <n v="17"/>
    <m/>
    <m/>
    <s v="Retweet"/>
    <x v="4"/>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12:40:04.000"/>
    <d v="2022-05-11T00:00:00.000"/>
    <s v="12:40:04"/>
    <s v="https://twitter.com/sahilpa45483022/status/1524368741751918592"/>
    <m/>
    <m/>
    <s v="1524368741751918592"/>
    <m/>
    <b v="0"/>
    <n v="0"/>
    <s v=""/>
    <b v="0"/>
    <s v="en"/>
    <m/>
    <s v=""/>
    <b v="0"/>
    <n v="19"/>
    <s v="1524247919188389888"/>
    <s v="Twitter for Android"/>
    <b v="0"/>
    <s v="1524247919188389888"/>
    <s v="Tweet"/>
    <n v="0"/>
    <n v="0"/>
    <m/>
    <m/>
    <m/>
    <m/>
    <m/>
    <m/>
    <m/>
    <m/>
    <n v="1"/>
    <s v="1"/>
    <s v="2"/>
    <n v="0"/>
    <n v="0"/>
    <n v="5"/>
    <n v="12.820512820512821"/>
    <n v="0"/>
    <n v="0"/>
    <n v="34"/>
    <n v="87.17948717948718"/>
    <n v="39"/>
  </r>
  <r>
    <s v="simranj59927871"/>
    <s v="krisinmana"/>
    <m/>
    <m/>
    <m/>
    <m/>
    <m/>
    <m/>
    <m/>
    <m/>
    <s v="No"/>
    <n v="18"/>
    <m/>
    <m/>
    <s v="MentionsInRetweet"/>
    <x v="5"/>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1T13:12:59.000"/>
    <d v="2022-05-11T00:00:00.000"/>
    <s v="13:12:59"/>
    <s v="https://twitter.com/simranj59927871/status/1524377029289791489"/>
    <m/>
    <m/>
    <s v="1524377029289791489"/>
    <m/>
    <b v="0"/>
    <n v="0"/>
    <s v=""/>
    <b v="0"/>
    <s v="en"/>
    <m/>
    <s v=""/>
    <b v="0"/>
    <n v="16"/>
    <s v="1524368825562836992"/>
    <s v="Twitter for iPhone"/>
    <b v="0"/>
    <s v="1524368825562836992"/>
    <s v="Tweet"/>
    <n v="0"/>
    <n v="0"/>
    <m/>
    <m/>
    <m/>
    <m/>
    <m/>
    <m/>
    <m/>
    <m/>
    <n v="2"/>
    <s v="1"/>
    <s v="1"/>
    <m/>
    <m/>
    <m/>
    <m/>
    <m/>
    <m/>
    <m/>
    <m/>
    <m/>
  </r>
  <r>
    <s v="simranj59927871"/>
    <s v="letusbacktonz"/>
    <m/>
    <m/>
    <m/>
    <m/>
    <m/>
    <m/>
    <m/>
    <m/>
    <s v="No"/>
    <n v="19"/>
    <m/>
    <m/>
    <s v="Retweet"/>
    <x v="5"/>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1T13:12:59.000"/>
    <d v="2022-05-11T00:00:00.000"/>
    <s v="13:12:59"/>
    <s v="https://twitter.com/simranj59927871/status/1524377029289791489"/>
    <m/>
    <m/>
    <s v="1524377029289791489"/>
    <m/>
    <b v="0"/>
    <n v="0"/>
    <s v=""/>
    <b v="0"/>
    <s v="en"/>
    <m/>
    <s v=""/>
    <b v="0"/>
    <n v="16"/>
    <s v="1524368825562836992"/>
    <s v="Twitter for iPhone"/>
    <b v="0"/>
    <s v="1524368825562836992"/>
    <s v="Tweet"/>
    <n v="0"/>
    <n v="0"/>
    <m/>
    <m/>
    <m/>
    <m/>
    <m/>
    <m/>
    <m/>
    <m/>
    <n v="2"/>
    <s v="1"/>
    <s v="2"/>
    <n v="0"/>
    <n v="0"/>
    <n v="2"/>
    <n v="4.651162790697675"/>
    <n v="0"/>
    <n v="0"/>
    <n v="41"/>
    <n v="95.34883720930233"/>
    <n v="43"/>
  </r>
  <r>
    <s v="simranj59927871"/>
    <s v="krisinmana"/>
    <m/>
    <m/>
    <m/>
    <m/>
    <m/>
    <m/>
    <m/>
    <m/>
    <s v="No"/>
    <n v="20"/>
    <m/>
    <m/>
    <s v="MentionsInRetweet"/>
    <x v="6"/>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13:13:11.000"/>
    <d v="2022-05-11T00:00:00.000"/>
    <s v="13:13:11"/>
    <s v="https://twitter.com/simranj59927871/status/1524377076651814912"/>
    <m/>
    <m/>
    <s v="1524377076651814912"/>
    <m/>
    <b v="0"/>
    <n v="0"/>
    <s v=""/>
    <b v="0"/>
    <s v="en"/>
    <m/>
    <s v=""/>
    <b v="0"/>
    <n v="19"/>
    <s v="1524247919188389888"/>
    <s v="Twitter for iPhone"/>
    <b v="0"/>
    <s v="1524247919188389888"/>
    <s v="Tweet"/>
    <n v="0"/>
    <n v="0"/>
    <m/>
    <m/>
    <m/>
    <m/>
    <m/>
    <m/>
    <m/>
    <m/>
    <n v="2"/>
    <s v="1"/>
    <s v="1"/>
    <m/>
    <m/>
    <m/>
    <m/>
    <m/>
    <m/>
    <m/>
    <m/>
    <m/>
  </r>
  <r>
    <s v="simranj59927871"/>
    <s v="jacindaardern"/>
    <m/>
    <m/>
    <m/>
    <m/>
    <m/>
    <m/>
    <m/>
    <m/>
    <s v="No"/>
    <n v="21"/>
    <m/>
    <m/>
    <s v="MentionsInRetweet"/>
    <x v="6"/>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13:13:11.000"/>
    <d v="2022-05-11T00:00:00.000"/>
    <s v="13:13:11"/>
    <s v="https://twitter.com/simranj59927871/status/1524377076651814912"/>
    <m/>
    <m/>
    <s v="1524377076651814912"/>
    <m/>
    <b v="0"/>
    <n v="0"/>
    <s v=""/>
    <b v="0"/>
    <s v="en"/>
    <m/>
    <s v=""/>
    <b v="0"/>
    <n v="19"/>
    <s v="1524247919188389888"/>
    <s v="Twitter for iPhone"/>
    <b v="0"/>
    <s v="1524247919188389888"/>
    <s v="Tweet"/>
    <n v="0"/>
    <n v="0"/>
    <m/>
    <m/>
    <m/>
    <m/>
    <m/>
    <m/>
    <m/>
    <m/>
    <n v="1"/>
    <s v="1"/>
    <s v="1"/>
    <m/>
    <m/>
    <m/>
    <m/>
    <m/>
    <m/>
    <m/>
    <m/>
    <m/>
  </r>
  <r>
    <s v="simranj59927871"/>
    <s v="letusbacktonz"/>
    <m/>
    <m/>
    <m/>
    <m/>
    <m/>
    <m/>
    <m/>
    <m/>
    <s v="No"/>
    <n v="22"/>
    <m/>
    <m/>
    <s v="Retweet"/>
    <x v="6"/>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13:13:11.000"/>
    <d v="2022-05-11T00:00:00.000"/>
    <s v="13:13:11"/>
    <s v="https://twitter.com/simranj59927871/status/1524377076651814912"/>
    <m/>
    <m/>
    <s v="1524377076651814912"/>
    <m/>
    <b v="0"/>
    <n v="0"/>
    <s v=""/>
    <b v="0"/>
    <s v="en"/>
    <m/>
    <s v=""/>
    <b v="0"/>
    <n v="19"/>
    <s v="1524247919188389888"/>
    <s v="Twitter for iPhone"/>
    <b v="0"/>
    <s v="1524247919188389888"/>
    <s v="Tweet"/>
    <n v="0"/>
    <n v="0"/>
    <m/>
    <m/>
    <m/>
    <m/>
    <m/>
    <m/>
    <m/>
    <m/>
    <n v="2"/>
    <s v="1"/>
    <s v="2"/>
    <n v="0"/>
    <n v="0"/>
    <n v="5"/>
    <n v="12.820512820512821"/>
    <n v="0"/>
    <n v="0"/>
    <n v="34"/>
    <n v="87.17948717948718"/>
    <n v="39"/>
  </r>
  <r>
    <s v="pathruduabilash"/>
    <s v="krisinmana"/>
    <m/>
    <m/>
    <m/>
    <m/>
    <m/>
    <m/>
    <m/>
    <m/>
    <s v="No"/>
    <n v="23"/>
    <m/>
    <m/>
    <s v="MentionsInRetweet"/>
    <x v="7"/>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1T18:42:12.000"/>
    <d v="2022-05-11T00:00:00.000"/>
    <s v="18:42:12"/>
    <s v="https://twitter.com/pathruduabilash/status/1524459877162053632"/>
    <m/>
    <m/>
    <s v="1524459877162053632"/>
    <m/>
    <b v="0"/>
    <n v="0"/>
    <s v=""/>
    <b v="0"/>
    <s v="en"/>
    <m/>
    <s v=""/>
    <b v="0"/>
    <n v="16"/>
    <s v="1524368825562836992"/>
    <s v="Twitter for iPhone"/>
    <b v="0"/>
    <s v="1524368825562836992"/>
    <s v="Tweet"/>
    <n v="0"/>
    <n v="0"/>
    <m/>
    <m/>
    <m/>
    <m/>
    <m/>
    <m/>
    <m/>
    <m/>
    <n v="1"/>
    <s v="1"/>
    <s v="1"/>
    <m/>
    <m/>
    <m/>
    <m/>
    <m/>
    <m/>
    <m/>
    <m/>
    <m/>
  </r>
  <r>
    <s v="pathruduabilash"/>
    <s v="letusbacktonz"/>
    <m/>
    <m/>
    <m/>
    <m/>
    <m/>
    <m/>
    <m/>
    <m/>
    <s v="No"/>
    <n v="24"/>
    <m/>
    <m/>
    <s v="Retweet"/>
    <x v="7"/>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1T18:42:12.000"/>
    <d v="2022-05-11T00:00:00.000"/>
    <s v="18:42:12"/>
    <s v="https://twitter.com/pathruduabilash/status/1524459877162053632"/>
    <m/>
    <m/>
    <s v="1524459877162053632"/>
    <m/>
    <b v="0"/>
    <n v="0"/>
    <s v=""/>
    <b v="0"/>
    <s v="en"/>
    <m/>
    <s v=""/>
    <b v="0"/>
    <n v="16"/>
    <s v="1524368825562836992"/>
    <s v="Twitter for iPhone"/>
    <b v="0"/>
    <s v="1524368825562836992"/>
    <s v="Tweet"/>
    <n v="0"/>
    <n v="0"/>
    <m/>
    <m/>
    <m/>
    <m/>
    <m/>
    <m/>
    <m/>
    <m/>
    <n v="1"/>
    <s v="1"/>
    <s v="2"/>
    <n v="0"/>
    <n v="0"/>
    <n v="2"/>
    <n v="4.651162790697675"/>
    <n v="0"/>
    <n v="0"/>
    <n v="41"/>
    <n v="95.34883720930233"/>
    <n v="43"/>
  </r>
  <r>
    <s v="bains_gurpinder"/>
    <s v="krisinmana"/>
    <m/>
    <m/>
    <m/>
    <m/>
    <m/>
    <m/>
    <m/>
    <m/>
    <s v="No"/>
    <n v="25"/>
    <m/>
    <m/>
    <s v="MentionsInRetweet"/>
    <x v="8"/>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7:21:31.000"/>
    <d v="2022-05-11T00:00:00.000"/>
    <s v="07:21:31"/>
    <s v="https://twitter.com/bains_gurpinder/status/1524288578758475776"/>
    <m/>
    <m/>
    <s v="1524288578758475776"/>
    <m/>
    <b v="0"/>
    <n v="0"/>
    <s v=""/>
    <b v="0"/>
    <s v="en"/>
    <m/>
    <s v=""/>
    <b v="0"/>
    <n v="19"/>
    <s v="1524247919188389888"/>
    <s v="Twitter for iPhone"/>
    <b v="0"/>
    <s v="1524247919188389888"/>
    <s v="Tweet"/>
    <n v="0"/>
    <n v="0"/>
    <m/>
    <m/>
    <m/>
    <m/>
    <m/>
    <m/>
    <m/>
    <m/>
    <n v="2"/>
    <s v="1"/>
    <s v="1"/>
    <m/>
    <m/>
    <m/>
    <m/>
    <m/>
    <m/>
    <m/>
    <m/>
    <m/>
  </r>
  <r>
    <s v="bains_gurpinder"/>
    <s v="jacindaardern"/>
    <m/>
    <m/>
    <m/>
    <m/>
    <m/>
    <m/>
    <m/>
    <m/>
    <s v="No"/>
    <n v="26"/>
    <m/>
    <m/>
    <s v="MentionsInRetweet"/>
    <x v="8"/>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7:21:31.000"/>
    <d v="2022-05-11T00:00:00.000"/>
    <s v="07:21:31"/>
    <s v="https://twitter.com/bains_gurpinder/status/1524288578758475776"/>
    <m/>
    <m/>
    <s v="1524288578758475776"/>
    <m/>
    <b v="0"/>
    <n v="0"/>
    <s v=""/>
    <b v="0"/>
    <s v="en"/>
    <m/>
    <s v=""/>
    <b v="0"/>
    <n v="19"/>
    <s v="1524247919188389888"/>
    <s v="Twitter for iPhone"/>
    <b v="0"/>
    <s v="1524247919188389888"/>
    <s v="Tweet"/>
    <n v="0"/>
    <n v="0"/>
    <m/>
    <m/>
    <m/>
    <m/>
    <m/>
    <m/>
    <m/>
    <m/>
    <n v="1"/>
    <s v="1"/>
    <s v="1"/>
    <m/>
    <m/>
    <m/>
    <m/>
    <m/>
    <m/>
    <m/>
    <m/>
    <m/>
  </r>
  <r>
    <s v="bains_gurpinder"/>
    <s v="letusbacktonz"/>
    <m/>
    <m/>
    <m/>
    <m/>
    <m/>
    <m/>
    <m/>
    <m/>
    <s v="No"/>
    <n v="27"/>
    <m/>
    <m/>
    <s v="Retweet"/>
    <x v="8"/>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7:21:31.000"/>
    <d v="2022-05-11T00:00:00.000"/>
    <s v="07:21:31"/>
    <s v="https://twitter.com/bains_gurpinder/status/1524288578758475776"/>
    <m/>
    <m/>
    <s v="1524288578758475776"/>
    <m/>
    <b v="0"/>
    <n v="0"/>
    <s v=""/>
    <b v="0"/>
    <s v="en"/>
    <m/>
    <s v=""/>
    <b v="0"/>
    <n v="19"/>
    <s v="1524247919188389888"/>
    <s v="Twitter for iPhone"/>
    <b v="0"/>
    <s v="1524247919188389888"/>
    <s v="Tweet"/>
    <n v="0"/>
    <n v="0"/>
    <m/>
    <m/>
    <m/>
    <m/>
    <m/>
    <m/>
    <m/>
    <m/>
    <n v="2"/>
    <s v="1"/>
    <s v="2"/>
    <n v="0"/>
    <n v="0"/>
    <n v="5"/>
    <n v="12.820512820512821"/>
    <n v="0"/>
    <n v="0"/>
    <n v="34"/>
    <n v="87.17948717948718"/>
    <n v="39"/>
  </r>
  <r>
    <s v="bains_gurpinder"/>
    <s v="krisinmana"/>
    <m/>
    <m/>
    <m/>
    <m/>
    <m/>
    <m/>
    <m/>
    <m/>
    <s v="No"/>
    <n v="28"/>
    <m/>
    <m/>
    <s v="MentionsInRetweet"/>
    <x v="9"/>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2T01:15:18.000"/>
    <d v="2022-05-12T00:00:00.000"/>
    <s v="01:15:18"/>
    <s v="https://twitter.com/bains_gurpinder/status/1524558803768729600"/>
    <m/>
    <m/>
    <s v="1524558803768729600"/>
    <m/>
    <b v="0"/>
    <n v="0"/>
    <s v=""/>
    <b v="0"/>
    <s v="en"/>
    <m/>
    <s v=""/>
    <b v="0"/>
    <n v="16"/>
    <s v="1524368825562836992"/>
    <s v="Twitter for iPhone"/>
    <b v="0"/>
    <s v="1524368825562836992"/>
    <s v="Tweet"/>
    <n v="0"/>
    <n v="0"/>
    <m/>
    <m/>
    <m/>
    <m/>
    <m/>
    <m/>
    <m/>
    <m/>
    <n v="2"/>
    <s v="1"/>
    <s v="1"/>
    <m/>
    <m/>
    <m/>
    <m/>
    <m/>
    <m/>
    <m/>
    <m/>
    <m/>
  </r>
  <r>
    <s v="bains_gurpinder"/>
    <s v="letusbacktonz"/>
    <m/>
    <m/>
    <m/>
    <m/>
    <m/>
    <m/>
    <m/>
    <m/>
    <s v="No"/>
    <n v="29"/>
    <m/>
    <m/>
    <s v="Retweet"/>
    <x v="9"/>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2T01:15:18.000"/>
    <d v="2022-05-12T00:00:00.000"/>
    <s v="01:15:18"/>
    <s v="https://twitter.com/bains_gurpinder/status/1524558803768729600"/>
    <m/>
    <m/>
    <s v="1524558803768729600"/>
    <m/>
    <b v="0"/>
    <n v="0"/>
    <s v=""/>
    <b v="0"/>
    <s v="en"/>
    <m/>
    <s v=""/>
    <b v="0"/>
    <n v="16"/>
    <s v="1524368825562836992"/>
    <s v="Twitter for iPhone"/>
    <b v="0"/>
    <s v="1524368825562836992"/>
    <s v="Tweet"/>
    <n v="0"/>
    <n v="0"/>
    <m/>
    <m/>
    <m/>
    <m/>
    <m/>
    <m/>
    <m/>
    <m/>
    <n v="2"/>
    <s v="1"/>
    <s v="2"/>
    <n v="0"/>
    <n v="0"/>
    <n v="2"/>
    <n v="4.651162790697675"/>
    <n v="0"/>
    <n v="0"/>
    <n v="41"/>
    <n v="95.34883720930233"/>
    <n v="43"/>
  </r>
  <r>
    <s v="sureshk01547631"/>
    <s v="krisinmana"/>
    <m/>
    <m/>
    <m/>
    <m/>
    <m/>
    <m/>
    <m/>
    <m/>
    <s v="No"/>
    <n v="30"/>
    <m/>
    <m/>
    <s v="MentionsInRetweet"/>
    <x v="10"/>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5:36:36.000"/>
    <d v="2022-05-11T00:00:00.000"/>
    <s v="05:36:36"/>
    <s v="https://twitter.com/sureshk01547631/status/1524262175203676160"/>
    <m/>
    <m/>
    <s v="1524262175203676160"/>
    <m/>
    <b v="0"/>
    <n v="0"/>
    <s v=""/>
    <b v="0"/>
    <s v="en"/>
    <m/>
    <s v=""/>
    <b v="0"/>
    <n v="19"/>
    <s v="1524247919188389888"/>
    <s v="Twitter for Android"/>
    <b v="0"/>
    <s v="1524247919188389888"/>
    <s v="Tweet"/>
    <n v="0"/>
    <n v="0"/>
    <m/>
    <m/>
    <m/>
    <m/>
    <m/>
    <m/>
    <m/>
    <m/>
    <n v="2"/>
    <s v="1"/>
    <s v="1"/>
    <m/>
    <m/>
    <m/>
    <m/>
    <m/>
    <m/>
    <m/>
    <m/>
    <m/>
  </r>
  <r>
    <s v="sureshk01547631"/>
    <s v="jacindaardern"/>
    <m/>
    <m/>
    <m/>
    <m/>
    <m/>
    <m/>
    <m/>
    <m/>
    <s v="No"/>
    <n v="31"/>
    <m/>
    <m/>
    <s v="MentionsInRetweet"/>
    <x v="10"/>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5:36:36.000"/>
    <d v="2022-05-11T00:00:00.000"/>
    <s v="05:36:36"/>
    <s v="https://twitter.com/sureshk01547631/status/1524262175203676160"/>
    <m/>
    <m/>
    <s v="1524262175203676160"/>
    <m/>
    <b v="0"/>
    <n v="0"/>
    <s v=""/>
    <b v="0"/>
    <s v="en"/>
    <m/>
    <s v=""/>
    <b v="0"/>
    <n v="19"/>
    <s v="1524247919188389888"/>
    <s v="Twitter for Android"/>
    <b v="0"/>
    <s v="1524247919188389888"/>
    <s v="Tweet"/>
    <n v="0"/>
    <n v="0"/>
    <m/>
    <m/>
    <m/>
    <m/>
    <m/>
    <m/>
    <m/>
    <m/>
    <n v="1"/>
    <s v="1"/>
    <s v="1"/>
    <m/>
    <m/>
    <m/>
    <m/>
    <m/>
    <m/>
    <m/>
    <m/>
    <m/>
  </r>
  <r>
    <s v="sureshk01547631"/>
    <s v="letusbacktonz"/>
    <m/>
    <m/>
    <m/>
    <m/>
    <m/>
    <m/>
    <m/>
    <m/>
    <s v="No"/>
    <n v="32"/>
    <m/>
    <m/>
    <s v="Retweet"/>
    <x v="10"/>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5:36:36.000"/>
    <d v="2022-05-11T00:00:00.000"/>
    <s v="05:36:36"/>
    <s v="https://twitter.com/sureshk01547631/status/1524262175203676160"/>
    <m/>
    <m/>
    <s v="1524262175203676160"/>
    <m/>
    <b v="0"/>
    <n v="0"/>
    <s v=""/>
    <b v="0"/>
    <s v="en"/>
    <m/>
    <s v=""/>
    <b v="0"/>
    <n v="19"/>
    <s v="1524247919188389888"/>
    <s v="Twitter for Android"/>
    <b v="0"/>
    <s v="1524247919188389888"/>
    <s v="Tweet"/>
    <n v="0"/>
    <n v="0"/>
    <m/>
    <m/>
    <m/>
    <m/>
    <m/>
    <m/>
    <m/>
    <m/>
    <n v="2"/>
    <s v="1"/>
    <s v="2"/>
    <n v="0"/>
    <n v="0"/>
    <n v="5"/>
    <n v="12.820512820512821"/>
    <n v="0"/>
    <n v="0"/>
    <n v="34"/>
    <n v="87.17948717948718"/>
    <n v="39"/>
  </r>
  <r>
    <s v="sureshk01547631"/>
    <s v="krisinmana"/>
    <m/>
    <m/>
    <m/>
    <m/>
    <m/>
    <m/>
    <m/>
    <m/>
    <s v="No"/>
    <n v="33"/>
    <m/>
    <m/>
    <s v="MentionsInRetweet"/>
    <x v="11"/>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2T01:38:09.000"/>
    <d v="2022-05-12T00:00:00.000"/>
    <s v="01:38:09"/>
    <s v="https://twitter.com/sureshk01547631/status/1524564554965225472"/>
    <m/>
    <m/>
    <s v="1524564554965225472"/>
    <m/>
    <b v="0"/>
    <n v="0"/>
    <s v=""/>
    <b v="0"/>
    <s v="en"/>
    <m/>
    <s v=""/>
    <b v="0"/>
    <n v="16"/>
    <s v="1524368825562836992"/>
    <s v="Twitter for Android"/>
    <b v="0"/>
    <s v="1524368825562836992"/>
    <s v="Tweet"/>
    <n v="0"/>
    <n v="0"/>
    <m/>
    <m/>
    <m/>
    <m/>
    <m/>
    <m/>
    <m/>
    <m/>
    <n v="2"/>
    <s v="1"/>
    <s v="1"/>
    <m/>
    <m/>
    <m/>
    <m/>
    <m/>
    <m/>
    <m/>
    <m/>
    <m/>
  </r>
  <r>
    <s v="sureshk01547631"/>
    <s v="letusbacktonz"/>
    <m/>
    <m/>
    <m/>
    <m/>
    <m/>
    <m/>
    <m/>
    <m/>
    <s v="No"/>
    <n v="34"/>
    <m/>
    <m/>
    <s v="Retweet"/>
    <x v="11"/>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2T01:38:09.000"/>
    <d v="2022-05-12T00:00:00.000"/>
    <s v="01:38:09"/>
    <s v="https://twitter.com/sureshk01547631/status/1524564554965225472"/>
    <m/>
    <m/>
    <s v="1524564554965225472"/>
    <m/>
    <b v="0"/>
    <n v="0"/>
    <s v=""/>
    <b v="0"/>
    <s v="en"/>
    <m/>
    <s v=""/>
    <b v="0"/>
    <n v="16"/>
    <s v="1524368825562836992"/>
    <s v="Twitter for Android"/>
    <b v="0"/>
    <s v="1524368825562836992"/>
    <s v="Tweet"/>
    <n v="0"/>
    <n v="0"/>
    <m/>
    <m/>
    <m/>
    <m/>
    <m/>
    <m/>
    <m/>
    <m/>
    <n v="2"/>
    <s v="1"/>
    <s v="2"/>
    <n v="0"/>
    <n v="0"/>
    <n v="2"/>
    <n v="4.651162790697675"/>
    <n v="0"/>
    <n v="0"/>
    <n v="41"/>
    <n v="95.34883720930233"/>
    <n v="43"/>
  </r>
  <r>
    <s v="satvirsohi5"/>
    <s v="krisinmana"/>
    <m/>
    <m/>
    <m/>
    <m/>
    <m/>
    <m/>
    <m/>
    <m/>
    <s v="No"/>
    <n v="35"/>
    <m/>
    <m/>
    <s v="MentionsInRetweet"/>
    <x v="12"/>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2T02:02:39.000"/>
    <d v="2022-05-12T00:00:00.000"/>
    <s v="02:02:39"/>
    <s v="https://twitter.com/satvirsohi5/status/1524570721917476865"/>
    <m/>
    <m/>
    <s v="1524570721917476865"/>
    <m/>
    <b v="0"/>
    <n v="0"/>
    <s v=""/>
    <b v="0"/>
    <s v="en"/>
    <m/>
    <s v=""/>
    <b v="0"/>
    <n v="19"/>
    <s v="1524247919188389888"/>
    <s v="Twitter for iPhone"/>
    <b v="0"/>
    <s v="1524247919188389888"/>
    <s v="Tweet"/>
    <n v="0"/>
    <n v="0"/>
    <m/>
    <m/>
    <m/>
    <m/>
    <m/>
    <m/>
    <m/>
    <m/>
    <n v="2"/>
    <s v="1"/>
    <s v="1"/>
    <m/>
    <m/>
    <m/>
    <m/>
    <m/>
    <m/>
    <m/>
    <m/>
    <m/>
  </r>
  <r>
    <s v="satvirsohi5"/>
    <s v="jacindaardern"/>
    <m/>
    <m/>
    <m/>
    <m/>
    <m/>
    <m/>
    <m/>
    <m/>
    <s v="No"/>
    <n v="36"/>
    <m/>
    <m/>
    <s v="MentionsInRetweet"/>
    <x v="12"/>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2T02:02:39.000"/>
    <d v="2022-05-12T00:00:00.000"/>
    <s v="02:02:39"/>
    <s v="https://twitter.com/satvirsohi5/status/1524570721917476865"/>
    <m/>
    <m/>
    <s v="1524570721917476865"/>
    <m/>
    <b v="0"/>
    <n v="0"/>
    <s v=""/>
    <b v="0"/>
    <s v="en"/>
    <m/>
    <s v=""/>
    <b v="0"/>
    <n v="19"/>
    <s v="1524247919188389888"/>
    <s v="Twitter for iPhone"/>
    <b v="0"/>
    <s v="1524247919188389888"/>
    <s v="Tweet"/>
    <n v="0"/>
    <n v="0"/>
    <m/>
    <m/>
    <m/>
    <m/>
    <m/>
    <m/>
    <m/>
    <m/>
    <n v="1"/>
    <s v="1"/>
    <s v="1"/>
    <m/>
    <m/>
    <m/>
    <m/>
    <m/>
    <m/>
    <m/>
    <m/>
    <m/>
  </r>
  <r>
    <s v="satvirsohi5"/>
    <s v="letusbacktonz"/>
    <m/>
    <m/>
    <m/>
    <m/>
    <m/>
    <m/>
    <m/>
    <m/>
    <s v="No"/>
    <n v="37"/>
    <m/>
    <m/>
    <s v="Retweet"/>
    <x v="12"/>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2T02:02:39.000"/>
    <d v="2022-05-12T00:00:00.000"/>
    <s v="02:02:39"/>
    <s v="https://twitter.com/satvirsohi5/status/1524570721917476865"/>
    <m/>
    <m/>
    <s v="1524570721917476865"/>
    <m/>
    <b v="0"/>
    <n v="0"/>
    <s v=""/>
    <b v="0"/>
    <s v="en"/>
    <m/>
    <s v=""/>
    <b v="0"/>
    <n v="19"/>
    <s v="1524247919188389888"/>
    <s v="Twitter for iPhone"/>
    <b v="0"/>
    <s v="1524247919188389888"/>
    <s v="Tweet"/>
    <n v="0"/>
    <n v="0"/>
    <m/>
    <m/>
    <m/>
    <m/>
    <m/>
    <m/>
    <m/>
    <m/>
    <n v="2"/>
    <s v="1"/>
    <s v="2"/>
    <n v="0"/>
    <n v="0"/>
    <n v="5"/>
    <n v="12.820512820512821"/>
    <n v="0"/>
    <n v="0"/>
    <n v="34"/>
    <n v="87.17948717948718"/>
    <n v="39"/>
  </r>
  <r>
    <s v="satvirsohi5"/>
    <s v="krisinmana"/>
    <m/>
    <m/>
    <m/>
    <m/>
    <m/>
    <m/>
    <m/>
    <m/>
    <s v="No"/>
    <n v="38"/>
    <m/>
    <m/>
    <s v="MentionsInRetweet"/>
    <x v="13"/>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2T02:02:48.000"/>
    <d v="2022-05-12T00:00:00.000"/>
    <s v="02:02:48"/>
    <s v="https://twitter.com/satvirsohi5/status/1524570756797321218"/>
    <m/>
    <m/>
    <s v="1524570756797321218"/>
    <m/>
    <b v="0"/>
    <n v="0"/>
    <s v=""/>
    <b v="0"/>
    <s v="en"/>
    <m/>
    <s v=""/>
    <b v="0"/>
    <n v="16"/>
    <s v="1524368825562836992"/>
    <s v="Twitter for iPhone"/>
    <b v="0"/>
    <s v="1524368825562836992"/>
    <s v="Tweet"/>
    <n v="0"/>
    <n v="0"/>
    <m/>
    <m/>
    <m/>
    <m/>
    <m/>
    <m/>
    <m/>
    <m/>
    <n v="2"/>
    <s v="1"/>
    <s v="1"/>
    <m/>
    <m/>
    <m/>
    <m/>
    <m/>
    <m/>
    <m/>
    <m/>
    <m/>
  </r>
  <r>
    <s v="satvirsohi5"/>
    <s v="letusbacktonz"/>
    <m/>
    <m/>
    <m/>
    <m/>
    <m/>
    <m/>
    <m/>
    <m/>
    <s v="No"/>
    <n v="39"/>
    <m/>
    <m/>
    <s v="Retweet"/>
    <x v="13"/>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2T02:02:48.000"/>
    <d v="2022-05-12T00:00:00.000"/>
    <s v="02:02:48"/>
    <s v="https://twitter.com/satvirsohi5/status/1524570756797321218"/>
    <m/>
    <m/>
    <s v="1524570756797321218"/>
    <m/>
    <b v="0"/>
    <n v="0"/>
    <s v=""/>
    <b v="0"/>
    <s v="en"/>
    <m/>
    <s v=""/>
    <b v="0"/>
    <n v="16"/>
    <s v="1524368825562836992"/>
    <s v="Twitter for iPhone"/>
    <b v="0"/>
    <s v="1524368825562836992"/>
    <s v="Tweet"/>
    <n v="0"/>
    <n v="0"/>
    <m/>
    <m/>
    <m/>
    <m/>
    <m/>
    <m/>
    <m/>
    <m/>
    <n v="2"/>
    <s v="1"/>
    <s v="2"/>
    <n v="0"/>
    <n v="0"/>
    <n v="2"/>
    <n v="4.651162790697675"/>
    <n v="0"/>
    <n v="0"/>
    <n v="41"/>
    <n v="95.34883720930233"/>
    <n v="43"/>
  </r>
  <r>
    <s v="fenilsavani"/>
    <s v="krisinmana"/>
    <m/>
    <m/>
    <m/>
    <m/>
    <m/>
    <m/>
    <m/>
    <m/>
    <s v="No"/>
    <n v="40"/>
    <m/>
    <m/>
    <s v="MentionsInRetweet"/>
    <x v="14"/>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5:08:19.000"/>
    <d v="2022-05-11T00:00:00.000"/>
    <s v="05:08:19"/>
    <s v="https://twitter.com/fenilsavani/status/1524255057029758976"/>
    <m/>
    <m/>
    <s v="1524255057029758976"/>
    <m/>
    <b v="0"/>
    <n v="0"/>
    <s v=""/>
    <b v="0"/>
    <s v="en"/>
    <m/>
    <s v=""/>
    <b v="0"/>
    <n v="19"/>
    <s v="1524247919188389888"/>
    <s v="Twitter Web App"/>
    <b v="0"/>
    <s v="1524247919188389888"/>
    <s v="Tweet"/>
    <n v="0"/>
    <n v="0"/>
    <m/>
    <m/>
    <m/>
    <m/>
    <m/>
    <m/>
    <m/>
    <m/>
    <n v="2"/>
    <s v="1"/>
    <s v="1"/>
    <m/>
    <m/>
    <m/>
    <m/>
    <m/>
    <m/>
    <m/>
    <m/>
    <m/>
  </r>
  <r>
    <s v="fenilsavani"/>
    <s v="jacindaardern"/>
    <m/>
    <m/>
    <m/>
    <m/>
    <m/>
    <m/>
    <m/>
    <m/>
    <s v="No"/>
    <n v="41"/>
    <m/>
    <m/>
    <s v="MentionsInRetweet"/>
    <x v="14"/>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5:08:19.000"/>
    <d v="2022-05-11T00:00:00.000"/>
    <s v="05:08:19"/>
    <s v="https://twitter.com/fenilsavani/status/1524255057029758976"/>
    <m/>
    <m/>
    <s v="1524255057029758976"/>
    <m/>
    <b v="0"/>
    <n v="0"/>
    <s v=""/>
    <b v="0"/>
    <s v="en"/>
    <m/>
    <s v=""/>
    <b v="0"/>
    <n v="19"/>
    <s v="1524247919188389888"/>
    <s v="Twitter Web App"/>
    <b v="0"/>
    <s v="1524247919188389888"/>
    <s v="Tweet"/>
    <n v="0"/>
    <n v="0"/>
    <m/>
    <m/>
    <m/>
    <m/>
    <m/>
    <m/>
    <m/>
    <m/>
    <n v="1"/>
    <s v="1"/>
    <s v="1"/>
    <m/>
    <m/>
    <m/>
    <m/>
    <m/>
    <m/>
    <m/>
    <m/>
    <m/>
  </r>
  <r>
    <s v="fenilsavani"/>
    <s v="letusbacktonz"/>
    <m/>
    <m/>
    <m/>
    <m/>
    <m/>
    <m/>
    <m/>
    <m/>
    <s v="No"/>
    <n v="42"/>
    <m/>
    <m/>
    <s v="Retweet"/>
    <x v="14"/>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5:08:19.000"/>
    <d v="2022-05-11T00:00:00.000"/>
    <s v="05:08:19"/>
    <s v="https://twitter.com/fenilsavani/status/1524255057029758976"/>
    <m/>
    <m/>
    <s v="1524255057029758976"/>
    <m/>
    <b v="0"/>
    <n v="0"/>
    <s v=""/>
    <b v="0"/>
    <s v="en"/>
    <m/>
    <s v=""/>
    <b v="0"/>
    <n v="19"/>
    <s v="1524247919188389888"/>
    <s v="Twitter Web App"/>
    <b v="0"/>
    <s v="1524247919188389888"/>
    <s v="Tweet"/>
    <n v="0"/>
    <n v="0"/>
    <m/>
    <m/>
    <m/>
    <m/>
    <m/>
    <m/>
    <m/>
    <m/>
    <n v="2"/>
    <s v="1"/>
    <s v="2"/>
    <n v="0"/>
    <n v="0"/>
    <n v="5"/>
    <n v="12.820512820512821"/>
    <n v="0"/>
    <n v="0"/>
    <n v="34"/>
    <n v="87.17948717948718"/>
    <n v="39"/>
  </r>
  <r>
    <s v="fenilsavani"/>
    <s v="krisinmana"/>
    <m/>
    <m/>
    <m/>
    <m/>
    <m/>
    <m/>
    <m/>
    <m/>
    <s v="No"/>
    <n v="43"/>
    <m/>
    <m/>
    <s v="MentionsInRetweet"/>
    <x v="15"/>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2T04:33:51.000"/>
    <d v="2022-05-12T00:00:00.000"/>
    <s v="04:33:51"/>
    <s v="https://twitter.com/fenilsavani/status/1524608769178890240"/>
    <m/>
    <m/>
    <s v="1524608769178890240"/>
    <m/>
    <b v="0"/>
    <n v="0"/>
    <s v=""/>
    <b v="0"/>
    <s v="en"/>
    <m/>
    <s v=""/>
    <b v="0"/>
    <n v="16"/>
    <s v="1524368825562836992"/>
    <s v="Twitter Web App"/>
    <b v="0"/>
    <s v="1524368825562836992"/>
    <s v="Tweet"/>
    <n v="0"/>
    <n v="0"/>
    <m/>
    <m/>
    <m/>
    <m/>
    <m/>
    <m/>
    <m/>
    <m/>
    <n v="2"/>
    <s v="1"/>
    <s v="1"/>
    <m/>
    <m/>
    <m/>
    <m/>
    <m/>
    <m/>
    <m/>
    <m/>
    <m/>
  </r>
  <r>
    <s v="fenilsavani"/>
    <s v="letusbacktonz"/>
    <m/>
    <m/>
    <m/>
    <m/>
    <m/>
    <m/>
    <m/>
    <m/>
    <s v="No"/>
    <n v="44"/>
    <m/>
    <m/>
    <s v="Retweet"/>
    <x v="15"/>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2T04:33:51.000"/>
    <d v="2022-05-12T00:00:00.000"/>
    <s v="04:33:51"/>
    <s v="https://twitter.com/fenilsavani/status/1524608769178890240"/>
    <m/>
    <m/>
    <s v="1524608769178890240"/>
    <m/>
    <b v="0"/>
    <n v="0"/>
    <s v=""/>
    <b v="0"/>
    <s v="en"/>
    <m/>
    <s v=""/>
    <b v="0"/>
    <n v="16"/>
    <s v="1524368825562836992"/>
    <s v="Twitter Web App"/>
    <b v="0"/>
    <s v="1524368825562836992"/>
    <s v="Tweet"/>
    <n v="0"/>
    <n v="0"/>
    <m/>
    <m/>
    <m/>
    <m/>
    <m/>
    <m/>
    <m/>
    <m/>
    <n v="2"/>
    <s v="1"/>
    <s v="2"/>
    <n v="0"/>
    <n v="0"/>
    <n v="2"/>
    <n v="4.651162790697675"/>
    <n v="0"/>
    <n v="0"/>
    <n v="41"/>
    <n v="95.34883720930233"/>
    <n v="43"/>
  </r>
  <r>
    <s v="reenapu64276812"/>
    <s v="krisinmana"/>
    <m/>
    <m/>
    <m/>
    <m/>
    <m/>
    <m/>
    <m/>
    <m/>
    <s v="No"/>
    <n v="45"/>
    <m/>
    <m/>
    <s v="MentionsInRetweet"/>
    <x v="16"/>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2T04:56:33.000"/>
    <d v="2022-05-12T00:00:00.000"/>
    <s v="04:56:33"/>
    <s v="https://twitter.com/reenapu64276812/status/1524614483087290368"/>
    <m/>
    <m/>
    <s v="1524614483087290368"/>
    <m/>
    <b v="0"/>
    <n v="0"/>
    <s v=""/>
    <b v="0"/>
    <s v="en"/>
    <m/>
    <s v=""/>
    <b v="0"/>
    <n v="16"/>
    <s v="1524368825562836992"/>
    <s v="Twitter for iPhone"/>
    <b v="0"/>
    <s v="1524368825562836992"/>
    <s v="Tweet"/>
    <n v="0"/>
    <n v="0"/>
    <m/>
    <m/>
    <m/>
    <m/>
    <m/>
    <m/>
    <m/>
    <m/>
    <n v="2"/>
    <s v="1"/>
    <s v="1"/>
    <m/>
    <m/>
    <m/>
    <m/>
    <m/>
    <m/>
    <m/>
    <m/>
    <m/>
  </r>
  <r>
    <s v="reenapu64276812"/>
    <s v="letusbacktonz"/>
    <m/>
    <m/>
    <m/>
    <m/>
    <m/>
    <m/>
    <m/>
    <m/>
    <s v="No"/>
    <n v="46"/>
    <m/>
    <m/>
    <s v="Retweet"/>
    <x v="16"/>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2T04:56:33.000"/>
    <d v="2022-05-12T00:00:00.000"/>
    <s v="04:56:33"/>
    <s v="https://twitter.com/reenapu64276812/status/1524614483087290368"/>
    <m/>
    <m/>
    <s v="1524614483087290368"/>
    <m/>
    <b v="0"/>
    <n v="0"/>
    <s v=""/>
    <b v="0"/>
    <s v="en"/>
    <m/>
    <s v=""/>
    <b v="0"/>
    <n v="16"/>
    <s v="1524368825562836992"/>
    <s v="Twitter for iPhone"/>
    <b v="0"/>
    <s v="1524368825562836992"/>
    <s v="Tweet"/>
    <n v="0"/>
    <n v="0"/>
    <m/>
    <m/>
    <m/>
    <m/>
    <m/>
    <m/>
    <m/>
    <m/>
    <n v="2"/>
    <s v="1"/>
    <s v="2"/>
    <n v="0"/>
    <n v="0"/>
    <n v="2"/>
    <n v="4.651162790697675"/>
    <n v="0"/>
    <n v="0"/>
    <n v="41"/>
    <n v="95.34883720930233"/>
    <n v="43"/>
  </r>
  <r>
    <s v="reenapu64276812"/>
    <s v="krisinmana"/>
    <m/>
    <m/>
    <m/>
    <m/>
    <m/>
    <m/>
    <m/>
    <m/>
    <s v="No"/>
    <n v="47"/>
    <m/>
    <m/>
    <s v="MentionsInRetweet"/>
    <x v="17"/>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2T04:56:50.000"/>
    <d v="2022-05-12T00:00:00.000"/>
    <s v="04:56:50"/>
    <s v="https://twitter.com/reenapu64276812/status/1524614554621161478"/>
    <m/>
    <m/>
    <s v="1524614554621161478"/>
    <m/>
    <b v="0"/>
    <n v="0"/>
    <s v=""/>
    <b v="0"/>
    <s v="en"/>
    <m/>
    <s v=""/>
    <b v="0"/>
    <n v="19"/>
    <s v="1524247919188389888"/>
    <s v="Twitter for iPhone"/>
    <b v="0"/>
    <s v="1524247919188389888"/>
    <s v="Tweet"/>
    <n v="0"/>
    <n v="0"/>
    <m/>
    <m/>
    <m/>
    <m/>
    <m/>
    <m/>
    <m/>
    <m/>
    <n v="2"/>
    <s v="1"/>
    <s v="1"/>
    <m/>
    <m/>
    <m/>
    <m/>
    <m/>
    <m/>
    <m/>
    <m/>
    <m/>
  </r>
  <r>
    <s v="reenapu64276812"/>
    <s v="jacindaardern"/>
    <m/>
    <m/>
    <m/>
    <m/>
    <m/>
    <m/>
    <m/>
    <m/>
    <s v="No"/>
    <n v="48"/>
    <m/>
    <m/>
    <s v="MentionsInRetweet"/>
    <x v="17"/>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2T04:56:50.000"/>
    <d v="2022-05-12T00:00:00.000"/>
    <s v="04:56:50"/>
    <s v="https://twitter.com/reenapu64276812/status/1524614554621161478"/>
    <m/>
    <m/>
    <s v="1524614554621161478"/>
    <m/>
    <b v="0"/>
    <n v="0"/>
    <s v=""/>
    <b v="0"/>
    <s v="en"/>
    <m/>
    <s v=""/>
    <b v="0"/>
    <n v="19"/>
    <s v="1524247919188389888"/>
    <s v="Twitter for iPhone"/>
    <b v="0"/>
    <s v="1524247919188389888"/>
    <s v="Tweet"/>
    <n v="0"/>
    <n v="0"/>
    <m/>
    <m/>
    <m/>
    <m/>
    <m/>
    <m/>
    <m/>
    <m/>
    <n v="1"/>
    <s v="1"/>
    <s v="1"/>
    <m/>
    <m/>
    <m/>
    <m/>
    <m/>
    <m/>
    <m/>
    <m/>
    <m/>
  </r>
  <r>
    <s v="reenapu64276812"/>
    <s v="letusbacktonz"/>
    <m/>
    <m/>
    <m/>
    <m/>
    <m/>
    <m/>
    <m/>
    <m/>
    <s v="No"/>
    <n v="49"/>
    <m/>
    <m/>
    <s v="Retweet"/>
    <x v="17"/>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2T04:56:50.000"/>
    <d v="2022-05-12T00:00:00.000"/>
    <s v="04:56:50"/>
    <s v="https://twitter.com/reenapu64276812/status/1524614554621161478"/>
    <m/>
    <m/>
    <s v="1524614554621161478"/>
    <m/>
    <b v="0"/>
    <n v="0"/>
    <s v=""/>
    <b v="0"/>
    <s v="en"/>
    <m/>
    <s v=""/>
    <b v="0"/>
    <n v="19"/>
    <s v="1524247919188389888"/>
    <s v="Twitter for iPhone"/>
    <b v="0"/>
    <s v="1524247919188389888"/>
    <s v="Tweet"/>
    <n v="0"/>
    <n v="0"/>
    <m/>
    <m/>
    <m/>
    <m/>
    <m/>
    <m/>
    <m/>
    <m/>
    <n v="2"/>
    <s v="1"/>
    <s v="2"/>
    <n v="0"/>
    <n v="0"/>
    <n v="5"/>
    <n v="12.820512820512821"/>
    <n v="0"/>
    <n v="0"/>
    <n v="34"/>
    <n v="87.17948717948718"/>
    <n v="39"/>
  </r>
  <r>
    <s v="kannumix"/>
    <s v="krisinmana"/>
    <m/>
    <m/>
    <m/>
    <m/>
    <m/>
    <m/>
    <m/>
    <m/>
    <s v="No"/>
    <n v="50"/>
    <m/>
    <m/>
    <s v="MentionsInRetweet"/>
    <x v="18"/>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2T05:35:16.000"/>
    <d v="2022-05-12T00:00:00.000"/>
    <s v="05:35:16"/>
    <s v="https://twitter.com/kannumix/status/1524624226463801344"/>
    <m/>
    <m/>
    <s v="1524624226463801344"/>
    <m/>
    <b v="0"/>
    <n v="0"/>
    <s v=""/>
    <b v="0"/>
    <s v="en"/>
    <m/>
    <s v=""/>
    <b v="0"/>
    <n v="19"/>
    <s v="1524247919188389888"/>
    <s v="Twitter for Android"/>
    <b v="0"/>
    <s v="1524247919188389888"/>
    <s v="Tweet"/>
    <n v="0"/>
    <n v="0"/>
    <m/>
    <m/>
    <m/>
    <m/>
    <m/>
    <m/>
    <m/>
    <m/>
    <n v="2"/>
    <s v="1"/>
    <s v="1"/>
    <m/>
    <m/>
    <m/>
    <m/>
    <m/>
    <m/>
    <m/>
    <m/>
    <m/>
  </r>
  <r>
    <s v="kannumix"/>
    <s v="jacindaardern"/>
    <m/>
    <m/>
    <m/>
    <m/>
    <m/>
    <m/>
    <m/>
    <m/>
    <s v="No"/>
    <n v="51"/>
    <m/>
    <m/>
    <s v="MentionsInRetweet"/>
    <x v="18"/>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2T05:35:16.000"/>
    <d v="2022-05-12T00:00:00.000"/>
    <s v="05:35:16"/>
    <s v="https://twitter.com/kannumix/status/1524624226463801344"/>
    <m/>
    <m/>
    <s v="1524624226463801344"/>
    <m/>
    <b v="0"/>
    <n v="0"/>
    <s v=""/>
    <b v="0"/>
    <s v="en"/>
    <m/>
    <s v=""/>
    <b v="0"/>
    <n v="19"/>
    <s v="1524247919188389888"/>
    <s v="Twitter for Android"/>
    <b v="0"/>
    <s v="1524247919188389888"/>
    <s v="Tweet"/>
    <n v="0"/>
    <n v="0"/>
    <m/>
    <m/>
    <m/>
    <m/>
    <m/>
    <m/>
    <m/>
    <m/>
    <n v="1"/>
    <s v="1"/>
    <s v="1"/>
    <m/>
    <m/>
    <m/>
    <m/>
    <m/>
    <m/>
    <m/>
    <m/>
    <m/>
  </r>
  <r>
    <s v="kannumix"/>
    <s v="letusbacktonz"/>
    <m/>
    <m/>
    <m/>
    <m/>
    <m/>
    <m/>
    <m/>
    <m/>
    <s v="No"/>
    <n v="52"/>
    <m/>
    <m/>
    <s v="Retweet"/>
    <x v="18"/>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2T05:35:16.000"/>
    <d v="2022-05-12T00:00:00.000"/>
    <s v="05:35:16"/>
    <s v="https://twitter.com/kannumix/status/1524624226463801344"/>
    <m/>
    <m/>
    <s v="1524624226463801344"/>
    <m/>
    <b v="0"/>
    <n v="0"/>
    <s v=""/>
    <b v="0"/>
    <s v="en"/>
    <m/>
    <s v=""/>
    <b v="0"/>
    <n v="19"/>
    <s v="1524247919188389888"/>
    <s v="Twitter for Android"/>
    <b v="0"/>
    <s v="1524247919188389888"/>
    <s v="Tweet"/>
    <n v="0"/>
    <n v="0"/>
    <m/>
    <m/>
    <m/>
    <m/>
    <m/>
    <m/>
    <m/>
    <m/>
    <n v="2"/>
    <s v="1"/>
    <s v="2"/>
    <n v="0"/>
    <n v="0"/>
    <n v="5"/>
    <n v="12.820512820512821"/>
    <n v="0"/>
    <n v="0"/>
    <n v="34"/>
    <n v="87.17948717948718"/>
    <n v="39"/>
  </r>
  <r>
    <s v="kannumix"/>
    <s v="krisinmana"/>
    <m/>
    <m/>
    <m/>
    <m/>
    <m/>
    <m/>
    <m/>
    <m/>
    <s v="No"/>
    <n v="53"/>
    <m/>
    <m/>
    <s v="MentionsInRetweet"/>
    <x v="19"/>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2T05:35:21.000"/>
    <d v="2022-05-12T00:00:00.000"/>
    <s v="05:35:21"/>
    <s v="https://twitter.com/kannumix/status/1524624246126759936"/>
    <m/>
    <m/>
    <s v="1524624246126759936"/>
    <m/>
    <b v="0"/>
    <n v="0"/>
    <s v=""/>
    <b v="0"/>
    <s v="en"/>
    <m/>
    <s v=""/>
    <b v="0"/>
    <n v="16"/>
    <s v="1524368825562836992"/>
    <s v="Twitter for Android"/>
    <b v="0"/>
    <s v="1524368825562836992"/>
    <s v="Tweet"/>
    <n v="0"/>
    <n v="0"/>
    <m/>
    <m/>
    <m/>
    <m/>
    <m/>
    <m/>
    <m/>
    <m/>
    <n v="2"/>
    <s v="1"/>
    <s v="1"/>
    <m/>
    <m/>
    <m/>
    <m/>
    <m/>
    <m/>
    <m/>
    <m/>
    <m/>
  </r>
  <r>
    <s v="kannumix"/>
    <s v="letusbacktonz"/>
    <m/>
    <m/>
    <m/>
    <m/>
    <m/>
    <m/>
    <m/>
    <m/>
    <s v="No"/>
    <n v="54"/>
    <m/>
    <m/>
    <s v="Retweet"/>
    <x v="19"/>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2T05:35:21.000"/>
    <d v="2022-05-12T00:00:00.000"/>
    <s v="05:35:21"/>
    <s v="https://twitter.com/kannumix/status/1524624246126759936"/>
    <m/>
    <m/>
    <s v="1524624246126759936"/>
    <m/>
    <b v="0"/>
    <n v="0"/>
    <s v=""/>
    <b v="0"/>
    <s v="en"/>
    <m/>
    <s v=""/>
    <b v="0"/>
    <n v="16"/>
    <s v="1524368825562836992"/>
    <s v="Twitter for Android"/>
    <b v="0"/>
    <s v="1524368825562836992"/>
    <s v="Tweet"/>
    <n v="0"/>
    <n v="0"/>
    <m/>
    <m/>
    <m/>
    <m/>
    <m/>
    <m/>
    <m/>
    <m/>
    <n v="2"/>
    <s v="1"/>
    <s v="2"/>
    <n v="0"/>
    <n v="0"/>
    <n v="2"/>
    <n v="4.651162790697675"/>
    <n v="0"/>
    <n v="0"/>
    <n v="41"/>
    <n v="95.34883720930233"/>
    <n v="43"/>
  </r>
  <r>
    <s v="vlhtt"/>
    <s v="krisinmana"/>
    <m/>
    <m/>
    <m/>
    <m/>
    <m/>
    <m/>
    <m/>
    <m/>
    <s v="No"/>
    <n v="55"/>
    <m/>
    <m/>
    <s v="MentionsInRetweet"/>
    <x v="20"/>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2T08:43:55.000"/>
    <d v="2022-05-12T00:00:00.000"/>
    <s v="08:43:55"/>
    <s v="https://twitter.com/vlhtt/status/1524671700838797312"/>
    <m/>
    <m/>
    <s v="1524671700838797312"/>
    <m/>
    <b v="0"/>
    <n v="0"/>
    <s v=""/>
    <b v="0"/>
    <s v="en"/>
    <m/>
    <s v=""/>
    <b v="0"/>
    <n v="16"/>
    <s v="1524368825562836992"/>
    <s v="Twitter for iPhone"/>
    <b v="0"/>
    <s v="1524368825562836992"/>
    <s v="Tweet"/>
    <n v="0"/>
    <n v="0"/>
    <m/>
    <m/>
    <m/>
    <m/>
    <m/>
    <m/>
    <m/>
    <m/>
    <n v="1"/>
    <s v="1"/>
    <s v="1"/>
    <m/>
    <m/>
    <m/>
    <m/>
    <m/>
    <m/>
    <m/>
    <m/>
    <m/>
  </r>
  <r>
    <s v="vlhtt"/>
    <s v="letusbacktonz"/>
    <m/>
    <m/>
    <m/>
    <m/>
    <m/>
    <m/>
    <m/>
    <m/>
    <s v="No"/>
    <n v="56"/>
    <m/>
    <m/>
    <s v="Retweet"/>
    <x v="20"/>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2T08:43:55.000"/>
    <d v="2022-05-12T00:00:00.000"/>
    <s v="08:43:55"/>
    <s v="https://twitter.com/vlhtt/status/1524671700838797312"/>
    <m/>
    <m/>
    <s v="1524671700838797312"/>
    <m/>
    <b v="0"/>
    <n v="0"/>
    <s v=""/>
    <b v="0"/>
    <s v="en"/>
    <m/>
    <s v=""/>
    <b v="0"/>
    <n v="16"/>
    <s v="1524368825562836992"/>
    <s v="Twitter for iPhone"/>
    <b v="0"/>
    <s v="1524368825562836992"/>
    <s v="Tweet"/>
    <n v="0"/>
    <n v="0"/>
    <m/>
    <m/>
    <m/>
    <m/>
    <m/>
    <m/>
    <m/>
    <m/>
    <n v="1"/>
    <s v="1"/>
    <s v="2"/>
    <n v="0"/>
    <n v="0"/>
    <n v="2"/>
    <n v="4.651162790697675"/>
    <n v="0"/>
    <n v="0"/>
    <n v="41"/>
    <n v="95.34883720930233"/>
    <n v="43"/>
  </r>
  <r>
    <s v="manidee33889398"/>
    <s v="krisinmana"/>
    <m/>
    <m/>
    <m/>
    <m/>
    <m/>
    <m/>
    <m/>
    <m/>
    <s v="No"/>
    <n v="57"/>
    <m/>
    <m/>
    <s v="MentionsInRetweet"/>
    <x v="21"/>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2T14:48:03.000"/>
    <d v="2022-05-12T00:00:00.000"/>
    <s v="14:48:03"/>
    <s v="https://twitter.com/manidee33889398/status/1524763337711828992"/>
    <m/>
    <m/>
    <s v="1524763337711828992"/>
    <m/>
    <b v="0"/>
    <n v="0"/>
    <s v=""/>
    <b v="0"/>
    <s v="en"/>
    <m/>
    <s v=""/>
    <b v="0"/>
    <n v="16"/>
    <s v="1524368825562836992"/>
    <s v="Twitter for iPhone"/>
    <b v="0"/>
    <s v="1524368825562836992"/>
    <s v="Tweet"/>
    <n v="0"/>
    <n v="0"/>
    <m/>
    <m/>
    <m/>
    <m/>
    <m/>
    <m/>
    <m/>
    <m/>
    <n v="1"/>
    <s v="1"/>
    <s v="1"/>
    <m/>
    <m/>
    <m/>
    <m/>
    <m/>
    <m/>
    <m/>
    <m/>
    <m/>
  </r>
  <r>
    <s v="manidee33889398"/>
    <s v="letusbacktonz"/>
    <m/>
    <m/>
    <m/>
    <m/>
    <m/>
    <m/>
    <m/>
    <m/>
    <s v="No"/>
    <n v="58"/>
    <m/>
    <m/>
    <s v="Retweet"/>
    <x v="21"/>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2T14:48:03.000"/>
    <d v="2022-05-12T00:00:00.000"/>
    <s v="14:48:03"/>
    <s v="https://twitter.com/manidee33889398/status/1524763337711828992"/>
    <m/>
    <m/>
    <s v="1524763337711828992"/>
    <m/>
    <b v="0"/>
    <n v="0"/>
    <s v=""/>
    <b v="0"/>
    <s v="en"/>
    <m/>
    <s v=""/>
    <b v="0"/>
    <n v="16"/>
    <s v="1524368825562836992"/>
    <s v="Twitter for iPhone"/>
    <b v="0"/>
    <s v="1524368825562836992"/>
    <s v="Tweet"/>
    <n v="0"/>
    <n v="0"/>
    <m/>
    <m/>
    <m/>
    <m/>
    <m/>
    <m/>
    <m/>
    <m/>
    <n v="1"/>
    <s v="1"/>
    <s v="2"/>
    <n v="0"/>
    <n v="0"/>
    <n v="2"/>
    <n v="4.651162790697675"/>
    <n v="0"/>
    <n v="0"/>
    <n v="41"/>
    <n v="95.34883720930233"/>
    <n v="43"/>
  </r>
  <r>
    <s v="pen2vivek"/>
    <s v="krisinmana"/>
    <m/>
    <m/>
    <m/>
    <m/>
    <m/>
    <m/>
    <m/>
    <m/>
    <s v="No"/>
    <n v="59"/>
    <m/>
    <m/>
    <s v="MentionsInRetweet"/>
    <x v="22"/>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3T03:13:17.000"/>
    <d v="2022-05-13T00:00:00.000"/>
    <s v="03:13:17"/>
    <s v="https://twitter.com/pen2vivek/status/1524950883259547648"/>
    <m/>
    <m/>
    <s v="1524950883259547648"/>
    <m/>
    <b v="0"/>
    <n v="0"/>
    <s v=""/>
    <b v="0"/>
    <s v="en"/>
    <m/>
    <s v=""/>
    <b v="0"/>
    <n v="16"/>
    <s v="1524368825562836992"/>
    <s v="Twitter for iPhone"/>
    <b v="0"/>
    <s v="1524368825562836992"/>
    <s v="Tweet"/>
    <n v="0"/>
    <n v="0"/>
    <m/>
    <m/>
    <m/>
    <m/>
    <m/>
    <m/>
    <m/>
    <m/>
    <n v="1"/>
    <s v="1"/>
    <s v="1"/>
    <m/>
    <m/>
    <m/>
    <m/>
    <m/>
    <m/>
    <m/>
    <m/>
    <m/>
  </r>
  <r>
    <s v="pen2vivek"/>
    <s v="letusbacktonz"/>
    <m/>
    <m/>
    <m/>
    <m/>
    <m/>
    <m/>
    <m/>
    <m/>
    <s v="No"/>
    <n v="60"/>
    <m/>
    <m/>
    <s v="Retweet"/>
    <x v="22"/>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3T03:13:17.000"/>
    <d v="2022-05-13T00:00:00.000"/>
    <s v="03:13:17"/>
    <s v="https://twitter.com/pen2vivek/status/1524950883259547648"/>
    <m/>
    <m/>
    <s v="1524950883259547648"/>
    <m/>
    <b v="0"/>
    <n v="0"/>
    <s v=""/>
    <b v="0"/>
    <s v="en"/>
    <m/>
    <s v=""/>
    <b v="0"/>
    <n v="16"/>
    <s v="1524368825562836992"/>
    <s v="Twitter for iPhone"/>
    <b v="0"/>
    <s v="1524368825562836992"/>
    <s v="Tweet"/>
    <n v="0"/>
    <n v="0"/>
    <m/>
    <m/>
    <m/>
    <m/>
    <m/>
    <m/>
    <m/>
    <m/>
    <n v="1"/>
    <s v="1"/>
    <s v="2"/>
    <n v="0"/>
    <n v="0"/>
    <n v="2"/>
    <n v="4.651162790697675"/>
    <n v="0"/>
    <n v="0"/>
    <n v="41"/>
    <n v="95.34883720930233"/>
    <n v="43"/>
  </r>
  <r>
    <s v="jatinde45666597"/>
    <s v="krisinmana"/>
    <m/>
    <m/>
    <m/>
    <m/>
    <m/>
    <m/>
    <m/>
    <m/>
    <s v="No"/>
    <n v="61"/>
    <m/>
    <m/>
    <s v="MentionsInRetweet"/>
    <x v="23"/>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11:27:49.000"/>
    <d v="2022-05-11T00:00:00.000"/>
    <s v="11:27:49"/>
    <s v="https://twitter.com/jatinde45666597/status/1524350561193463808"/>
    <m/>
    <m/>
    <s v="1524350561193463808"/>
    <m/>
    <b v="0"/>
    <n v="0"/>
    <s v=""/>
    <b v="0"/>
    <s v="en"/>
    <m/>
    <s v=""/>
    <b v="0"/>
    <n v="19"/>
    <s v="1524247919188389888"/>
    <s v="Twitter for iPhone"/>
    <b v="0"/>
    <s v="1524247919188389888"/>
    <s v="Tweet"/>
    <n v="0"/>
    <n v="0"/>
    <m/>
    <m/>
    <m/>
    <m/>
    <m/>
    <m/>
    <m/>
    <m/>
    <n v="2"/>
    <s v="1"/>
    <s v="1"/>
    <m/>
    <m/>
    <m/>
    <m/>
    <m/>
    <m/>
    <m/>
    <m/>
    <m/>
  </r>
  <r>
    <s v="jatinde45666597"/>
    <s v="jacindaardern"/>
    <m/>
    <m/>
    <m/>
    <m/>
    <m/>
    <m/>
    <m/>
    <m/>
    <s v="No"/>
    <n v="62"/>
    <m/>
    <m/>
    <s v="MentionsInRetweet"/>
    <x v="23"/>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11:27:49.000"/>
    <d v="2022-05-11T00:00:00.000"/>
    <s v="11:27:49"/>
    <s v="https://twitter.com/jatinde45666597/status/1524350561193463808"/>
    <m/>
    <m/>
    <s v="1524350561193463808"/>
    <m/>
    <b v="0"/>
    <n v="0"/>
    <s v=""/>
    <b v="0"/>
    <s v="en"/>
    <m/>
    <s v=""/>
    <b v="0"/>
    <n v="19"/>
    <s v="1524247919188389888"/>
    <s v="Twitter for iPhone"/>
    <b v="0"/>
    <s v="1524247919188389888"/>
    <s v="Tweet"/>
    <n v="0"/>
    <n v="0"/>
    <m/>
    <m/>
    <m/>
    <m/>
    <m/>
    <m/>
    <m/>
    <m/>
    <n v="1"/>
    <s v="1"/>
    <s v="1"/>
    <m/>
    <m/>
    <m/>
    <m/>
    <m/>
    <m/>
    <m/>
    <m/>
    <m/>
  </r>
  <r>
    <s v="jatinde45666597"/>
    <s v="letusbacktonz"/>
    <m/>
    <m/>
    <m/>
    <m/>
    <m/>
    <m/>
    <m/>
    <m/>
    <s v="No"/>
    <n v="63"/>
    <m/>
    <m/>
    <s v="Retweet"/>
    <x v="23"/>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11:27:49.000"/>
    <d v="2022-05-11T00:00:00.000"/>
    <s v="11:27:49"/>
    <s v="https://twitter.com/jatinde45666597/status/1524350561193463808"/>
    <m/>
    <m/>
    <s v="1524350561193463808"/>
    <m/>
    <b v="0"/>
    <n v="0"/>
    <s v=""/>
    <b v="0"/>
    <s v="en"/>
    <m/>
    <s v=""/>
    <b v="0"/>
    <n v="19"/>
    <s v="1524247919188389888"/>
    <s v="Twitter for iPhone"/>
    <b v="0"/>
    <s v="1524247919188389888"/>
    <s v="Tweet"/>
    <n v="0"/>
    <n v="0"/>
    <m/>
    <m/>
    <m/>
    <m/>
    <m/>
    <m/>
    <m/>
    <m/>
    <n v="2"/>
    <s v="1"/>
    <s v="2"/>
    <n v="0"/>
    <n v="0"/>
    <n v="5"/>
    <n v="12.820512820512821"/>
    <n v="0"/>
    <n v="0"/>
    <n v="34"/>
    <n v="87.17948717948718"/>
    <n v="39"/>
  </r>
  <r>
    <s v="jatinde45666597"/>
    <s v="krisinmana"/>
    <m/>
    <m/>
    <m/>
    <m/>
    <m/>
    <m/>
    <m/>
    <m/>
    <s v="No"/>
    <n v="64"/>
    <m/>
    <m/>
    <s v="MentionsInRetweet"/>
    <x v="24"/>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3T06:57:51.000"/>
    <d v="2022-05-13T00:00:00.000"/>
    <s v="06:57:51"/>
    <s v="https://twitter.com/jatinde45666597/status/1525007396992536577"/>
    <m/>
    <m/>
    <s v="1525007396992536577"/>
    <m/>
    <b v="0"/>
    <n v="0"/>
    <s v=""/>
    <b v="0"/>
    <s v="en"/>
    <m/>
    <s v=""/>
    <b v="0"/>
    <n v="16"/>
    <s v="1524368825562836992"/>
    <s v="Twitter for iPhone"/>
    <b v="0"/>
    <s v="1524368825562836992"/>
    <s v="Tweet"/>
    <n v="0"/>
    <n v="0"/>
    <m/>
    <m/>
    <m/>
    <m/>
    <m/>
    <m/>
    <m/>
    <m/>
    <n v="2"/>
    <s v="1"/>
    <s v="1"/>
    <m/>
    <m/>
    <m/>
    <m/>
    <m/>
    <m/>
    <m/>
    <m/>
    <m/>
  </r>
  <r>
    <s v="jatinde45666597"/>
    <s v="letusbacktonz"/>
    <m/>
    <m/>
    <m/>
    <m/>
    <m/>
    <m/>
    <m/>
    <m/>
    <s v="No"/>
    <n v="65"/>
    <m/>
    <m/>
    <s v="Retweet"/>
    <x v="24"/>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3T06:57:51.000"/>
    <d v="2022-05-13T00:00:00.000"/>
    <s v="06:57:51"/>
    <s v="https://twitter.com/jatinde45666597/status/1525007396992536577"/>
    <m/>
    <m/>
    <s v="1525007396992536577"/>
    <m/>
    <b v="0"/>
    <n v="0"/>
    <s v=""/>
    <b v="0"/>
    <s v="en"/>
    <m/>
    <s v=""/>
    <b v="0"/>
    <n v="16"/>
    <s v="1524368825562836992"/>
    <s v="Twitter for iPhone"/>
    <b v="0"/>
    <s v="1524368825562836992"/>
    <s v="Tweet"/>
    <n v="0"/>
    <n v="0"/>
    <m/>
    <m/>
    <m/>
    <m/>
    <m/>
    <m/>
    <m/>
    <m/>
    <n v="2"/>
    <s v="1"/>
    <s v="2"/>
    <n v="0"/>
    <n v="0"/>
    <n v="2"/>
    <n v="4.651162790697675"/>
    <n v="0"/>
    <n v="0"/>
    <n v="41"/>
    <n v="95.34883720930233"/>
    <n v="43"/>
  </r>
  <r>
    <s v="hardikp59369014"/>
    <s v="krisinmana"/>
    <m/>
    <m/>
    <m/>
    <m/>
    <m/>
    <m/>
    <m/>
    <m/>
    <s v="No"/>
    <n v="66"/>
    <m/>
    <m/>
    <s v="MentionsInRetweet"/>
    <x v="25"/>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11:47:26.000"/>
    <d v="2022-05-11T00:00:00.000"/>
    <s v="11:47:26"/>
    <s v="https://twitter.com/hardikp59369014/status/1524355496316391424"/>
    <m/>
    <m/>
    <s v="1524355496316391424"/>
    <m/>
    <b v="0"/>
    <n v="0"/>
    <s v=""/>
    <b v="0"/>
    <s v="en"/>
    <m/>
    <s v=""/>
    <b v="0"/>
    <n v="19"/>
    <s v="1524247919188389888"/>
    <s v="Twitter for Android"/>
    <b v="0"/>
    <s v="1524247919188389888"/>
    <s v="Tweet"/>
    <n v="0"/>
    <n v="0"/>
    <m/>
    <m/>
    <m/>
    <m/>
    <m/>
    <m/>
    <m/>
    <m/>
    <n v="2"/>
    <s v="4"/>
    <s v="1"/>
    <m/>
    <m/>
    <m/>
    <m/>
    <m/>
    <m/>
    <m/>
    <m/>
    <m/>
  </r>
  <r>
    <s v="hardikp59369014"/>
    <s v="jacindaardern"/>
    <m/>
    <m/>
    <m/>
    <m/>
    <m/>
    <m/>
    <m/>
    <m/>
    <s v="No"/>
    <n v="67"/>
    <m/>
    <m/>
    <s v="MentionsInRetweet"/>
    <x v="25"/>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11:47:26.000"/>
    <d v="2022-05-11T00:00:00.000"/>
    <s v="11:47:26"/>
    <s v="https://twitter.com/hardikp59369014/status/1524355496316391424"/>
    <m/>
    <m/>
    <s v="1524355496316391424"/>
    <m/>
    <b v="0"/>
    <n v="0"/>
    <s v=""/>
    <b v="0"/>
    <s v="en"/>
    <m/>
    <s v=""/>
    <b v="0"/>
    <n v="19"/>
    <s v="1524247919188389888"/>
    <s v="Twitter for Android"/>
    <b v="0"/>
    <s v="1524247919188389888"/>
    <s v="Tweet"/>
    <n v="0"/>
    <n v="0"/>
    <m/>
    <m/>
    <m/>
    <m/>
    <m/>
    <m/>
    <m/>
    <m/>
    <n v="1"/>
    <s v="4"/>
    <s v="1"/>
    <m/>
    <m/>
    <m/>
    <m/>
    <m/>
    <m/>
    <m/>
    <m/>
    <m/>
  </r>
  <r>
    <s v="hardikp59369014"/>
    <s v="letusbacktonz"/>
    <m/>
    <m/>
    <m/>
    <m/>
    <m/>
    <m/>
    <m/>
    <m/>
    <s v="No"/>
    <n v="68"/>
    <m/>
    <m/>
    <s v="Retweet"/>
    <x v="25"/>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11:47:26.000"/>
    <d v="2022-05-11T00:00:00.000"/>
    <s v="11:47:26"/>
    <s v="https://twitter.com/hardikp59369014/status/1524355496316391424"/>
    <m/>
    <m/>
    <s v="1524355496316391424"/>
    <m/>
    <b v="0"/>
    <n v="0"/>
    <s v=""/>
    <b v="0"/>
    <s v="en"/>
    <m/>
    <s v=""/>
    <b v="0"/>
    <n v="19"/>
    <s v="1524247919188389888"/>
    <s v="Twitter for Android"/>
    <b v="0"/>
    <s v="1524247919188389888"/>
    <s v="Tweet"/>
    <n v="0"/>
    <n v="0"/>
    <m/>
    <m/>
    <m/>
    <m/>
    <m/>
    <m/>
    <m/>
    <m/>
    <n v="3"/>
    <s v="4"/>
    <s v="2"/>
    <n v="0"/>
    <n v="0"/>
    <n v="5"/>
    <n v="12.820512820512821"/>
    <n v="0"/>
    <n v="0"/>
    <n v="34"/>
    <n v="87.17948717948718"/>
    <n v="39"/>
  </r>
  <r>
    <s v="hardikp59369014"/>
    <s v="krisinmana"/>
    <m/>
    <m/>
    <m/>
    <m/>
    <m/>
    <m/>
    <m/>
    <m/>
    <s v="No"/>
    <n v="69"/>
    <m/>
    <m/>
    <s v="MentionsInRetweet"/>
    <x v="26"/>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2T04:10:09.000"/>
    <d v="2022-05-12T00:00:00.000"/>
    <s v="04:10:09"/>
    <s v="https://twitter.com/hardikp59369014/status/1524602805578649600"/>
    <m/>
    <m/>
    <s v="1524602805578649600"/>
    <m/>
    <b v="0"/>
    <n v="0"/>
    <s v=""/>
    <b v="0"/>
    <s v="en"/>
    <m/>
    <s v=""/>
    <b v="0"/>
    <n v="16"/>
    <s v="1524368825562836992"/>
    <s v="Twitter for Android"/>
    <b v="0"/>
    <s v="1524368825562836992"/>
    <s v="Tweet"/>
    <n v="0"/>
    <n v="0"/>
    <m/>
    <m/>
    <m/>
    <m/>
    <m/>
    <m/>
    <m/>
    <m/>
    <n v="2"/>
    <s v="4"/>
    <s v="1"/>
    <m/>
    <m/>
    <m/>
    <m/>
    <m/>
    <m/>
    <m/>
    <m/>
    <m/>
  </r>
  <r>
    <s v="hardikp59369014"/>
    <s v="letusbacktonz"/>
    <m/>
    <m/>
    <m/>
    <m/>
    <m/>
    <m/>
    <m/>
    <m/>
    <s v="No"/>
    <n v="70"/>
    <m/>
    <m/>
    <s v="Retweet"/>
    <x v="26"/>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2T04:10:09.000"/>
    <d v="2022-05-12T00:00:00.000"/>
    <s v="04:10:09"/>
    <s v="https://twitter.com/hardikp59369014/status/1524602805578649600"/>
    <m/>
    <m/>
    <s v="1524602805578649600"/>
    <m/>
    <b v="0"/>
    <n v="0"/>
    <s v=""/>
    <b v="0"/>
    <s v="en"/>
    <m/>
    <s v=""/>
    <b v="0"/>
    <n v="16"/>
    <s v="1524368825562836992"/>
    <s v="Twitter for Android"/>
    <b v="0"/>
    <s v="1524368825562836992"/>
    <s v="Tweet"/>
    <n v="0"/>
    <n v="0"/>
    <m/>
    <m/>
    <m/>
    <m/>
    <m/>
    <m/>
    <m/>
    <m/>
    <n v="3"/>
    <s v="4"/>
    <s v="2"/>
    <n v="0"/>
    <n v="0"/>
    <n v="2"/>
    <n v="4.651162790697675"/>
    <n v="0"/>
    <n v="0"/>
    <n v="41"/>
    <n v="95.34883720930233"/>
    <n v="43"/>
  </r>
  <r>
    <s v="hardikp59369014"/>
    <s v="mbiegovtnz"/>
    <m/>
    <m/>
    <m/>
    <m/>
    <m/>
    <m/>
    <m/>
    <m/>
    <s v="No"/>
    <n v="71"/>
    <m/>
    <m/>
    <s v="Mentions"/>
    <x v="27"/>
    <s v="@LetusbacktoNZ @MBIEgovtnz Bitter truth 💔"/>
    <m/>
    <m/>
    <m/>
    <m/>
    <s v="https://pbs.twimg.com/profile_images/1092876231463165952/gkmTL7e8_normal.jpg"/>
    <d v="2022-05-12T08:31:50.000"/>
    <d v="2022-05-12T00:00:00.000"/>
    <s v="08:31:50"/>
    <s v="https://twitter.com/hardikp59369014/status/1524668661138882566"/>
    <m/>
    <m/>
    <s v="1524668661138882566"/>
    <s v="1524623401868214272"/>
    <b v="0"/>
    <n v="1"/>
    <s v="1364641667282657281"/>
    <b v="0"/>
    <s v="en"/>
    <m/>
    <s v=""/>
    <b v="0"/>
    <n v="1"/>
    <s v=""/>
    <s v="Twitter for Android"/>
    <b v="0"/>
    <s v="1524623401868214272"/>
    <s v="Tweet"/>
    <n v="0"/>
    <n v="0"/>
    <m/>
    <m/>
    <m/>
    <m/>
    <m/>
    <m/>
    <m/>
    <m/>
    <n v="1"/>
    <s v="4"/>
    <s v="4"/>
    <n v="0"/>
    <n v="0"/>
    <n v="1"/>
    <n v="25"/>
    <n v="0"/>
    <n v="0"/>
    <n v="3"/>
    <n v="75"/>
    <n v="4"/>
  </r>
  <r>
    <s v="hardikp59369014"/>
    <s v="letusbacktonz"/>
    <m/>
    <m/>
    <m/>
    <m/>
    <m/>
    <m/>
    <m/>
    <m/>
    <s v="No"/>
    <n v="72"/>
    <m/>
    <m/>
    <s v="Replies to"/>
    <x v="27"/>
    <s v="@LetusbacktoNZ @MBIEgovtnz Bitter truth 💔"/>
    <m/>
    <m/>
    <m/>
    <m/>
    <s v="https://pbs.twimg.com/profile_images/1092876231463165952/gkmTL7e8_normal.jpg"/>
    <d v="2022-05-12T08:31:50.000"/>
    <d v="2022-05-12T00:00:00.000"/>
    <s v="08:31:50"/>
    <s v="https://twitter.com/hardikp59369014/status/1524668661138882566"/>
    <m/>
    <m/>
    <s v="1524668661138882566"/>
    <s v="1524623401868214272"/>
    <b v="0"/>
    <n v="1"/>
    <s v="1364641667282657281"/>
    <b v="0"/>
    <s v="en"/>
    <m/>
    <s v=""/>
    <b v="0"/>
    <n v="1"/>
    <s v=""/>
    <s v="Twitter for Android"/>
    <b v="0"/>
    <s v="1524623401868214272"/>
    <s v="Tweet"/>
    <n v="0"/>
    <n v="0"/>
    <m/>
    <m/>
    <m/>
    <m/>
    <m/>
    <m/>
    <m/>
    <m/>
    <n v="3"/>
    <s v="4"/>
    <s v="2"/>
    <m/>
    <m/>
    <m/>
    <m/>
    <m/>
    <m/>
    <m/>
    <m/>
    <m/>
  </r>
  <r>
    <s v="bumrahgarry"/>
    <s v="hardikp59369014"/>
    <m/>
    <m/>
    <m/>
    <m/>
    <m/>
    <m/>
    <m/>
    <m/>
    <s v="No"/>
    <n v="73"/>
    <m/>
    <m/>
    <s v="Retweet"/>
    <x v="28"/>
    <s v="@LetusbacktoNZ @MBIEgovtnz Bitter truth 💔"/>
    <m/>
    <m/>
    <m/>
    <m/>
    <s v="https://pbs.twimg.com/profile_images/1357227655876272128/3dpMLIyf_normal.jpg"/>
    <d v="2022-05-13T09:00:16.000"/>
    <d v="2022-05-13T00:00:00.000"/>
    <s v="09:00:16"/>
    <s v="https://twitter.com/bumrahgarry/status/1525038206667870209"/>
    <m/>
    <m/>
    <s v="1525038206667870209"/>
    <m/>
    <b v="0"/>
    <n v="0"/>
    <s v=""/>
    <b v="0"/>
    <s v="en"/>
    <m/>
    <s v=""/>
    <b v="0"/>
    <n v="1"/>
    <s v="1524668661138882566"/>
    <s v="Twitter for iPhone"/>
    <b v="0"/>
    <s v="1524668661138882566"/>
    <s v="Tweet"/>
    <n v="0"/>
    <n v="0"/>
    <m/>
    <m/>
    <m/>
    <m/>
    <m/>
    <m/>
    <m/>
    <m/>
    <n v="1"/>
    <s v="4"/>
    <s v="4"/>
    <m/>
    <m/>
    <m/>
    <m/>
    <m/>
    <m/>
    <m/>
    <m/>
    <m/>
  </r>
  <r>
    <s v="bumrahgarry"/>
    <s v="mbiegovtnz"/>
    <m/>
    <m/>
    <m/>
    <m/>
    <m/>
    <m/>
    <m/>
    <m/>
    <s v="No"/>
    <n v="74"/>
    <m/>
    <m/>
    <s v="MentionsInRetweet"/>
    <x v="28"/>
    <s v="@LetusbacktoNZ @MBIEgovtnz Bitter truth 💔"/>
    <m/>
    <m/>
    <m/>
    <m/>
    <s v="https://pbs.twimg.com/profile_images/1357227655876272128/3dpMLIyf_normal.jpg"/>
    <d v="2022-05-13T09:00:16.000"/>
    <d v="2022-05-13T00:00:00.000"/>
    <s v="09:00:16"/>
    <s v="https://twitter.com/bumrahgarry/status/1525038206667870209"/>
    <m/>
    <m/>
    <s v="1525038206667870209"/>
    <m/>
    <b v="0"/>
    <n v="0"/>
    <s v=""/>
    <b v="0"/>
    <s v="en"/>
    <m/>
    <s v=""/>
    <b v="0"/>
    <n v="1"/>
    <s v="1524668661138882566"/>
    <s v="Twitter for iPhone"/>
    <b v="0"/>
    <s v="1524668661138882566"/>
    <s v="Tweet"/>
    <n v="0"/>
    <n v="0"/>
    <m/>
    <m/>
    <m/>
    <m/>
    <m/>
    <m/>
    <m/>
    <m/>
    <n v="1"/>
    <s v="4"/>
    <s v="4"/>
    <m/>
    <m/>
    <m/>
    <m/>
    <m/>
    <m/>
    <m/>
    <m/>
    <m/>
  </r>
  <r>
    <s v="bumrahgarry"/>
    <s v="letusbacktonz"/>
    <m/>
    <m/>
    <m/>
    <m/>
    <m/>
    <m/>
    <m/>
    <m/>
    <s v="No"/>
    <n v="75"/>
    <m/>
    <m/>
    <s v="Replies to"/>
    <x v="28"/>
    <s v="@LetusbacktoNZ @MBIEgovtnz Bitter truth 💔"/>
    <m/>
    <m/>
    <m/>
    <m/>
    <s v="https://pbs.twimg.com/profile_images/1357227655876272128/3dpMLIyf_normal.jpg"/>
    <d v="2022-05-13T09:00:16.000"/>
    <d v="2022-05-13T00:00:00.000"/>
    <s v="09:00:16"/>
    <s v="https://twitter.com/bumrahgarry/status/1525038206667870209"/>
    <m/>
    <m/>
    <s v="1525038206667870209"/>
    <m/>
    <b v="0"/>
    <n v="0"/>
    <s v=""/>
    <b v="0"/>
    <s v="en"/>
    <m/>
    <s v=""/>
    <b v="0"/>
    <n v="1"/>
    <s v="1524668661138882566"/>
    <s v="Twitter for iPhone"/>
    <b v="0"/>
    <s v="1524668661138882566"/>
    <s v="Tweet"/>
    <n v="0"/>
    <n v="0"/>
    <m/>
    <m/>
    <m/>
    <m/>
    <m/>
    <m/>
    <m/>
    <m/>
    <n v="1"/>
    <s v="4"/>
    <s v="2"/>
    <n v="0"/>
    <n v="0"/>
    <n v="1"/>
    <n v="25"/>
    <n v="0"/>
    <n v="0"/>
    <n v="3"/>
    <n v="75"/>
    <n v="4"/>
  </r>
  <r>
    <s v="kulbir51059784"/>
    <s v="krisinmana"/>
    <m/>
    <m/>
    <m/>
    <m/>
    <m/>
    <m/>
    <m/>
    <m/>
    <s v="No"/>
    <n v="76"/>
    <m/>
    <m/>
    <s v="MentionsInRetweet"/>
    <x v="29"/>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4:44:08.000"/>
    <d v="2022-05-11T00:00:00.000"/>
    <s v="04:44:08"/>
    <s v="https://twitter.com/kulbir51059784/status/1524248969043673088"/>
    <m/>
    <m/>
    <s v="1524248969043673088"/>
    <m/>
    <b v="0"/>
    <n v="0"/>
    <s v=""/>
    <b v="0"/>
    <s v="en"/>
    <m/>
    <s v=""/>
    <b v="0"/>
    <n v="19"/>
    <s v="1524247919188389888"/>
    <s v="Twitter for Android"/>
    <b v="0"/>
    <s v="1524247919188389888"/>
    <s v="Tweet"/>
    <n v="0"/>
    <n v="0"/>
    <m/>
    <m/>
    <m/>
    <m/>
    <m/>
    <m/>
    <m/>
    <m/>
    <n v="2"/>
    <s v="1"/>
    <s v="1"/>
    <m/>
    <m/>
    <m/>
    <m/>
    <m/>
    <m/>
    <m/>
    <m/>
    <m/>
  </r>
  <r>
    <s v="kulbir51059784"/>
    <s v="jacindaardern"/>
    <m/>
    <m/>
    <m/>
    <m/>
    <m/>
    <m/>
    <m/>
    <m/>
    <s v="No"/>
    <n v="77"/>
    <m/>
    <m/>
    <s v="MentionsInRetweet"/>
    <x v="29"/>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4:44:08.000"/>
    <d v="2022-05-11T00:00:00.000"/>
    <s v="04:44:08"/>
    <s v="https://twitter.com/kulbir51059784/status/1524248969043673088"/>
    <m/>
    <m/>
    <s v="1524248969043673088"/>
    <m/>
    <b v="0"/>
    <n v="0"/>
    <s v=""/>
    <b v="0"/>
    <s v="en"/>
    <m/>
    <s v=""/>
    <b v="0"/>
    <n v="19"/>
    <s v="1524247919188389888"/>
    <s v="Twitter for Android"/>
    <b v="0"/>
    <s v="1524247919188389888"/>
    <s v="Tweet"/>
    <n v="0"/>
    <n v="0"/>
    <m/>
    <m/>
    <m/>
    <m/>
    <m/>
    <m/>
    <m/>
    <m/>
    <n v="1"/>
    <s v="1"/>
    <s v="1"/>
    <m/>
    <m/>
    <m/>
    <m/>
    <m/>
    <m/>
    <m/>
    <m/>
    <m/>
  </r>
  <r>
    <s v="kulbir51059784"/>
    <s v="letusbacktonz"/>
    <m/>
    <m/>
    <m/>
    <m/>
    <m/>
    <m/>
    <m/>
    <m/>
    <s v="No"/>
    <n v="78"/>
    <m/>
    <m/>
    <s v="Retweet"/>
    <x v="29"/>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4:44:08.000"/>
    <d v="2022-05-11T00:00:00.000"/>
    <s v="04:44:08"/>
    <s v="https://twitter.com/kulbir51059784/status/1524248969043673088"/>
    <m/>
    <m/>
    <s v="1524248969043673088"/>
    <m/>
    <b v="0"/>
    <n v="0"/>
    <s v=""/>
    <b v="0"/>
    <s v="en"/>
    <m/>
    <s v=""/>
    <b v="0"/>
    <n v="19"/>
    <s v="1524247919188389888"/>
    <s v="Twitter for Android"/>
    <b v="0"/>
    <s v="1524247919188389888"/>
    <s v="Tweet"/>
    <n v="0"/>
    <n v="0"/>
    <m/>
    <m/>
    <m/>
    <m/>
    <m/>
    <m/>
    <m/>
    <m/>
    <n v="4"/>
    <s v="1"/>
    <s v="2"/>
    <n v="0"/>
    <n v="0"/>
    <n v="5"/>
    <n v="12.820512820512821"/>
    <n v="0"/>
    <n v="0"/>
    <n v="34"/>
    <n v="87.17948717948718"/>
    <n v="39"/>
  </r>
  <r>
    <s v="kulbir51059784"/>
    <s v="krisinmana"/>
    <m/>
    <m/>
    <m/>
    <m/>
    <m/>
    <m/>
    <m/>
    <m/>
    <s v="No"/>
    <n v="79"/>
    <m/>
    <m/>
    <s v="MentionsInRetweet"/>
    <x v="30"/>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1T12:51:49.000"/>
    <d v="2022-05-11T00:00:00.000"/>
    <s v="12:51:49"/>
    <s v="https://twitter.com/kulbir51059784/status/1524371701240598528"/>
    <m/>
    <m/>
    <s v="1524371701240598528"/>
    <m/>
    <b v="0"/>
    <n v="0"/>
    <s v=""/>
    <b v="0"/>
    <s v="en"/>
    <m/>
    <s v=""/>
    <b v="0"/>
    <n v="16"/>
    <s v="1524368825562836992"/>
    <s v="Twitter for Android"/>
    <b v="0"/>
    <s v="1524368825562836992"/>
    <s v="Tweet"/>
    <n v="0"/>
    <n v="0"/>
    <m/>
    <m/>
    <m/>
    <m/>
    <m/>
    <m/>
    <m/>
    <m/>
    <n v="2"/>
    <s v="1"/>
    <s v="1"/>
    <m/>
    <m/>
    <m/>
    <m/>
    <m/>
    <m/>
    <m/>
    <m/>
    <m/>
  </r>
  <r>
    <s v="kulbir51059784"/>
    <s v="letusbacktonz"/>
    <m/>
    <m/>
    <m/>
    <m/>
    <m/>
    <m/>
    <m/>
    <m/>
    <s v="No"/>
    <n v="80"/>
    <m/>
    <m/>
    <s v="Retweet"/>
    <x v="30"/>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1T12:51:49.000"/>
    <d v="2022-05-11T00:00:00.000"/>
    <s v="12:51:49"/>
    <s v="https://twitter.com/kulbir51059784/status/1524371701240598528"/>
    <m/>
    <m/>
    <s v="1524371701240598528"/>
    <m/>
    <b v="0"/>
    <n v="0"/>
    <s v=""/>
    <b v="0"/>
    <s v="en"/>
    <m/>
    <s v=""/>
    <b v="0"/>
    <n v="16"/>
    <s v="1524368825562836992"/>
    <s v="Twitter for Android"/>
    <b v="0"/>
    <s v="1524368825562836992"/>
    <s v="Tweet"/>
    <n v="0"/>
    <n v="0"/>
    <m/>
    <m/>
    <m/>
    <m/>
    <m/>
    <m/>
    <m/>
    <m/>
    <n v="4"/>
    <s v="1"/>
    <s v="2"/>
    <n v="0"/>
    <n v="0"/>
    <n v="2"/>
    <n v="4.651162790697675"/>
    <n v="0"/>
    <n v="0"/>
    <n v="41"/>
    <n v="95.34883720930233"/>
    <n v="43"/>
  </r>
  <r>
    <s v="kulbir51059784"/>
    <s v="gurisydney"/>
    <m/>
    <m/>
    <m/>
    <m/>
    <m/>
    <m/>
    <m/>
    <m/>
    <s v="No"/>
    <n v="81"/>
    <m/>
    <m/>
    <s v="Retweet"/>
    <x v="31"/>
    <s v="@LetusbacktoNZ I am also stuck due to lockdown till now, even I applied for visa extension and had paid and all other expenses but even then they refused my visa…."/>
    <m/>
    <m/>
    <m/>
    <m/>
    <s v="https://pbs.twimg.com/profile_images/1495241009025806336/2f7q23Cn_normal.jpg"/>
    <d v="2022-05-14T05:57:24.000"/>
    <d v="2022-05-14T00:00:00.000"/>
    <s v="05:57:24"/>
    <s v="https://twitter.com/kulbir51059784/status/1525354574462083073"/>
    <m/>
    <m/>
    <s v="1525354574462083073"/>
    <m/>
    <b v="0"/>
    <n v="0"/>
    <s v=""/>
    <b v="0"/>
    <s v="en"/>
    <m/>
    <s v=""/>
    <b v="0"/>
    <n v="3"/>
    <s v="1525350352807403520"/>
    <s v="Twitter for Android"/>
    <b v="0"/>
    <s v="1525350352807403520"/>
    <s v="Tweet"/>
    <n v="0"/>
    <n v="0"/>
    <m/>
    <m/>
    <m/>
    <m/>
    <m/>
    <m/>
    <m/>
    <m/>
    <n v="2"/>
    <s v="1"/>
    <s v="1"/>
    <n v="0"/>
    <n v="0"/>
    <n v="2"/>
    <n v="6.666666666666667"/>
    <n v="0"/>
    <n v="0"/>
    <n v="28"/>
    <n v="93.33333333333333"/>
    <n v="30"/>
  </r>
  <r>
    <s v="kulbir51059784"/>
    <s v="letusbacktonz"/>
    <m/>
    <m/>
    <m/>
    <m/>
    <m/>
    <m/>
    <m/>
    <m/>
    <s v="No"/>
    <n v="82"/>
    <m/>
    <m/>
    <s v="Replies to"/>
    <x v="31"/>
    <s v="@LetusbacktoNZ I am also stuck due to lockdown till now, even I applied for visa extension and had paid and all other expenses but even then they refused my visa…."/>
    <m/>
    <m/>
    <m/>
    <m/>
    <s v="https://pbs.twimg.com/profile_images/1495241009025806336/2f7q23Cn_normal.jpg"/>
    <d v="2022-05-14T05:57:24.000"/>
    <d v="2022-05-14T00:00:00.000"/>
    <s v="05:57:24"/>
    <s v="https://twitter.com/kulbir51059784/status/1525354574462083073"/>
    <m/>
    <m/>
    <s v="1525354574462083073"/>
    <m/>
    <b v="0"/>
    <n v="0"/>
    <s v=""/>
    <b v="0"/>
    <s v="en"/>
    <m/>
    <s v=""/>
    <b v="0"/>
    <n v="3"/>
    <s v="1525350352807403520"/>
    <s v="Twitter for Android"/>
    <b v="0"/>
    <s v="1525350352807403520"/>
    <s v="Tweet"/>
    <n v="0"/>
    <n v="0"/>
    <m/>
    <m/>
    <m/>
    <m/>
    <m/>
    <m/>
    <m/>
    <m/>
    <n v="4"/>
    <s v="1"/>
    <s v="2"/>
    <m/>
    <m/>
    <m/>
    <m/>
    <m/>
    <m/>
    <m/>
    <m/>
    <m/>
  </r>
  <r>
    <s v="kulbir51059784"/>
    <s v="gurisydney"/>
    <m/>
    <m/>
    <m/>
    <m/>
    <m/>
    <m/>
    <m/>
    <m/>
    <s v="No"/>
    <n v="83"/>
    <m/>
    <m/>
    <s v="Retweet"/>
    <x v="32"/>
    <s v="@LetusbacktoNZ Who said Australian government extended the visa??"/>
    <m/>
    <m/>
    <m/>
    <m/>
    <s v="https://pbs.twimg.com/profile_images/1495241009025806336/2f7q23Cn_normal.jpg"/>
    <d v="2022-05-14T05:57:30.000"/>
    <d v="2022-05-14T00:00:00.000"/>
    <s v="05:57:30"/>
    <s v="https://twitter.com/kulbir51059784/status/1525354596113084416"/>
    <m/>
    <m/>
    <s v="1525354596113084416"/>
    <m/>
    <b v="0"/>
    <n v="0"/>
    <s v=""/>
    <b v="0"/>
    <s v="en"/>
    <m/>
    <s v=""/>
    <b v="0"/>
    <n v="2"/>
    <s v="1525350074842480640"/>
    <s v="Twitter for Android"/>
    <b v="0"/>
    <s v="1525350074842480640"/>
    <s v="Tweet"/>
    <n v="0"/>
    <n v="0"/>
    <m/>
    <m/>
    <m/>
    <m/>
    <m/>
    <m/>
    <m/>
    <m/>
    <n v="2"/>
    <s v="1"/>
    <s v="1"/>
    <n v="0"/>
    <n v="0"/>
    <n v="0"/>
    <n v="0"/>
    <n v="0"/>
    <n v="0"/>
    <n v="8"/>
    <n v="100"/>
    <n v="8"/>
  </r>
  <r>
    <s v="kulbir51059784"/>
    <s v="letusbacktonz"/>
    <m/>
    <m/>
    <m/>
    <m/>
    <m/>
    <m/>
    <m/>
    <m/>
    <s v="No"/>
    <n v="84"/>
    <m/>
    <m/>
    <s v="Replies to"/>
    <x v="32"/>
    <s v="@LetusbacktoNZ Who said Australian government extended the visa??"/>
    <m/>
    <m/>
    <m/>
    <m/>
    <s v="https://pbs.twimg.com/profile_images/1495241009025806336/2f7q23Cn_normal.jpg"/>
    <d v="2022-05-14T05:57:30.000"/>
    <d v="2022-05-14T00:00:00.000"/>
    <s v="05:57:30"/>
    <s v="https://twitter.com/kulbir51059784/status/1525354596113084416"/>
    <m/>
    <m/>
    <s v="1525354596113084416"/>
    <m/>
    <b v="0"/>
    <n v="0"/>
    <s v=""/>
    <b v="0"/>
    <s v="en"/>
    <m/>
    <s v=""/>
    <b v="0"/>
    <n v="2"/>
    <s v="1525350074842480640"/>
    <s v="Twitter for Android"/>
    <b v="0"/>
    <s v="1525350074842480640"/>
    <s v="Tweet"/>
    <n v="0"/>
    <n v="0"/>
    <m/>
    <m/>
    <m/>
    <m/>
    <m/>
    <m/>
    <m/>
    <m/>
    <n v="4"/>
    <s v="1"/>
    <s v="2"/>
    <m/>
    <m/>
    <m/>
    <m/>
    <m/>
    <m/>
    <m/>
    <m/>
    <m/>
  </r>
  <r>
    <s v="hargurpreetkau4"/>
    <s v="krisinmana"/>
    <m/>
    <m/>
    <m/>
    <m/>
    <m/>
    <m/>
    <m/>
    <m/>
    <s v="No"/>
    <n v="85"/>
    <m/>
    <m/>
    <s v="MentionsInRetweet"/>
    <x v="33"/>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4:53:57.000"/>
    <d v="2022-05-11T00:00:00.000"/>
    <s v="04:53:57"/>
    <s v="https://twitter.com/hargurpreetkau4/status/1524251440260460544"/>
    <m/>
    <m/>
    <s v="1524251440260460544"/>
    <m/>
    <b v="0"/>
    <n v="0"/>
    <s v=""/>
    <b v="0"/>
    <s v="en"/>
    <m/>
    <s v=""/>
    <b v="0"/>
    <n v="19"/>
    <s v="1524247919188389888"/>
    <s v="Twitter for Android"/>
    <b v="0"/>
    <s v="1524247919188389888"/>
    <s v="Tweet"/>
    <n v="0"/>
    <n v="0"/>
    <m/>
    <m/>
    <m/>
    <m/>
    <m/>
    <m/>
    <m/>
    <m/>
    <n v="2"/>
    <s v="1"/>
    <s v="1"/>
    <m/>
    <m/>
    <m/>
    <m/>
    <m/>
    <m/>
    <m/>
    <m/>
    <m/>
  </r>
  <r>
    <s v="hargurpreetkau4"/>
    <s v="jacindaardern"/>
    <m/>
    <m/>
    <m/>
    <m/>
    <m/>
    <m/>
    <m/>
    <m/>
    <s v="No"/>
    <n v="86"/>
    <m/>
    <m/>
    <s v="MentionsInRetweet"/>
    <x v="33"/>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4:53:57.000"/>
    <d v="2022-05-11T00:00:00.000"/>
    <s v="04:53:57"/>
    <s v="https://twitter.com/hargurpreetkau4/status/1524251440260460544"/>
    <m/>
    <m/>
    <s v="1524251440260460544"/>
    <m/>
    <b v="0"/>
    <n v="0"/>
    <s v=""/>
    <b v="0"/>
    <s v="en"/>
    <m/>
    <s v=""/>
    <b v="0"/>
    <n v="19"/>
    <s v="1524247919188389888"/>
    <s v="Twitter for Android"/>
    <b v="0"/>
    <s v="1524247919188389888"/>
    <s v="Tweet"/>
    <n v="0"/>
    <n v="0"/>
    <m/>
    <m/>
    <m/>
    <m/>
    <m/>
    <m/>
    <m/>
    <m/>
    <n v="1"/>
    <s v="1"/>
    <s v="1"/>
    <m/>
    <m/>
    <m/>
    <m/>
    <m/>
    <m/>
    <m/>
    <m/>
    <m/>
  </r>
  <r>
    <s v="hargurpreetkau4"/>
    <s v="letusbacktonz"/>
    <m/>
    <m/>
    <m/>
    <m/>
    <m/>
    <m/>
    <m/>
    <m/>
    <s v="No"/>
    <n v="87"/>
    <m/>
    <m/>
    <s v="Retweet"/>
    <x v="33"/>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4:53:57.000"/>
    <d v="2022-05-11T00:00:00.000"/>
    <s v="04:53:57"/>
    <s v="https://twitter.com/hargurpreetkau4/status/1524251440260460544"/>
    <m/>
    <m/>
    <s v="1524251440260460544"/>
    <m/>
    <b v="0"/>
    <n v="0"/>
    <s v=""/>
    <b v="0"/>
    <s v="en"/>
    <m/>
    <s v=""/>
    <b v="0"/>
    <n v="19"/>
    <s v="1524247919188389888"/>
    <s v="Twitter for Android"/>
    <b v="0"/>
    <s v="1524247919188389888"/>
    <s v="Tweet"/>
    <n v="0"/>
    <n v="0"/>
    <m/>
    <m/>
    <m/>
    <m/>
    <m/>
    <m/>
    <m/>
    <m/>
    <n v="4"/>
    <s v="1"/>
    <s v="2"/>
    <n v="0"/>
    <n v="0"/>
    <n v="5"/>
    <n v="12.820512820512821"/>
    <n v="0"/>
    <n v="0"/>
    <n v="34"/>
    <n v="87.17948717948718"/>
    <n v="39"/>
  </r>
  <r>
    <s v="hargurpreetkau4"/>
    <s v="krisinmana"/>
    <m/>
    <m/>
    <m/>
    <m/>
    <m/>
    <m/>
    <m/>
    <m/>
    <s v="No"/>
    <n v="88"/>
    <m/>
    <m/>
    <s v="MentionsInRetweet"/>
    <x v="34"/>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2T08:57:36.000"/>
    <d v="2022-05-12T00:00:00.000"/>
    <s v="08:57:36"/>
    <s v="https://twitter.com/hargurpreetkau4/status/1524675147508031488"/>
    <m/>
    <m/>
    <s v="1524675147508031488"/>
    <m/>
    <b v="0"/>
    <n v="0"/>
    <s v=""/>
    <b v="0"/>
    <s v="en"/>
    <m/>
    <s v=""/>
    <b v="0"/>
    <n v="16"/>
    <s v="1524368825562836992"/>
    <s v="Twitter for Android"/>
    <b v="0"/>
    <s v="1524368825562836992"/>
    <s v="Tweet"/>
    <n v="0"/>
    <n v="0"/>
    <m/>
    <m/>
    <m/>
    <m/>
    <m/>
    <m/>
    <m/>
    <m/>
    <n v="2"/>
    <s v="1"/>
    <s v="1"/>
    <m/>
    <m/>
    <m/>
    <m/>
    <m/>
    <m/>
    <m/>
    <m/>
    <m/>
  </r>
  <r>
    <s v="hargurpreetkau4"/>
    <s v="letusbacktonz"/>
    <m/>
    <m/>
    <m/>
    <m/>
    <m/>
    <m/>
    <m/>
    <m/>
    <s v="No"/>
    <n v="89"/>
    <m/>
    <m/>
    <s v="Retweet"/>
    <x v="34"/>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2T08:57:36.000"/>
    <d v="2022-05-12T00:00:00.000"/>
    <s v="08:57:36"/>
    <s v="https://twitter.com/hargurpreetkau4/status/1524675147508031488"/>
    <m/>
    <m/>
    <s v="1524675147508031488"/>
    <m/>
    <b v="0"/>
    <n v="0"/>
    <s v=""/>
    <b v="0"/>
    <s v="en"/>
    <m/>
    <s v=""/>
    <b v="0"/>
    <n v="16"/>
    <s v="1524368825562836992"/>
    <s v="Twitter for Android"/>
    <b v="0"/>
    <s v="1524368825562836992"/>
    <s v="Tweet"/>
    <n v="0"/>
    <n v="0"/>
    <m/>
    <m/>
    <m/>
    <m/>
    <m/>
    <m/>
    <m/>
    <m/>
    <n v="4"/>
    <s v="1"/>
    <s v="2"/>
    <n v="0"/>
    <n v="0"/>
    <n v="2"/>
    <n v="4.651162790697675"/>
    <n v="0"/>
    <n v="0"/>
    <n v="41"/>
    <n v="95.34883720930233"/>
    <n v="43"/>
  </r>
  <r>
    <s v="hargurpreetkau4"/>
    <s v="gurisydney"/>
    <m/>
    <m/>
    <m/>
    <m/>
    <m/>
    <m/>
    <m/>
    <m/>
    <s v="No"/>
    <n v="90"/>
    <m/>
    <m/>
    <s v="Retweet"/>
    <x v="35"/>
    <s v="@LetusbacktoNZ I am also stuck due to lockdown till now, even I applied for visa extension and had paid and all other expenses but even then they refused my visa…."/>
    <m/>
    <m/>
    <m/>
    <m/>
    <s v="https://abs.twimg.com/sticky/default_profile_images/default_profile_normal.png"/>
    <d v="2022-05-14T07:05:40.000"/>
    <d v="2022-05-14T00:00:00.000"/>
    <s v="07:05:40"/>
    <s v="https://twitter.com/hargurpreetkau4/status/1525371752292880384"/>
    <m/>
    <m/>
    <s v="1525371752292880384"/>
    <m/>
    <b v="0"/>
    <n v="0"/>
    <s v=""/>
    <b v="0"/>
    <s v="en"/>
    <m/>
    <s v=""/>
    <b v="0"/>
    <n v="3"/>
    <s v="1525350352807403520"/>
    <s v="Twitter for Android"/>
    <b v="0"/>
    <s v="1525350352807403520"/>
    <s v="Tweet"/>
    <n v="0"/>
    <n v="0"/>
    <m/>
    <m/>
    <m/>
    <m/>
    <m/>
    <m/>
    <m/>
    <m/>
    <n v="2"/>
    <s v="1"/>
    <s v="1"/>
    <m/>
    <m/>
    <m/>
    <m/>
    <m/>
    <m/>
    <m/>
    <m/>
    <m/>
  </r>
  <r>
    <s v="hargurpreetkau4"/>
    <s v="letusbacktonz"/>
    <m/>
    <m/>
    <m/>
    <m/>
    <m/>
    <m/>
    <m/>
    <m/>
    <s v="No"/>
    <n v="91"/>
    <m/>
    <m/>
    <s v="Replies to"/>
    <x v="35"/>
    <s v="@LetusbacktoNZ I am also stuck due to lockdown till now, even I applied for visa extension and had paid and all other expenses but even then they refused my visa…."/>
    <m/>
    <m/>
    <m/>
    <m/>
    <s v="https://abs.twimg.com/sticky/default_profile_images/default_profile_normal.png"/>
    <d v="2022-05-14T07:05:40.000"/>
    <d v="2022-05-14T00:00:00.000"/>
    <s v="07:05:40"/>
    <s v="https://twitter.com/hargurpreetkau4/status/1525371752292880384"/>
    <m/>
    <m/>
    <s v="1525371752292880384"/>
    <m/>
    <b v="0"/>
    <n v="0"/>
    <s v=""/>
    <b v="0"/>
    <s v="en"/>
    <m/>
    <s v=""/>
    <b v="0"/>
    <n v="3"/>
    <s v="1525350352807403520"/>
    <s v="Twitter for Android"/>
    <b v="0"/>
    <s v="1525350352807403520"/>
    <s v="Tweet"/>
    <n v="0"/>
    <n v="0"/>
    <m/>
    <m/>
    <m/>
    <m/>
    <m/>
    <m/>
    <m/>
    <m/>
    <n v="4"/>
    <s v="1"/>
    <s v="2"/>
    <n v="0"/>
    <n v="0"/>
    <n v="2"/>
    <n v="6.666666666666667"/>
    <n v="0"/>
    <n v="0"/>
    <n v="28"/>
    <n v="93.33333333333333"/>
    <n v="30"/>
  </r>
  <r>
    <s v="hargurpreetkau4"/>
    <s v="gurisydney"/>
    <m/>
    <m/>
    <m/>
    <m/>
    <m/>
    <m/>
    <m/>
    <m/>
    <s v="No"/>
    <n v="92"/>
    <m/>
    <m/>
    <s v="Retweet"/>
    <x v="36"/>
    <s v="@LetusbacktoNZ Who said Australian government extended the visa??"/>
    <m/>
    <m/>
    <m/>
    <m/>
    <s v="https://abs.twimg.com/sticky/default_profile_images/default_profile_normal.png"/>
    <d v="2022-05-14T07:05:53.000"/>
    <d v="2022-05-14T00:00:00.000"/>
    <s v="07:05:53"/>
    <s v="https://twitter.com/hargurpreetkau4/status/1525371807032692736"/>
    <m/>
    <m/>
    <s v="1525371807032692736"/>
    <m/>
    <b v="0"/>
    <n v="0"/>
    <s v=""/>
    <b v="0"/>
    <s v="en"/>
    <m/>
    <s v=""/>
    <b v="0"/>
    <n v="2"/>
    <s v="1525350074842480640"/>
    <s v="Twitter for Android"/>
    <b v="0"/>
    <s v="1525350074842480640"/>
    <s v="Tweet"/>
    <n v="0"/>
    <n v="0"/>
    <m/>
    <m/>
    <m/>
    <m/>
    <m/>
    <m/>
    <m/>
    <m/>
    <n v="2"/>
    <s v="1"/>
    <s v="1"/>
    <m/>
    <m/>
    <m/>
    <m/>
    <m/>
    <m/>
    <m/>
    <m/>
    <m/>
  </r>
  <r>
    <s v="hargurpreetkau4"/>
    <s v="letusbacktonz"/>
    <m/>
    <m/>
    <m/>
    <m/>
    <m/>
    <m/>
    <m/>
    <m/>
    <s v="No"/>
    <n v="93"/>
    <m/>
    <m/>
    <s v="Replies to"/>
    <x v="36"/>
    <s v="@LetusbacktoNZ Who said Australian government extended the visa??"/>
    <m/>
    <m/>
    <m/>
    <m/>
    <s v="https://abs.twimg.com/sticky/default_profile_images/default_profile_normal.png"/>
    <d v="2022-05-14T07:05:53.000"/>
    <d v="2022-05-14T00:00:00.000"/>
    <s v="07:05:53"/>
    <s v="https://twitter.com/hargurpreetkau4/status/1525371807032692736"/>
    <m/>
    <m/>
    <s v="1525371807032692736"/>
    <m/>
    <b v="0"/>
    <n v="0"/>
    <s v=""/>
    <b v="0"/>
    <s v="en"/>
    <m/>
    <s v=""/>
    <b v="0"/>
    <n v="2"/>
    <s v="1525350074842480640"/>
    <s v="Twitter for Android"/>
    <b v="0"/>
    <s v="1525350074842480640"/>
    <s v="Tweet"/>
    <n v="0"/>
    <n v="0"/>
    <m/>
    <m/>
    <m/>
    <m/>
    <m/>
    <m/>
    <m/>
    <m/>
    <n v="4"/>
    <s v="1"/>
    <s v="2"/>
    <n v="0"/>
    <n v="0"/>
    <n v="0"/>
    <n v="0"/>
    <n v="0"/>
    <n v="0"/>
    <n v="8"/>
    <n v="100"/>
    <n v="8"/>
  </r>
  <r>
    <s v="letusbacktonz"/>
    <s v="mbiegovtnz"/>
    <m/>
    <m/>
    <m/>
    <m/>
    <m/>
    <m/>
    <m/>
    <m/>
    <s v="No"/>
    <n v="94"/>
    <m/>
    <m/>
    <s v="Mentions"/>
    <x v="37"/>
    <s v="100% True✅_x000a__x000a_Asians who paid thousands for Edu. fees and taxes are still getting limbo while European-American Working Holiday Visa holders are getting Visa Extension_x000a__x000a_#Inhumane: 26 months gone and he has no plan for Innocent Offshore Migrants. @MBIEgovtnz_x000a_https://t.co/E5gJiW5m4x"/>
    <s v="https://www.newshub.co.nz/home/politics/2022/05/green-party-co-leader-marama-davidson-slams-government-s-new-immigration-policies-labels-them-racist-inhumane-and-discriminatory.html?cid=soc3%3Anewshubfb&amp;fbclid=IwAR3bXR4HspOrRRMRqByv9DhUnsp1gOrtf2pCfYOt7eM5fBx3UdmAOpEGcFQ"/>
    <s v="co.nz"/>
    <s v="inhumane"/>
    <m/>
    <s v="https://pbs.twimg.com/profile_images/1423569281292271617/RHqRplkb_normal.jpg"/>
    <d v="2022-05-12T05:31:59.000"/>
    <d v="2022-05-12T00:00:00.000"/>
    <s v="05:31:59"/>
    <s v="https://twitter.com/letusbacktonz/status/1524623401868214272"/>
    <m/>
    <m/>
    <s v="1524623401868214272"/>
    <m/>
    <b v="0"/>
    <n v="9"/>
    <s v=""/>
    <b v="0"/>
    <s v="en"/>
    <m/>
    <s v=""/>
    <b v="0"/>
    <n v="9"/>
    <s v=""/>
    <s v="Twitter Web App"/>
    <b v="0"/>
    <s v="1524623401868214272"/>
    <s v="Tweet"/>
    <n v="0"/>
    <n v="0"/>
    <m/>
    <m/>
    <m/>
    <m/>
    <m/>
    <m/>
    <m/>
    <m/>
    <n v="1"/>
    <s v="2"/>
    <s v="4"/>
    <n v="0"/>
    <n v="0"/>
    <n v="1"/>
    <n v="2.5"/>
    <n v="0"/>
    <n v="0"/>
    <n v="39"/>
    <n v="97.5"/>
    <n v="40"/>
  </r>
  <r>
    <s v="letusbacktonz"/>
    <s v="drsjaishankar"/>
    <m/>
    <m/>
    <m/>
    <m/>
    <m/>
    <m/>
    <m/>
    <m/>
    <s v="No"/>
    <n v="95"/>
    <m/>
    <m/>
    <s v="Mentions"/>
    <x v="38"/>
    <s v="@jacindaardern @nzlabour @KrisinMana @grantrobertson1 @chrishipkins @chrisluxonmp @NZNationalParty @RMarchNZ @NZGreens @NicolaWillisMP @JudithCollinsMP @EricaStanfordMP @NZHumanRights @UNHumanRights @NZParliament @MFATNZ @NZinIndia @MEAIndia @ScottMorrisonMP @DrSJaishankar https://t.co/ay7c4IIzFy"/>
    <s v="https://twitter.com/LetusbacktoNZ/status/1524623401868214272"/>
    <s v="twitter.com"/>
    <m/>
    <m/>
    <s v="https://pbs.twimg.com/profile_images/1423569281292271617/RHqRplkb_normal.jpg"/>
    <d v="2022-05-12T05:35:18.000"/>
    <d v="2022-05-12T00:00:00.000"/>
    <s v="05:35:18"/>
    <s v="https://twitter.com/letusbacktonz/status/1524624235989442561"/>
    <m/>
    <m/>
    <s v="1524624235989442561"/>
    <m/>
    <b v="0"/>
    <n v="1"/>
    <s v="22959763"/>
    <b v="1"/>
    <s v="und"/>
    <m/>
    <s v="1524623401868214272"/>
    <b v="0"/>
    <n v="1"/>
    <s v=""/>
    <s v="Twitter Web App"/>
    <b v="0"/>
    <s v="1524624235989442561"/>
    <s v="Tweet"/>
    <n v="0"/>
    <n v="0"/>
    <m/>
    <m/>
    <m/>
    <m/>
    <m/>
    <m/>
    <m/>
    <m/>
    <n v="1"/>
    <s v="2"/>
    <s v="2"/>
    <m/>
    <m/>
    <m/>
    <m/>
    <m/>
    <m/>
    <m/>
    <m/>
    <m/>
  </r>
  <r>
    <s v="letusbacktonz"/>
    <s v="scottmorrisonmp"/>
    <m/>
    <m/>
    <m/>
    <m/>
    <m/>
    <m/>
    <m/>
    <m/>
    <s v="No"/>
    <n v="96"/>
    <m/>
    <m/>
    <s v="Mentions"/>
    <x v="38"/>
    <s v="@jacindaardern @nzlabour @KrisinMana @grantrobertson1 @chrishipkins @chrisluxonmp @NZNationalParty @RMarchNZ @NZGreens @NicolaWillisMP @JudithCollinsMP @EricaStanfordMP @NZHumanRights @UNHumanRights @NZParliament @MFATNZ @NZinIndia @MEAIndia @ScottMorrisonMP @DrSJaishankar https://t.co/ay7c4IIzFy"/>
    <s v="https://twitter.com/LetusbacktoNZ/status/1524623401868214272"/>
    <s v="twitter.com"/>
    <m/>
    <m/>
    <s v="https://pbs.twimg.com/profile_images/1423569281292271617/RHqRplkb_normal.jpg"/>
    <d v="2022-05-12T05:35:18.000"/>
    <d v="2022-05-12T00:00:00.000"/>
    <s v="05:35:18"/>
    <s v="https://twitter.com/letusbacktonz/status/1524624235989442561"/>
    <m/>
    <m/>
    <s v="1524624235989442561"/>
    <m/>
    <b v="0"/>
    <n v="1"/>
    <s v="22959763"/>
    <b v="1"/>
    <s v="und"/>
    <m/>
    <s v="1524623401868214272"/>
    <b v="0"/>
    <n v="1"/>
    <s v=""/>
    <s v="Twitter Web App"/>
    <b v="0"/>
    <s v="1524624235989442561"/>
    <s v="Tweet"/>
    <n v="0"/>
    <n v="0"/>
    <m/>
    <m/>
    <m/>
    <m/>
    <m/>
    <m/>
    <m/>
    <m/>
    <n v="1"/>
    <s v="2"/>
    <s v="2"/>
    <m/>
    <m/>
    <m/>
    <m/>
    <m/>
    <m/>
    <m/>
    <m/>
    <m/>
  </r>
  <r>
    <s v="letusbacktonz"/>
    <s v="meaindia"/>
    <m/>
    <m/>
    <m/>
    <m/>
    <m/>
    <m/>
    <m/>
    <m/>
    <s v="No"/>
    <n v="97"/>
    <m/>
    <m/>
    <s v="Mentions"/>
    <x v="38"/>
    <s v="@jacindaardern @nzlabour @KrisinMana @grantrobertson1 @chrishipkins @chrisluxonmp @NZNationalParty @RMarchNZ @NZGreens @NicolaWillisMP @JudithCollinsMP @EricaStanfordMP @NZHumanRights @UNHumanRights @NZParliament @MFATNZ @NZinIndia @MEAIndia @ScottMorrisonMP @DrSJaishankar https://t.co/ay7c4IIzFy"/>
    <s v="https://twitter.com/LetusbacktoNZ/status/1524623401868214272"/>
    <s v="twitter.com"/>
    <m/>
    <m/>
    <s v="https://pbs.twimg.com/profile_images/1423569281292271617/RHqRplkb_normal.jpg"/>
    <d v="2022-05-12T05:35:18.000"/>
    <d v="2022-05-12T00:00:00.000"/>
    <s v="05:35:18"/>
    <s v="https://twitter.com/letusbacktonz/status/1524624235989442561"/>
    <m/>
    <m/>
    <s v="1524624235989442561"/>
    <m/>
    <b v="0"/>
    <n v="1"/>
    <s v="22959763"/>
    <b v="1"/>
    <s v="und"/>
    <m/>
    <s v="1524623401868214272"/>
    <b v="0"/>
    <n v="1"/>
    <s v=""/>
    <s v="Twitter Web App"/>
    <b v="0"/>
    <s v="1524624235989442561"/>
    <s v="Tweet"/>
    <n v="0"/>
    <n v="0"/>
    <m/>
    <m/>
    <m/>
    <m/>
    <m/>
    <m/>
    <m/>
    <m/>
    <n v="1"/>
    <s v="2"/>
    <s v="2"/>
    <m/>
    <m/>
    <m/>
    <m/>
    <m/>
    <m/>
    <m/>
    <m/>
    <m/>
  </r>
  <r>
    <s v="letusbacktonz"/>
    <s v="nzinindia"/>
    <m/>
    <m/>
    <m/>
    <m/>
    <m/>
    <m/>
    <m/>
    <m/>
    <s v="No"/>
    <n v="98"/>
    <m/>
    <m/>
    <s v="Mentions"/>
    <x v="38"/>
    <s v="@jacindaardern @nzlabour @KrisinMana @grantrobertson1 @chrishipkins @chrisluxonmp @NZNationalParty @RMarchNZ @NZGreens @NicolaWillisMP @JudithCollinsMP @EricaStanfordMP @NZHumanRights @UNHumanRights @NZParliament @MFATNZ @NZinIndia @MEAIndia @ScottMorrisonMP @DrSJaishankar https://t.co/ay7c4IIzFy"/>
    <s v="https://twitter.com/LetusbacktoNZ/status/1524623401868214272"/>
    <s v="twitter.com"/>
    <m/>
    <m/>
    <s v="https://pbs.twimg.com/profile_images/1423569281292271617/RHqRplkb_normal.jpg"/>
    <d v="2022-05-12T05:35:18.000"/>
    <d v="2022-05-12T00:00:00.000"/>
    <s v="05:35:18"/>
    <s v="https://twitter.com/letusbacktonz/status/1524624235989442561"/>
    <m/>
    <m/>
    <s v="1524624235989442561"/>
    <m/>
    <b v="0"/>
    <n v="1"/>
    <s v="22959763"/>
    <b v="1"/>
    <s v="und"/>
    <m/>
    <s v="1524623401868214272"/>
    <b v="0"/>
    <n v="1"/>
    <s v=""/>
    <s v="Twitter Web App"/>
    <b v="0"/>
    <s v="1524624235989442561"/>
    <s v="Tweet"/>
    <n v="0"/>
    <n v="0"/>
    <m/>
    <m/>
    <m/>
    <m/>
    <m/>
    <m/>
    <m/>
    <m/>
    <n v="1"/>
    <s v="2"/>
    <s v="2"/>
    <m/>
    <m/>
    <m/>
    <m/>
    <m/>
    <m/>
    <m/>
    <m/>
    <m/>
  </r>
  <r>
    <s v="letusbacktonz"/>
    <s v="mfatnz"/>
    <m/>
    <m/>
    <m/>
    <m/>
    <m/>
    <m/>
    <m/>
    <m/>
    <s v="No"/>
    <n v="99"/>
    <m/>
    <m/>
    <s v="Mentions"/>
    <x v="38"/>
    <s v="@jacindaardern @nzlabour @KrisinMana @grantrobertson1 @chrishipkins @chrisluxonmp @NZNationalParty @RMarchNZ @NZGreens @NicolaWillisMP @JudithCollinsMP @EricaStanfordMP @NZHumanRights @UNHumanRights @NZParliament @MFATNZ @NZinIndia @MEAIndia @ScottMorrisonMP @DrSJaishankar https://t.co/ay7c4IIzFy"/>
    <s v="https://twitter.com/LetusbacktoNZ/status/1524623401868214272"/>
    <s v="twitter.com"/>
    <m/>
    <m/>
    <s v="https://pbs.twimg.com/profile_images/1423569281292271617/RHqRplkb_normal.jpg"/>
    <d v="2022-05-12T05:35:18.000"/>
    <d v="2022-05-12T00:00:00.000"/>
    <s v="05:35:18"/>
    <s v="https://twitter.com/letusbacktonz/status/1524624235989442561"/>
    <m/>
    <m/>
    <s v="1524624235989442561"/>
    <m/>
    <b v="0"/>
    <n v="1"/>
    <s v="22959763"/>
    <b v="1"/>
    <s v="und"/>
    <m/>
    <s v="1524623401868214272"/>
    <b v="0"/>
    <n v="1"/>
    <s v=""/>
    <s v="Twitter Web App"/>
    <b v="0"/>
    <s v="1524624235989442561"/>
    <s v="Tweet"/>
    <n v="0"/>
    <n v="0"/>
    <m/>
    <m/>
    <m/>
    <m/>
    <m/>
    <m/>
    <m/>
    <m/>
    <n v="1"/>
    <s v="2"/>
    <s v="2"/>
    <m/>
    <m/>
    <m/>
    <m/>
    <m/>
    <m/>
    <m/>
    <m/>
    <m/>
  </r>
  <r>
    <s v="letusbacktonz"/>
    <s v="nzparliament"/>
    <m/>
    <m/>
    <m/>
    <m/>
    <m/>
    <m/>
    <m/>
    <m/>
    <s v="No"/>
    <n v="100"/>
    <m/>
    <m/>
    <s v="Mentions"/>
    <x v="38"/>
    <s v="@jacindaardern @nzlabour @KrisinMana @grantrobertson1 @chrishipkins @chrisluxonmp @NZNationalParty @RMarchNZ @NZGreens @NicolaWillisMP @JudithCollinsMP @EricaStanfordMP @NZHumanRights @UNHumanRights @NZParliament @MFATNZ @NZinIndia @MEAIndia @ScottMorrisonMP @DrSJaishankar https://t.co/ay7c4IIzFy"/>
    <s v="https://twitter.com/LetusbacktoNZ/status/1524623401868214272"/>
    <s v="twitter.com"/>
    <m/>
    <m/>
    <s v="https://pbs.twimg.com/profile_images/1423569281292271617/RHqRplkb_normal.jpg"/>
    <d v="2022-05-12T05:35:18.000"/>
    <d v="2022-05-12T00:00:00.000"/>
    <s v="05:35:18"/>
    <s v="https://twitter.com/letusbacktonz/status/1524624235989442561"/>
    <m/>
    <m/>
    <s v="1524624235989442561"/>
    <m/>
    <b v="0"/>
    <n v="1"/>
    <s v="22959763"/>
    <b v="1"/>
    <s v="und"/>
    <m/>
    <s v="1524623401868214272"/>
    <b v="0"/>
    <n v="1"/>
    <s v=""/>
    <s v="Twitter Web App"/>
    <b v="0"/>
    <s v="1524624235989442561"/>
    <s v="Tweet"/>
    <n v="0"/>
    <n v="0"/>
    <m/>
    <m/>
    <m/>
    <m/>
    <m/>
    <m/>
    <m/>
    <m/>
    <n v="1"/>
    <s v="2"/>
    <s v="2"/>
    <m/>
    <m/>
    <m/>
    <m/>
    <m/>
    <m/>
    <m/>
    <m/>
    <m/>
  </r>
  <r>
    <s v="letusbacktonz"/>
    <s v="unhumanrights"/>
    <m/>
    <m/>
    <m/>
    <m/>
    <m/>
    <m/>
    <m/>
    <m/>
    <s v="No"/>
    <n v="101"/>
    <m/>
    <m/>
    <s v="Mentions"/>
    <x v="38"/>
    <s v="@jacindaardern @nzlabour @KrisinMana @grantrobertson1 @chrishipkins @chrisluxonmp @NZNationalParty @RMarchNZ @NZGreens @NicolaWillisMP @JudithCollinsMP @EricaStanfordMP @NZHumanRights @UNHumanRights @NZParliament @MFATNZ @NZinIndia @MEAIndia @ScottMorrisonMP @DrSJaishankar https://t.co/ay7c4IIzFy"/>
    <s v="https://twitter.com/LetusbacktoNZ/status/1524623401868214272"/>
    <s v="twitter.com"/>
    <m/>
    <m/>
    <s v="https://pbs.twimg.com/profile_images/1423569281292271617/RHqRplkb_normal.jpg"/>
    <d v="2022-05-12T05:35:18.000"/>
    <d v="2022-05-12T00:00:00.000"/>
    <s v="05:35:18"/>
    <s v="https://twitter.com/letusbacktonz/status/1524624235989442561"/>
    <m/>
    <m/>
    <s v="1524624235989442561"/>
    <m/>
    <b v="0"/>
    <n v="1"/>
    <s v="22959763"/>
    <b v="1"/>
    <s v="und"/>
    <m/>
    <s v="1524623401868214272"/>
    <b v="0"/>
    <n v="1"/>
    <s v=""/>
    <s v="Twitter Web App"/>
    <b v="0"/>
    <s v="1524624235989442561"/>
    <s v="Tweet"/>
    <n v="0"/>
    <n v="0"/>
    <m/>
    <m/>
    <m/>
    <m/>
    <m/>
    <m/>
    <m/>
    <m/>
    <n v="1"/>
    <s v="2"/>
    <s v="2"/>
    <m/>
    <m/>
    <m/>
    <m/>
    <m/>
    <m/>
    <m/>
    <m/>
    <m/>
  </r>
  <r>
    <s v="letusbacktonz"/>
    <s v="nzhumanrights"/>
    <m/>
    <m/>
    <m/>
    <m/>
    <m/>
    <m/>
    <m/>
    <m/>
    <s v="No"/>
    <n v="102"/>
    <m/>
    <m/>
    <s v="Mentions"/>
    <x v="38"/>
    <s v="@jacindaardern @nzlabour @KrisinMana @grantrobertson1 @chrishipkins @chrisluxonmp @NZNationalParty @RMarchNZ @NZGreens @NicolaWillisMP @JudithCollinsMP @EricaStanfordMP @NZHumanRights @UNHumanRights @NZParliament @MFATNZ @NZinIndia @MEAIndia @ScottMorrisonMP @DrSJaishankar https://t.co/ay7c4IIzFy"/>
    <s v="https://twitter.com/LetusbacktoNZ/status/1524623401868214272"/>
    <s v="twitter.com"/>
    <m/>
    <m/>
    <s v="https://pbs.twimg.com/profile_images/1423569281292271617/RHqRplkb_normal.jpg"/>
    <d v="2022-05-12T05:35:18.000"/>
    <d v="2022-05-12T00:00:00.000"/>
    <s v="05:35:18"/>
    <s v="https://twitter.com/letusbacktonz/status/1524624235989442561"/>
    <m/>
    <m/>
    <s v="1524624235989442561"/>
    <m/>
    <b v="0"/>
    <n v="1"/>
    <s v="22959763"/>
    <b v="1"/>
    <s v="und"/>
    <m/>
    <s v="1524623401868214272"/>
    <b v="0"/>
    <n v="1"/>
    <s v=""/>
    <s v="Twitter Web App"/>
    <b v="0"/>
    <s v="1524624235989442561"/>
    <s v="Tweet"/>
    <n v="0"/>
    <n v="0"/>
    <m/>
    <m/>
    <m/>
    <m/>
    <m/>
    <m/>
    <m/>
    <m/>
    <n v="1"/>
    <s v="2"/>
    <s v="2"/>
    <m/>
    <m/>
    <m/>
    <m/>
    <m/>
    <m/>
    <m/>
    <m/>
    <m/>
  </r>
  <r>
    <s v="letusbacktonz"/>
    <s v="judithcollinsmp"/>
    <m/>
    <m/>
    <m/>
    <m/>
    <m/>
    <m/>
    <m/>
    <m/>
    <s v="No"/>
    <n v="103"/>
    <m/>
    <m/>
    <s v="Mentions"/>
    <x v="38"/>
    <s v="@jacindaardern @nzlabour @KrisinMana @grantrobertson1 @chrishipkins @chrisluxonmp @NZNationalParty @RMarchNZ @NZGreens @NicolaWillisMP @JudithCollinsMP @EricaStanfordMP @NZHumanRights @UNHumanRights @NZParliament @MFATNZ @NZinIndia @MEAIndia @ScottMorrisonMP @DrSJaishankar https://t.co/ay7c4IIzFy"/>
    <s v="https://twitter.com/LetusbacktoNZ/status/1524623401868214272"/>
    <s v="twitter.com"/>
    <m/>
    <m/>
    <s v="https://pbs.twimg.com/profile_images/1423569281292271617/RHqRplkb_normal.jpg"/>
    <d v="2022-05-12T05:35:18.000"/>
    <d v="2022-05-12T00:00:00.000"/>
    <s v="05:35:18"/>
    <s v="https://twitter.com/letusbacktonz/status/1524624235989442561"/>
    <m/>
    <m/>
    <s v="1524624235989442561"/>
    <m/>
    <b v="0"/>
    <n v="1"/>
    <s v="22959763"/>
    <b v="1"/>
    <s v="und"/>
    <m/>
    <s v="1524623401868214272"/>
    <b v="0"/>
    <n v="1"/>
    <s v=""/>
    <s v="Twitter Web App"/>
    <b v="0"/>
    <s v="1524624235989442561"/>
    <s v="Tweet"/>
    <n v="0"/>
    <n v="0"/>
    <m/>
    <m/>
    <m/>
    <m/>
    <m/>
    <m/>
    <m/>
    <m/>
    <n v="1"/>
    <s v="2"/>
    <s v="2"/>
    <m/>
    <m/>
    <m/>
    <m/>
    <m/>
    <m/>
    <m/>
    <m/>
    <m/>
  </r>
  <r>
    <s v="letusbacktonz"/>
    <s v="nicolawillismp"/>
    <m/>
    <m/>
    <m/>
    <m/>
    <m/>
    <m/>
    <m/>
    <m/>
    <s v="No"/>
    <n v="104"/>
    <m/>
    <m/>
    <s v="Mentions"/>
    <x v="38"/>
    <s v="@jacindaardern @nzlabour @KrisinMana @grantrobertson1 @chrishipkins @chrisluxonmp @NZNationalParty @RMarchNZ @NZGreens @NicolaWillisMP @JudithCollinsMP @EricaStanfordMP @NZHumanRights @UNHumanRights @NZParliament @MFATNZ @NZinIndia @MEAIndia @ScottMorrisonMP @DrSJaishankar https://t.co/ay7c4IIzFy"/>
    <s v="https://twitter.com/LetusbacktoNZ/status/1524623401868214272"/>
    <s v="twitter.com"/>
    <m/>
    <m/>
    <s v="https://pbs.twimg.com/profile_images/1423569281292271617/RHqRplkb_normal.jpg"/>
    <d v="2022-05-12T05:35:18.000"/>
    <d v="2022-05-12T00:00:00.000"/>
    <s v="05:35:18"/>
    <s v="https://twitter.com/letusbacktonz/status/1524624235989442561"/>
    <m/>
    <m/>
    <s v="1524624235989442561"/>
    <m/>
    <b v="0"/>
    <n v="1"/>
    <s v="22959763"/>
    <b v="1"/>
    <s v="und"/>
    <m/>
    <s v="1524623401868214272"/>
    <b v="0"/>
    <n v="1"/>
    <s v=""/>
    <s v="Twitter Web App"/>
    <b v="0"/>
    <s v="1524624235989442561"/>
    <s v="Tweet"/>
    <n v="0"/>
    <n v="0"/>
    <m/>
    <m/>
    <m/>
    <m/>
    <m/>
    <m/>
    <m/>
    <m/>
    <n v="1"/>
    <s v="2"/>
    <s v="2"/>
    <m/>
    <m/>
    <m/>
    <m/>
    <m/>
    <m/>
    <m/>
    <m/>
    <m/>
  </r>
  <r>
    <s v="letusbacktonz"/>
    <s v="rmarchnz"/>
    <m/>
    <m/>
    <m/>
    <m/>
    <m/>
    <m/>
    <m/>
    <m/>
    <s v="No"/>
    <n v="105"/>
    <m/>
    <m/>
    <s v="Mentions"/>
    <x v="38"/>
    <s v="@jacindaardern @nzlabour @KrisinMana @grantrobertson1 @chrishipkins @chrisluxonmp @NZNationalParty @RMarchNZ @NZGreens @NicolaWillisMP @JudithCollinsMP @EricaStanfordMP @NZHumanRights @UNHumanRights @NZParliament @MFATNZ @NZinIndia @MEAIndia @ScottMorrisonMP @DrSJaishankar https://t.co/ay7c4IIzFy"/>
    <s v="https://twitter.com/LetusbacktoNZ/status/1524623401868214272"/>
    <s v="twitter.com"/>
    <m/>
    <m/>
    <s v="https://pbs.twimg.com/profile_images/1423569281292271617/RHqRplkb_normal.jpg"/>
    <d v="2022-05-12T05:35:18.000"/>
    <d v="2022-05-12T00:00:00.000"/>
    <s v="05:35:18"/>
    <s v="https://twitter.com/letusbacktonz/status/1524624235989442561"/>
    <m/>
    <m/>
    <s v="1524624235989442561"/>
    <m/>
    <b v="0"/>
    <n v="1"/>
    <s v="22959763"/>
    <b v="1"/>
    <s v="und"/>
    <m/>
    <s v="1524623401868214272"/>
    <b v="0"/>
    <n v="1"/>
    <s v=""/>
    <s v="Twitter Web App"/>
    <b v="0"/>
    <s v="1524624235989442561"/>
    <s v="Tweet"/>
    <n v="0"/>
    <n v="0"/>
    <m/>
    <m/>
    <m/>
    <m/>
    <m/>
    <m/>
    <m/>
    <m/>
    <n v="1"/>
    <s v="2"/>
    <s v="2"/>
    <m/>
    <m/>
    <m/>
    <m/>
    <m/>
    <m/>
    <m/>
    <m/>
    <m/>
  </r>
  <r>
    <s v="letusbacktonz"/>
    <s v="nznationalparty"/>
    <m/>
    <m/>
    <m/>
    <m/>
    <m/>
    <m/>
    <m/>
    <m/>
    <s v="No"/>
    <n v="106"/>
    <m/>
    <m/>
    <s v="Mentions"/>
    <x v="38"/>
    <s v="@jacindaardern @nzlabour @KrisinMana @grantrobertson1 @chrishipkins @chrisluxonmp @NZNationalParty @RMarchNZ @NZGreens @NicolaWillisMP @JudithCollinsMP @EricaStanfordMP @NZHumanRights @UNHumanRights @NZParliament @MFATNZ @NZinIndia @MEAIndia @ScottMorrisonMP @DrSJaishankar https://t.co/ay7c4IIzFy"/>
    <s v="https://twitter.com/LetusbacktoNZ/status/1524623401868214272"/>
    <s v="twitter.com"/>
    <m/>
    <m/>
    <s v="https://pbs.twimg.com/profile_images/1423569281292271617/RHqRplkb_normal.jpg"/>
    <d v="2022-05-12T05:35:18.000"/>
    <d v="2022-05-12T00:00:00.000"/>
    <s v="05:35:18"/>
    <s v="https://twitter.com/letusbacktonz/status/1524624235989442561"/>
    <m/>
    <m/>
    <s v="1524624235989442561"/>
    <m/>
    <b v="0"/>
    <n v="1"/>
    <s v="22959763"/>
    <b v="1"/>
    <s v="und"/>
    <m/>
    <s v="1524623401868214272"/>
    <b v="0"/>
    <n v="1"/>
    <s v=""/>
    <s v="Twitter Web App"/>
    <b v="0"/>
    <s v="1524624235989442561"/>
    <s v="Tweet"/>
    <n v="0"/>
    <n v="0"/>
    <m/>
    <m/>
    <m/>
    <m/>
    <m/>
    <m/>
    <m/>
    <m/>
    <n v="1"/>
    <s v="2"/>
    <s v="2"/>
    <m/>
    <m/>
    <m/>
    <m/>
    <m/>
    <m/>
    <m/>
    <m/>
    <m/>
  </r>
  <r>
    <s v="letusbacktonz"/>
    <s v="chrisluxonmp"/>
    <m/>
    <m/>
    <m/>
    <m/>
    <m/>
    <m/>
    <m/>
    <m/>
    <s v="No"/>
    <n v="107"/>
    <m/>
    <m/>
    <s v="Mentions"/>
    <x v="38"/>
    <s v="@jacindaardern @nzlabour @KrisinMana @grantrobertson1 @chrishipkins @chrisluxonmp @NZNationalParty @RMarchNZ @NZGreens @NicolaWillisMP @JudithCollinsMP @EricaStanfordMP @NZHumanRights @UNHumanRights @NZParliament @MFATNZ @NZinIndia @MEAIndia @ScottMorrisonMP @DrSJaishankar https://t.co/ay7c4IIzFy"/>
    <s v="https://twitter.com/LetusbacktoNZ/status/1524623401868214272"/>
    <s v="twitter.com"/>
    <m/>
    <m/>
    <s v="https://pbs.twimg.com/profile_images/1423569281292271617/RHqRplkb_normal.jpg"/>
    <d v="2022-05-12T05:35:18.000"/>
    <d v="2022-05-12T00:00:00.000"/>
    <s v="05:35:18"/>
    <s v="https://twitter.com/letusbacktonz/status/1524624235989442561"/>
    <m/>
    <m/>
    <s v="1524624235989442561"/>
    <m/>
    <b v="0"/>
    <n v="1"/>
    <s v="22959763"/>
    <b v="1"/>
    <s v="und"/>
    <m/>
    <s v="1524623401868214272"/>
    <b v="0"/>
    <n v="1"/>
    <s v=""/>
    <s v="Twitter Web App"/>
    <b v="0"/>
    <s v="1524624235989442561"/>
    <s v="Tweet"/>
    <n v="0"/>
    <n v="0"/>
    <m/>
    <m/>
    <m/>
    <m/>
    <m/>
    <m/>
    <m/>
    <m/>
    <n v="1"/>
    <s v="2"/>
    <s v="2"/>
    <m/>
    <m/>
    <m/>
    <m/>
    <m/>
    <m/>
    <m/>
    <m/>
    <m/>
  </r>
  <r>
    <s v="letusbacktonz"/>
    <s v="chrishipkins"/>
    <m/>
    <m/>
    <m/>
    <m/>
    <m/>
    <m/>
    <m/>
    <m/>
    <s v="No"/>
    <n v="108"/>
    <m/>
    <m/>
    <s v="Mentions"/>
    <x v="38"/>
    <s v="@jacindaardern @nzlabour @KrisinMana @grantrobertson1 @chrishipkins @chrisluxonmp @NZNationalParty @RMarchNZ @NZGreens @NicolaWillisMP @JudithCollinsMP @EricaStanfordMP @NZHumanRights @UNHumanRights @NZParliament @MFATNZ @NZinIndia @MEAIndia @ScottMorrisonMP @DrSJaishankar https://t.co/ay7c4IIzFy"/>
    <s v="https://twitter.com/LetusbacktoNZ/status/1524623401868214272"/>
    <s v="twitter.com"/>
    <m/>
    <m/>
    <s v="https://pbs.twimg.com/profile_images/1423569281292271617/RHqRplkb_normal.jpg"/>
    <d v="2022-05-12T05:35:18.000"/>
    <d v="2022-05-12T00:00:00.000"/>
    <s v="05:35:18"/>
    <s v="https://twitter.com/letusbacktonz/status/1524624235989442561"/>
    <m/>
    <m/>
    <s v="1524624235989442561"/>
    <m/>
    <b v="0"/>
    <n v="1"/>
    <s v="22959763"/>
    <b v="1"/>
    <s v="und"/>
    <m/>
    <s v="1524623401868214272"/>
    <b v="0"/>
    <n v="1"/>
    <s v=""/>
    <s v="Twitter Web App"/>
    <b v="0"/>
    <s v="1524624235989442561"/>
    <s v="Tweet"/>
    <n v="0"/>
    <n v="0"/>
    <m/>
    <m/>
    <m/>
    <m/>
    <m/>
    <m/>
    <m/>
    <m/>
    <n v="1"/>
    <s v="2"/>
    <s v="2"/>
    <m/>
    <m/>
    <m/>
    <m/>
    <m/>
    <m/>
    <m/>
    <m/>
    <m/>
  </r>
  <r>
    <s v="letusbacktonz"/>
    <s v="grantrobertson1"/>
    <m/>
    <m/>
    <m/>
    <m/>
    <m/>
    <m/>
    <m/>
    <m/>
    <s v="No"/>
    <n v="109"/>
    <m/>
    <m/>
    <s v="Mentions"/>
    <x v="38"/>
    <s v="@jacindaardern @nzlabour @KrisinMana @grantrobertson1 @chrishipkins @chrisluxonmp @NZNationalParty @RMarchNZ @NZGreens @NicolaWillisMP @JudithCollinsMP @EricaStanfordMP @NZHumanRights @UNHumanRights @NZParliament @MFATNZ @NZinIndia @MEAIndia @ScottMorrisonMP @DrSJaishankar https://t.co/ay7c4IIzFy"/>
    <s v="https://twitter.com/LetusbacktoNZ/status/1524623401868214272"/>
    <s v="twitter.com"/>
    <m/>
    <m/>
    <s v="https://pbs.twimg.com/profile_images/1423569281292271617/RHqRplkb_normal.jpg"/>
    <d v="2022-05-12T05:35:18.000"/>
    <d v="2022-05-12T00:00:00.000"/>
    <s v="05:35:18"/>
    <s v="https://twitter.com/letusbacktonz/status/1524624235989442561"/>
    <m/>
    <m/>
    <s v="1524624235989442561"/>
    <m/>
    <b v="0"/>
    <n v="1"/>
    <s v="22959763"/>
    <b v="1"/>
    <s v="und"/>
    <m/>
    <s v="1524623401868214272"/>
    <b v="0"/>
    <n v="1"/>
    <s v=""/>
    <s v="Twitter Web App"/>
    <b v="0"/>
    <s v="1524624235989442561"/>
    <s v="Tweet"/>
    <n v="0"/>
    <n v="0"/>
    <m/>
    <m/>
    <m/>
    <m/>
    <m/>
    <m/>
    <m/>
    <m/>
    <n v="1"/>
    <s v="2"/>
    <s v="2"/>
    <m/>
    <m/>
    <m/>
    <m/>
    <m/>
    <m/>
    <m/>
    <m/>
    <m/>
  </r>
  <r>
    <s v="ericastanfordmp"/>
    <s v="dileepa_fonseka"/>
    <m/>
    <m/>
    <m/>
    <m/>
    <m/>
    <m/>
    <m/>
    <m/>
    <s v="No"/>
    <n v="110"/>
    <m/>
    <m/>
    <s v="Mentions"/>
    <x v="39"/>
    <s v="Not a reset. Not a rebalance. Not even a re-tweak. The immigration announcement yestersay was a spit and polish of the status quo with more left unsaid than was said. Great from @dileepa_fonseka https://t.co/d7T5j2ymk0"/>
    <s v="https://www.stuff.co.nz/business/128606699/immigration-is-being-reset-back-to-where-we-started"/>
    <s v="co.nz"/>
    <m/>
    <m/>
    <s v="https://pbs.twimg.com/profile_images/1246635876819451904/i-cOhbw2_normal.jpg"/>
    <d v="2022-05-12T06:26:45.000"/>
    <d v="2022-05-12T00:00:00.000"/>
    <s v="06:26:45"/>
    <s v="https://twitter.com/ericastanfordmp/status/1524637184011120641"/>
    <m/>
    <m/>
    <s v="1524637184011120641"/>
    <m/>
    <b v="0"/>
    <n v="58"/>
    <s v=""/>
    <b v="0"/>
    <s v="en"/>
    <m/>
    <s v=""/>
    <b v="0"/>
    <n v="28"/>
    <s v=""/>
    <s v="Twitter for iPhone"/>
    <b v="0"/>
    <s v="1524637184011120641"/>
    <s v="Retweet"/>
    <n v="0"/>
    <n v="0"/>
    <m/>
    <m/>
    <m/>
    <m/>
    <m/>
    <m/>
    <m/>
    <m/>
    <n v="1"/>
    <s v="2"/>
    <s v="2"/>
    <n v="1"/>
    <n v="2.9411764705882355"/>
    <n v="0"/>
    <n v="0"/>
    <n v="0"/>
    <n v="0"/>
    <n v="33"/>
    <n v="97.05882352941177"/>
    <n v="34"/>
  </r>
  <r>
    <s v="letusbacktonz"/>
    <s v="dileepa_fonseka"/>
    <m/>
    <m/>
    <m/>
    <m/>
    <m/>
    <m/>
    <m/>
    <m/>
    <s v="No"/>
    <n v="111"/>
    <m/>
    <m/>
    <s v="MentionsInRetweet"/>
    <x v="40"/>
    <s v="Not a reset. Not a rebalance. Not even a re-tweak. The immigration announcement yestersay was a spit and polish of the status quo with more left unsaid than was said. Great from @dileepa_fonseka https://t.co/d7T5j2ymk0"/>
    <s v="https://www.stuff.co.nz/business/128606699/immigration-is-being-reset-back-to-where-we-started"/>
    <s v="co.nz"/>
    <m/>
    <m/>
    <s v="https://pbs.twimg.com/profile_images/1423569281292271617/RHqRplkb_normal.jpg"/>
    <d v="2022-05-12T12:55:24.000"/>
    <d v="2022-05-12T00:00:00.000"/>
    <s v="12:55:24"/>
    <s v="https://twitter.com/letusbacktonz/status/1524734992089497600"/>
    <m/>
    <m/>
    <s v="1524734992089497600"/>
    <m/>
    <b v="0"/>
    <n v="0"/>
    <s v=""/>
    <b v="0"/>
    <s v="en"/>
    <m/>
    <s v=""/>
    <b v="0"/>
    <n v="28"/>
    <s v="1524637184011120641"/>
    <s v="Twitter Web App"/>
    <b v="0"/>
    <s v="1524637184011120641"/>
    <s v="Tweet"/>
    <n v="0"/>
    <n v="0"/>
    <m/>
    <m/>
    <m/>
    <m/>
    <m/>
    <m/>
    <m/>
    <m/>
    <n v="1"/>
    <s v="2"/>
    <s v="2"/>
    <n v="1"/>
    <n v="2.9411764705882355"/>
    <n v="0"/>
    <n v="0"/>
    <n v="0"/>
    <n v="0"/>
    <n v="33"/>
    <n v="97.05882352941177"/>
    <n v="34"/>
  </r>
  <r>
    <s v="letusbacktonz"/>
    <s v="ericastanfordmp"/>
    <m/>
    <m/>
    <m/>
    <m/>
    <m/>
    <m/>
    <m/>
    <m/>
    <s v="No"/>
    <n v="112"/>
    <m/>
    <m/>
    <s v="Mentions"/>
    <x v="38"/>
    <s v="@jacindaardern @nzlabour @KrisinMana @grantrobertson1 @chrishipkins @chrisluxonmp @NZNationalParty @RMarchNZ @NZGreens @NicolaWillisMP @JudithCollinsMP @EricaStanfordMP @NZHumanRights @UNHumanRights @NZParliament @MFATNZ @NZinIndia @MEAIndia @ScottMorrisonMP @DrSJaishankar https://t.co/ay7c4IIzFy"/>
    <s v="https://twitter.com/LetusbacktoNZ/status/1524623401868214272"/>
    <s v="twitter.com"/>
    <m/>
    <m/>
    <s v="https://pbs.twimg.com/profile_images/1423569281292271617/RHqRplkb_normal.jpg"/>
    <d v="2022-05-12T05:35:18.000"/>
    <d v="2022-05-12T00:00:00.000"/>
    <s v="05:35:18"/>
    <s v="https://twitter.com/letusbacktonz/status/1524624235989442561"/>
    <m/>
    <m/>
    <s v="1524624235989442561"/>
    <m/>
    <b v="0"/>
    <n v="1"/>
    <s v="22959763"/>
    <b v="1"/>
    <s v="und"/>
    <m/>
    <s v="1524623401868214272"/>
    <b v="0"/>
    <n v="1"/>
    <s v=""/>
    <s v="Twitter Web App"/>
    <b v="0"/>
    <s v="1524624235989442561"/>
    <s v="Tweet"/>
    <n v="0"/>
    <n v="0"/>
    <m/>
    <m/>
    <m/>
    <m/>
    <m/>
    <m/>
    <m/>
    <m/>
    <n v="2"/>
    <s v="2"/>
    <s v="2"/>
    <m/>
    <m/>
    <m/>
    <m/>
    <m/>
    <m/>
    <m/>
    <m/>
    <m/>
  </r>
  <r>
    <s v="letusbacktonz"/>
    <s v="ericastanfordmp"/>
    <m/>
    <m/>
    <m/>
    <m/>
    <m/>
    <m/>
    <m/>
    <m/>
    <s v="No"/>
    <n v="113"/>
    <m/>
    <m/>
    <s v="Retweet"/>
    <x v="40"/>
    <s v="Not a reset. Not a rebalance. Not even a re-tweak. The immigration announcement yestersay was a spit and polish of the status quo with more left unsaid than was said. Great from @dileepa_fonseka https://t.co/d7T5j2ymk0"/>
    <s v="https://www.stuff.co.nz/business/128606699/immigration-is-being-reset-back-to-where-we-started"/>
    <s v="co.nz"/>
    <m/>
    <m/>
    <s v="https://pbs.twimg.com/profile_images/1423569281292271617/RHqRplkb_normal.jpg"/>
    <d v="2022-05-12T12:55:24.000"/>
    <d v="2022-05-12T00:00:00.000"/>
    <s v="12:55:24"/>
    <s v="https://twitter.com/letusbacktonz/status/1524734992089497600"/>
    <m/>
    <m/>
    <s v="1524734992089497600"/>
    <m/>
    <b v="0"/>
    <n v="0"/>
    <s v=""/>
    <b v="0"/>
    <s v="en"/>
    <m/>
    <s v=""/>
    <b v="0"/>
    <n v="28"/>
    <s v="1524637184011120641"/>
    <s v="Twitter Web App"/>
    <b v="0"/>
    <s v="1524637184011120641"/>
    <s v="Tweet"/>
    <n v="0"/>
    <n v="0"/>
    <m/>
    <m/>
    <m/>
    <m/>
    <m/>
    <m/>
    <m/>
    <m/>
    <n v="2"/>
    <s v="2"/>
    <s v="2"/>
    <m/>
    <m/>
    <m/>
    <m/>
    <m/>
    <m/>
    <m/>
    <m/>
    <m/>
  </r>
  <r>
    <s v="letusbacktonz"/>
    <s v="krisinmana"/>
    <m/>
    <m/>
    <m/>
    <m/>
    <m/>
    <m/>
    <m/>
    <m/>
    <s v="No"/>
    <n v="114"/>
    <m/>
    <m/>
    <s v="Mentions"/>
    <x v="41"/>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4:39:57.000"/>
    <d v="2022-05-11T00:00:00.000"/>
    <s v="04:39:57"/>
    <s v="https://twitter.com/letusbacktonz/status/1524247919188389888"/>
    <m/>
    <m/>
    <s v="1524247919188389888"/>
    <m/>
    <b v="0"/>
    <n v="17"/>
    <s v=""/>
    <b v="0"/>
    <s v="en"/>
    <m/>
    <s v=""/>
    <b v="0"/>
    <n v="19"/>
    <s v=""/>
    <s v="Twitter Web App"/>
    <b v="0"/>
    <s v="1524247919188389888"/>
    <s v="Tweet"/>
    <n v="0"/>
    <n v="0"/>
    <m/>
    <m/>
    <m/>
    <m/>
    <m/>
    <m/>
    <m/>
    <m/>
    <n v="4"/>
    <s v="2"/>
    <s v="1"/>
    <m/>
    <m/>
    <m/>
    <m/>
    <m/>
    <m/>
    <m/>
    <m/>
    <m/>
  </r>
  <r>
    <s v="letusbacktonz"/>
    <s v="krisinmana"/>
    <m/>
    <m/>
    <m/>
    <m/>
    <m/>
    <m/>
    <m/>
    <m/>
    <s v="No"/>
    <n v="115"/>
    <m/>
    <m/>
    <s v="MentionsInRetweet"/>
    <x v="42"/>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12:27:27.000"/>
    <d v="2022-05-11T00:00:00.000"/>
    <s v="12:27:27"/>
    <s v="https://twitter.com/letusbacktonz/status/1524365566693486592"/>
    <m/>
    <m/>
    <s v="1524365566693486592"/>
    <m/>
    <b v="0"/>
    <n v="0"/>
    <s v=""/>
    <b v="0"/>
    <s v="en"/>
    <m/>
    <s v=""/>
    <b v="0"/>
    <n v="19"/>
    <s v="1524247919188389888"/>
    <s v="Twitter for Android"/>
    <b v="0"/>
    <s v="1524247919188389888"/>
    <s v="Tweet"/>
    <n v="0"/>
    <n v="0"/>
    <m/>
    <m/>
    <m/>
    <m/>
    <m/>
    <m/>
    <m/>
    <m/>
    <n v="4"/>
    <s v="2"/>
    <s v="1"/>
    <m/>
    <m/>
    <m/>
    <m/>
    <m/>
    <m/>
    <m/>
    <m/>
    <m/>
  </r>
  <r>
    <s v="letusbacktonz"/>
    <s v="krisinmana"/>
    <m/>
    <m/>
    <m/>
    <m/>
    <m/>
    <m/>
    <m/>
    <m/>
    <s v="No"/>
    <n v="116"/>
    <m/>
    <m/>
    <s v="Mentions"/>
    <x v="43"/>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1T12:40:24.000"/>
    <d v="2022-05-11T00:00:00.000"/>
    <s v="12:40:24"/>
    <s v="https://twitter.com/letusbacktonz/status/1524368825562836992"/>
    <m/>
    <m/>
    <s v="1524368825562836992"/>
    <m/>
    <b v="0"/>
    <n v="15"/>
    <s v=""/>
    <b v="0"/>
    <s v="en"/>
    <m/>
    <s v=""/>
    <b v="0"/>
    <n v="16"/>
    <s v=""/>
    <s v="Twitter for Android"/>
    <b v="0"/>
    <s v="1524368825562836992"/>
    <s v="Tweet"/>
    <n v="0"/>
    <n v="0"/>
    <m/>
    <m/>
    <m/>
    <m/>
    <m/>
    <m/>
    <m/>
    <m/>
    <n v="4"/>
    <s v="2"/>
    <s v="1"/>
    <n v="0"/>
    <n v="0"/>
    <n v="2"/>
    <n v="4.651162790697675"/>
    <n v="0"/>
    <n v="0"/>
    <n v="41"/>
    <n v="95.34883720930233"/>
    <n v="43"/>
  </r>
  <r>
    <s v="letusbacktonz"/>
    <s v="krisinmana"/>
    <m/>
    <m/>
    <m/>
    <m/>
    <m/>
    <m/>
    <m/>
    <m/>
    <s v="No"/>
    <n v="117"/>
    <m/>
    <m/>
    <s v="Mentions"/>
    <x v="38"/>
    <s v="@jacindaardern @nzlabour @KrisinMana @grantrobertson1 @chrishipkins @chrisluxonmp @NZNationalParty @RMarchNZ @NZGreens @NicolaWillisMP @JudithCollinsMP @EricaStanfordMP @NZHumanRights @UNHumanRights @NZParliament @MFATNZ @NZinIndia @MEAIndia @ScottMorrisonMP @DrSJaishankar https://t.co/ay7c4IIzFy"/>
    <s v="https://twitter.com/LetusbacktoNZ/status/1524623401868214272"/>
    <s v="twitter.com"/>
    <m/>
    <m/>
    <s v="https://pbs.twimg.com/profile_images/1423569281292271617/RHqRplkb_normal.jpg"/>
    <d v="2022-05-12T05:35:18.000"/>
    <d v="2022-05-12T00:00:00.000"/>
    <s v="05:35:18"/>
    <s v="https://twitter.com/letusbacktonz/status/1524624235989442561"/>
    <m/>
    <m/>
    <s v="1524624235989442561"/>
    <m/>
    <b v="0"/>
    <n v="1"/>
    <s v="22959763"/>
    <b v="1"/>
    <s v="und"/>
    <m/>
    <s v="1524623401868214272"/>
    <b v="0"/>
    <n v="1"/>
    <s v=""/>
    <s v="Twitter Web App"/>
    <b v="0"/>
    <s v="1524624235989442561"/>
    <s v="Tweet"/>
    <n v="0"/>
    <n v="0"/>
    <m/>
    <m/>
    <m/>
    <m/>
    <m/>
    <m/>
    <m/>
    <m/>
    <n v="4"/>
    <s v="2"/>
    <s v="1"/>
    <m/>
    <m/>
    <m/>
    <m/>
    <m/>
    <m/>
    <m/>
    <m/>
    <m/>
  </r>
  <r>
    <s v="ssidhugurpreet"/>
    <s v="krisinmana"/>
    <m/>
    <m/>
    <m/>
    <m/>
    <m/>
    <m/>
    <m/>
    <m/>
    <s v="No"/>
    <n v="118"/>
    <m/>
    <m/>
    <s v="MentionsInRetweet"/>
    <x v="44"/>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6T00:42:55.000"/>
    <d v="2022-05-16T00:00:00.000"/>
    <s v="00:42:55"/>
    <s v="https://twitter.com/ssidhugurpreet/status/1526000207132930048"/>
    <m/>
    <m/>
    <s v="1526000207132930048"/>
    <m/>
    <b v="0"/>
    <n v="0"/>
    <s v=""/>
    <b v="0"/>
    <s v="en"/>
    <m/>
    <s v=""/>
    <b v="0"/>
    <n v="16"/>
    <s v="1524368825562836992"/>
    <s v="Twitter for Android"/>
    <b v="0"/>
    <s v="1524368825562836992"/>
    <s v="Tweet"/>
    <n v="0"/>
    <n v="0"/>
    <m/>
    <m/>
    <m/>
    <m/>
    <m/>
    <m/>
    <m/>
    <m/>
    <n v="2"/>
    <s v="1"/>
    <s v="1"/>
    <m/>
    <m/>
    <m/>
    <m/>
    <m/>
    <m/>
    <m/>
    <m/>
    <m/>
  </r>
  <r>
    <s v="ssidhugurpreet"/>
    <s v="krisinmana"/>
    <m/>
    <m/>
    <m/>
    <m/>
    <m/>
    <m/>
    <m/>
    <m/>
    <s v="No"/>
    <n v="119"/>
    <m/>
    <m/>
    <s v="MentionsInRetweet"/>
    <x v="45"/>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6T00:44:12.000"/>
    <d v="2022-05-16T00:00:00.000"/>
    <s v="00:44:12"/>
    <s v="https://twitter.com/ssidhugurpreet/status/1526000528181694464"/>
    <m/>
    <m/>
    <s v="1526000528181694464"/>
    <m/>
    <b v="0"/>
    <n v="0"/>
    <s v=""/>
    <b v="0"/>
    <s v="en"/>
    <m/>
    <s v=""/>
    <b v="0"/>
    <n v="19"/>
    <s v="1524247919188389888"/>
    <s v="Twitter for Android"/>
    <b v="0"/>
    <s v="1524247919188389888"/>
    <s v="Tweet"/>
    <n v="0"/>
    <n v="0"/>
    <m/>
    <m/>
    <m/>
    <m/>
    <m/>
    <m/>
    <m/>
    <m/>
    <n v="2"/>
    <s v="1"/>
    <s v="1"/>
    <m/>
    <m/>
    <m/>
    <m/>
    <m/>
    <m/>
    <m/>
    <m/>
    <m/>
  </r>
  <r>
    <s v="letusbacktonz"/>
    <s v="jacindaardern"/>
    <m/>
    <m/>
    <m/>
    <m/>
    <m/>
    <m/>
    <m/>
    <m/>
    <s v="No"/>
    <n v="120"/>
    <m/>
    <m/>
    <s v="Mentions"/>
    <x v="41"/>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04:39:57.000"/>
    <d v="2022-05-11T00:00:00.000"/>
    <s v="04:39:57"/>
    <s v="https://twitter.com/letusbacktonz/status/1524247919188389888"/>
    <m/>
    <m/>
    <s v="1524247919188389888"/>
    <m/>
    <b v="0"/>
    <n v="17"/>
    <s v=""/>
    <b v="0"/>
    <s v="en"/>
    <m/>
    <s v=""/>
    <b v="0"/>
    <n v="19"/>
    <s v=""/>
    <s v="Twitter Web App"/>
    <b v="0"/>
    <s v="1524247919188389888"/>
    <s v="Tweet"/>
    <n v="0"/>
    <n v="0"/>
    <m/>
    <m/>
    <m/>
    <m/>
    <m/>
    <m/>
    <m/>
    <m/>
    <n v="3"/>
    <s v="2"/>
    <s v="1"/>
    <n v="0"/>
    <n v="0"/>
    <n v="5"/>
    <n v="12.820512820512821"/>
    <n v="0"/>
    <n v="0"/>
    <n v="34"/>
    <n v="87.17948717948718"/>
    <n v="39"/>
  </r>
  <r>
    <s v="letusbacktonz"/>
    <s v="jacindaardern"/>
    <m/>
    <m/>
    <m/>
    <m/>
    <m/>
    <m/>
    <m/>
    <m/>
    <s v="No"/>
    <n v="121"/>
    <m/>
    <m/>
    <s v="MentionsInRetweet"/>
    <x v="42"/>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12:27:27.000"/>
    <d v="2022-05-11T00:00:00.000"/>
    <s v="12:27:27"/>
    <s v="https://twitter.com/letusbacktonz/status/1524365566693486592"/>
    <m/>
    <m/>
    <s v="1524365566693486592"/>
    <m/>
    <b v="0"/>
    <n v="0"/>
    <s v=""/>
    <b v="0"/>
    <s v="en"/>
    <m/>
    <s v=""/>
    <b v="0"/>
    <n v="19"/>
    <s v="1524247919188389888"/>
    <s v="Twitter for Android"/>
    <b v="0"/>
    <s v="1524247919188389888"/>
    <s v="Tweet"/>
    <n v="0"/>
    <n v="0"/>
    <m/>
    <m/>
    <m/>
    <m/>
    <m/>
    <m/>
    <m/>
    <m/>
    <n v="3"/>
    <s v="2"/>
    <s v="1"/>
    <m/>
    <m/>
    <m/>
    <m/>
    <m/>
    <m/>
    <m/>
    <m/>
    <m/>
  </r>
  <r>
    <s v="letusbacktonz"/>
    <s v="jacindaardern"/>
    <m/>
    <m/>
    <m/>
    <m/>
    <m/>
    <m/>
    <m/>
    <m/>
    <s v="No"/>
    <n v="122"/>
    <m/>
    <m/>
    <s v="Replies to"/>
    <x v="38"/>
    <s v="@jacindaardern @nzlabour @KrisinMana @grantrobertson1 @chrishipkins @chrisluxonmp @NZNationalParty @RMarchNZ @NZGreens @NicolaWillisMP @JudithCollinsMP @EricaStanfordMP @NZHumanRights @UNHumanRights @NZParliament @MFATNZ @NZinIndia @MEAIndia @ScottMorrisonMP @DrSJaishankar https://t.co/ay7c4IIzFy"/>
    <s v="https://twitter.com/LetusbacktoNZ/status/1524623401868214272"/>
    <s v="twitter.com"/>
    <m/>
    <m/>
    <s v="https://pbs.twimg.com/profile_images/1423569281292271617/RHqRplkb_normal.jpg"/>
    <d v="2022-05-12T05:35:18.000"/>
    <d v="2022-05-12T00:00:00.000"/>
    <s v="05:35:18"/>
    <s v="https://twitter.com/letusbacktonz/status/1524624235989442561"/>
    <m/>
    <m/>
    <s v="1524624235989442561"/>
    <m/>
    <b v="0"/>
    <n v="1"/>
    <s v="22959763"/>
    <b v="1"/>
    <s v="und"/>
    <m/>
    <s v="1524623401868214272"/>
    <b v="0"/>
    <n v="1"/>
    <s v=""/>
    <s v="Twitter Web App"/>
    <b v="0"/>
    <s v="1524624235989442561"/>
    <s v="Tweet"/>
    <n v="0"/>
    <n v="0"/>
    <m/>
    <m/>
    <m/>
    <m/>
    <m/>
    <m/>
    <m/>
    <m/>
    <n v="3"/>
    <s v="2"/>
    <s v="1"/>
    <m/>
    <m/>
    <m/>
    <m/>
    <m/>
    <m/>
    <m/>
    <m/>
    <m/>
  </r>
  <r>
    <s v="ssidhugurpreet"/>
    <s v="jacindaardern"/>
    <m/>
    <m/>
    <m/>
    <m/>
    <m/>
    <m/>
    <m/>
    <m/>
    <s v="No"/>
    <n v="123"/>
    <m/>
    <m/>
    <s v="MentionsInRetweet"/>
    <x v="45"/>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6T00:44:12.000"/>
    <d v="2022-05-16T00:00:00.000"/>
    <s v="00:44:12"/>
    <s v="https://twitter.com/ssidhugurpreet/status/1526000528181694464"/>
    <m/>
    <m/>
    <s v="1526000528181694464"/>
    <m/>
    <b v="0"/>
    <n v="0"/>
    <s v=""/>
    <b v="0"/>
    <s v="en"/>
    <m/>
    <s v=""/>
    <b v="0"/>
    <n v="19"/>
    <s v="1524247919188389888"/>
    <s v="Twitter for Android"/>
    <b v="0"/>
    <s v="1524247919188389888"/>
    <s v="Tweet"/>
    <n v="0"/>
    <n v="0"/>
    <m/>
    <m/>
    <m/>
    <m/>
    <m/>
    <m/>
    <m/>
    <m/>
    <n v="1"/>
    <s v="1"/>
    <s v="1"/>
    <m/>
    <m/>
    <m/>
    <m/>
    <m/>
    <m/>
    <m/>
    <m/>
    <m/>
  </r>
  <r>
    <s v="gurisydney"/>
    <s v="letusbacktonz"/>
    <m/>
    <m/>
    <m/>
    <m/>
    <m/>
    <m/>
    <m/>
    <m/>
    <s v="Yes"/>
    <n v="124"/>
    <m/>
    <m/>
    <s v="Replies to"/>
    <x v="46"/>
    <s v="@LetusbacktoNZ Who said Australian government extended the visa??"/>
    <m/>
    <m/>
    <m/>
    <m/>
    <s v="https://pbs.twimg.com/profile_images/1368203740499509259/fiGeF3mQ_normal.jpg"/>
    <d v="2022-05-14T05:39:32.000"/>
    <d v="2022-05-14T00:00:00.000"/>
    <s v="05:39:32"/>
    <s v="https://twitter.com/gurisydney/status/1525350074842480640"/>
    <m/>
    <m/>
    <s v="1525350074842480640"/>
    <s v="1525343522484011009"/>
    <b v="0"/>
    <n v="2"/>
    <s v="1364641667282657281"/>
    <b v="0"/>
    <s v="en"/>
    <m/>
    <s v=""/>
    <b v="0"/>
    <n v="2"/>
    <s v=""/>
    <s v="Twitter for iPhone"/>
    <b v="0"/>
    <s v="1525343522484011009"/>
    <s v="Tweet"/>
    <n v="0"/>
    <n v="0"/>
    <m/>
    <m/>
    <m/>
    <m/>
    <m/>
    <m/>
    <m/>
    <m/>
    <n v="3"/>
    <s v="1"/>
    <s v="2"/>
    <n v="0"/>
    <n v="0"/>
    <n v="0"/>
    <n v="0"/>
    <n v="0"/>
    <n v="0"/>
    <n v="8"/>
    <n v="100"/>
    <n v="8"/>
  </r>
  <r>
    <s v="gurisydney"/>
    <s v="letusbacktonz"/>
    <m/>
    <m/>
    <m/>
    <m/>
    <m/>
    <m/>
    <m/>
    <m/>
    <s v="Yes"/>
    <n v="125"/>
    <m/>
    <m/>
    <s v="Replies to"/>
    <x v="47"/>
    <s v="@LetusbacktoNZ I am also stuck due to lockdown till now, even I applied for visa extension and had paid and all other expenses but even then they refused my visa…."/>
    <m/>
    <m/>
    <m/>
    <m/>
    <s v="https://pbs.twimg.com/profile_images/1368203740499509259/fiGeF3mQ_normal.jpg"/>
    <d v="2022-05-14T05:40:38.000"/>
    <d v="2022-05-14T00:00:00.000"/>
    <s v="05:40:38"/>
    <s v="https://twitter.com/gurisydney/status/1525350352807403520"/>
    <m/>
    <m/>
    <s v="1525350352807403520"/>
    <s v="1525343522484011009"/>
    <b v="0"/>
    <n v="3"/>
    <s v="1364641667282657281"/>
    <b v="0"/>
    <s v="en"/>
    <m/>
    <s v=""/>
    <b v="0"/>
    <n v="3"/>
    <s v=""/>
    <s v="Twitter for iPhone"/>
    <b v="0"/>
    <s v="1525343522484011009"/>
    <s v="Tweet"/>
    <n v="0"/>
    <n v="0"/>
    <m/>
    <m/>
    <m/>
    <m/>
    <m/>
    <m/>
    <m/>
    <m/>
    <n v="3"/>
    <s v="1"/>
    <s v="2"/>
    <n v="0"/>
    <n v="0"/>
    <n v="2"/>
    <n v="6.666666666666667"/>
    <n v="0"/>
    <n v="0"/>
    <n v="28"/>
    <n v="93.33333333333333"/>
    <n v="30"/>
  </r>
  <r>
    <s v="gurisydney"/>
    <s v="letusbacktonz"/>
    <m/>
    <m/>
    <m/>
    <m/>
    <m/>
    <m/>
    <m/>
    <m/>
    <s v="Yes"/>
    <n v="126"/>
    <m/>
    <m/>
    <s v="Replies to"/>
    <x v="48"/>
    <s v="@LetusbacktoNZ That’s not for students bro…"/>
    <m/>
    <m/>
    <m/>
    <m/>
    <s v="https://pbs.twimg.com/profile_images/1368203740499509259/fiGeF3mQ_normal.jpg"/>
    <d v="2022-05-14T06:50:50.000"/>
    <d v="2022-05-14T00:00:00.000"/>
    <s v="06:50:50"/>
    <s v="https://twitter.com/gurisydney/status/1525368017634201601"/>
    <m/>
    <m/>
    <s v="1525368017634201601"/>
    <s v="1525351058729742341"/>
    <b v="0"/>
    <n v="0"/>
    <s v="1364641667282657281"/>
    <b v="0"/>
    <s v="en"/>
    <m/>
    <s v=""/>
    <b v="0"/>
    <n v="0"/>
    <s v=""/>
    <s v="Twitter for iPhone"/>
    <b v="0"/>
    <s v="1525351058729742341"/>
    <s v="Tweet"/>
    <n v="0"/>
    <n v="0"/>
    <m/>
    <m/>
    <m/>
    <m/>
    <m/>
    <m/>
    <m/>
    <m/>
    <n v="3"/>
    <s v="1"/>
    <s v="2"/>
    <n v="0"/>
    <n v="0"/>
    <n v="0"/>
    <n v="0"/>
    <n v="0"/>
    <n v="0"/>
    <n v="7"/>
    <n v="100"/>
    <n v="7"/>
  </r>
  <r>
    <s v="letusbacktonz"/>
    <s v="gurisydney"/>
    <m/>
    <m/>
    <m/>
    <m/>
    <m/>
    <m/>
    <m/>
    <m/>
    <s v="Yes"/>
    <n v="127"/>
    <m/>
    <m/>
    <s v="Replies to"/>
    <x v="49"/>
    <s v="@Gurisydney Australia replaced the visas, which is the same thing as extending the visas for 2 years._x000a__x000a_https://t.co/8027xcykCt"/>
    <s v="https://www.mondaq.com/australia/work-visas/1164678/extension-of-subclass-485-489-491-494-visas-for-holders-impacted-by-australian-covid-19-border-closures"/>
    <s v="mondaq.com"/>
    <m/>
    <m/>
    <s v="https://pbs.twimg.com/profile_images/1423569281292271617/RHqRplkb_normal.jpg"/>
    <d v="2022-05-14T05:43:26.000"/>
    <d v="2022-05-14T00:00:00.000"/>
    <s v="05:43:26"/>
    <s v="https://twitter.com/letusbacktonz/status/1525351058729742341"/>
    <m/>
    <m/>
    <s v="1525351058729742341"/>
    <s v="1525350352807403520"/>
    <b v="0"/>
    <n v="2"/>
    <s v="1285251567487049728"/>
    <b v="0"/>
    <s v="en"/>
    <m/>
    <s v=""/>
    <b v="0"/>
    <n v="2"/>
    <s v=""/>
    <s v="Twitter Web App"/>
    <b v="0"/>
    <s v="1525350352807403520"/>
    <s v="Tweet"/>
    <n v="0"/>
    <n v="0"/>
    <m/>
    <m/>
    <m/>
    <m/>
    <m/>
    <m/>
    <m/>
    <m/>
    <n v="2"/>
    <s v="2"/>
    <s v="1"/>
    <n v="0"/>
    <n v="0"/>
    <n v="0"/>
    <n v="0"/>
    <n v="0"/>
    <n v="0"/>
    <n v="17"/>
    <n v="100"/>
    <n v="17"/>
  </r>
  <r>
    <s v="letusbacktonz"/>
    <s v="gurisydney"/>
    <m/>
    <m/>
    <m/>
    <m/>
    <m/>
    <m/>
    <m/>
    <m/>
    <s v="Yes"/>
    <n v="128"/>
    <m/>
    <m/>
    <s v="Replies to"/>
    <x v="50"/>
    <s v="@Gurisydney Students and Migrants are different, we are fighting for the Migrants who had valid visas and NZ Gov. blocked them on tha name of #COVID19"/>
    <m/>
    <m/>
    <s v="covid19"/>
    <m/>
    <s v="https://pbs.twimg.com/profile_images/1423569281292271617/RHqRplkb_normal.jpg"/>
    <d v="2022-05-14T07:40:18.000"/>
    <d v="2022-05-14T00:00:00.000"/>
    <s v="07:40:18"/>
    <s v="https://twitter.com/letusbacktonz/status/1525380469281415168"/>
    <m/>
    <m/>
    <s v="1525380469281415168"/>
    <s v="1525368017634201601"/>
    <b v="0"/>
    <n v="1"/>
    <s v="1285251567487049728"/>
    <b v="0"/>
    <s v="en"/>
    <m/>
    <s v=""/>
    <b v="0"/>
    <n v="0"/>
    <s v=""/>
    <s v="Twitter for Android"/>
    <b v="0"/>
    <s v="1525368017634201601"/>
    <s v="Tweet"/>
    <n v="0"/>
    <n v="0"/>
    <m/>
    <m/>
    <m/>
    <m/>
    <m/>
    <m/>
    <m/>
    <m/>
    <n v="2"/>
    <s v="2"/>
    <s v="1"/>
    <n v="0"/>
    <n v="0"/>
    <n v="0"/>
    <n v="0"/>
    <n v="0"/>
    <n v="0"/>
    <n v="26"/>
    <n v="100"/>
    <n v="26"/>
  </r>
  <r>
    <s v="ssidhugurpreet"/>
    <s v="gurisydney"/>
    <m/>
    <m/>
    <m/>
    <m/>
    <m/>
    <m/>
    <m/>
    <m/>
    <s v="No"/>
    <n v="129"/>
    <m/>
    <m/>
    <s v="Retweet"/>
    <x v="51"/>
    <s v="@LetusbacktoNZ I am also stuck due to lockdown till now, even I applied for visa extension and had paid and all other expenses but even then they refused my visa…."/>
    <m/>
    <m/>
    <m/>
    <m/>
    <s v="https://pbs.twimg.com/profile_images/1449026286337540096/j8wlT2Py_normal.jpg"/>
    <d v="2022-05-16T00:45:25.000"/>
    <d v="2022-05-16T00:00:00.000"/>
    <s v="00:45:25"/>
    <s v="https://twitter.com/ssidhugurpreet/status/1526000834928005121"/>
    <m/>
    <m/>
    <s v="1526000834928005121"/>
    <m/>
    <b v="0"/>
    <n v="0"/>
    <s v=""/>
    <b v="0"/>
    <s v="en"/>
    <m/>
    <s v=""/>
    <b v="0"/>
    <n v="3"/>
    <s v="1525350352807403520"/>
    <s v="Twitter for Android"/>
    <b v="0"/>
    <s v="1525350352807403520"/>
    <s v="Tweet"/>
    <n v="0"/>
    <n v="0"/>
    <m/>
    <m/>
    <m/>
    <m/>
    <m/>
    <m/>
    <m/>
    <m/>
    <n v="1"/>
    <s v="1"/>
    <s v="1"/>
    <m/>
    <m/>
    <m/>
    <m/>
    <m/>
    <m/>
    <m/>
    <m/>
    <m/>
  </r>
  <r>
    <s v="ssidhugurpreet"/>
    <s v="letusbacktonz"/>
    <m/>
    <m/>
    <m/>
    <m/>
    <m/>
    <m/>
    <m/>
    <m/>
    <s v="No"/>
    <n v="130"/>
    <m/>
    <m/>
    <s v="Retweet"/>
    <x v="44"/>
    <s v="🤯 After killing thousands of Dreams, Careers, and Innocent Souls, here is New Zealand Immigration Minister @KrisinMana still not having a plan for offshore migrants._x000a__x000a_Could you believe he is also Justice Minister of NZ._x000a__x000a_However, 26 months gone and Injustice is still there 😵‍💫 https://t.co/r99HaBOgLP"/>
    <m/>
    <m/>
    <m/>
    <s v="https://pbs.twimg.com/ext_tw_video_thumb/1524368758437216256/pu/img/3UwSYL_0rta3dEGi.jpg"/>
    <s v="https://pbs.twimg.com/ext_tw_video_thumb/1524368758437216256/pu/img/3UwSYL_0rta3dEGi.jpg"/>
    <d v="2022-05-16T00:42:55.000"/>
    <d v="2022-05-16T00:00:00.000"/>
    <s v="00:42:55"/>
    <s v="https://twitter.com/ssidhugurpreet/status/1526000207132930048"/>
    <m/>
    <m/>
    <s v="1526000207132930048"/>
    <m/>
    <b v="0"/>
    <n v="0"/>
    <s v=""/>
    <b v="0"/>
    <s v="en"/>
    <m/>
    <s v=""/>
    <b v="0"/>
    <n v="16"/>
    <s v="1524368825562836992"/>
    <s v="Twitter for Android"/>
    <b v="0"/>
    <s v="1524368825562836992"/>
    <s v="Tweet"/>
    <n v="0"/>
    <n v="0"/>
    <m/>
    <m/>
    <m/>
    <m/>
    <m/>
    <m/>
    <m/>
    <m/>
    <n v="3"/>
    <s v="1"/>
    <s v="2"/>
    <n v="0"/>
    <n v="0"/>
    <n v="2"/>
    <n v="4.651162790697675"/>
    <n v="0"/>
    <n v="0"/>
    <n v="41"/>
    <n v="95.34883720930233"/>
    <n v="43"/>
  </r>
  <r>
    <s v="ssidhugurpreet"/>
    <s v="letusbacktonz"/>
    <m/>
    <m/>
    <m/>
    <m/>
    <m/>
    <m/>
    <m/>
    <m/>
    <s v="No"/>
    <n v="131"/>
    <m/>
    <m/>
    <s v="Retweet"/>
    <x v="45"/>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6T00:44:12.000"/>
    <d v="2022-05-16T00:00:00.000"/>
    <s v="00:44:12"/>
    <s v="https://twitter.com/ssidhugurpreet/status/1526000528181694464"/>
    <m/>
    <m/>
    <s v="1526000528181694464"/>
    <m/>
    <b v="0"/>
    <n v="0"/>
    <s v=""/>
    <b v="0"/>
    <s v="en"/>
    <m/>
    <s v=""/>
    <b v="0"/>
    <n v="19"/>
    <s v="1524247919188389888"/>
    <s v="Twitter for Android"/>
    <b v="0"/>
    <s v="1524247919188389888"/>
    <s v="Tweet"/>
    <n v="0"/>
    <n v="0"/>
    <m/>
    <m/>
    <m/>
    <m/>
    <m/>
    <m/>
    <m/>
    <m/>
    <n v="3"/>
    <s v="1"/>
    <s v="2"/>
    <n v="0"/>
    <n v="0"/>
    <n v="5"/>
    <n v="12.820512820512821"/>
    <n v="0"/>
    <n v="0"/>
    <n v="34"/>
    <n v="87.17948717948718"/>
    <n v="39"/>
  </r>
  <r>
    <s v="ssidhugurpreet"/>
    <s v="letusbacktonz"/>
    <m/>
    <m/>
    <m/>
    <m/>
    <m/>
    <m/>
    <m/>
    <m/>
    <s v="No"/>
    <n v="132"/>
    <m/>
    <m/>
    <s v="Replies to"/>
    <x v="51"/>
    <s v="@LetusbacktoNZ I am also stuck due to lockdown till now, even I applied for visa extension and had paid and all other expenses but even then they refused my visa…."/>
    <m/>
    <m/>
    <m/>
    <m/>
    <s v="https://pbs.twimg.com/profile_images/1449026286337540096/j8wlT2Py_normal.jpg"/>
    <d v="2022-05-16T00:45:25.000"/>
    <d v="2022-05-16T00:00:00.000"/>
    <s v="00:45:25"/>
    <s v="https://twitter.com/ssidhugurpreet/status/1526000834928005121"/>
    <m/>
    <m/>
    <s v="1526000834928005121"/>
    <m/>
    <b v="0"/>
    <n v="0"/>
    <s v=""/>
    <b v="0"/>
    <s v="en"/>
    <m/>
    <s v=""/>
    <b v="0"/>
    <n v="3"/>
    <s v="1525350352807403520"/>
    <s v="Twitter for Android"/>
    <b v="0"/>
    <s v="1525350352807403520"/>
    <s v="Tweet"/>
    <n v="0"/>
    <n v="0"/>
    <m/>
    <m/>
    <m/>
    <m/>
    <m/>
    <m/>
    <m/>
    <m/>
    <n v="3"/>
    <s v="1"/>
    <s v="2"/>
    <n v="0"/>
    <n v="0"/>
    <n v="2"/>
    <n v="6.666666666666667"/>
    <n v="0"/>
    <n v="0"/>
    <n v="28"/>
    <n v="93.33333333333333"/>
    <n v="30"/>
  </r>
  <r>
    <s v="letusbacktonz"/>
    <s v="letusbacktonz"/>
    <m/>
    <m/>
    <m/>
    <m/>
    <m/>
    <m/>
    <m/>
    <m/>
    <s v="No"/>
    <n v="133"/>
    <m/>
    <m/>
    <s v="Retweet"/>
    <x v="42"/>
    <s v="🤬Shameless, Senseless, and Heartless._x000a__x000a_NZ PM @jacindaardern and INZ Minister @KrisinMana are now playing dirty politics with Innocent Offshore Migrants._x000a__x000a_🔝Divide the migrants is still the No. 1 Policy._x000a__x000a_Once again #Discriminate against migrants and didn't extend offshore visas. https://t.co/FxjOEsWtgU"/>
    <m/>
    <m/>
    <s v="discriminate"/>
    <s v="https://pbs.twimg.com/media/FSc09v5aQAAY6bm.jpg"/>
    <s v="https://pbs.twimg.com/media/FSc09v5aQAAY6bm.jpg"/>
    <d v="2022-05-11T12:27:27.000"/>
    <d v="2022-05-11T00:00:00.000"/>
    <s v="12:27:27"/>
    <s v="https://twitter.com/letusbacktonz/status/1524365566693486592"/>
    <m/>
    <m/>
    <s v="1524365566693486592"/>
    <m/>
    <b v="0"/>
    <n v="0"/>
    <s v=""/>
    <b v="0"/>
    <s v="en"/>
    <m/>
    <s v=""/>
    <b v="0"/>
    <n v="19"/>
    <s v="1524247919188389888"/>
    <s v="Twitter for Android"/>
    <b v="0"/>
    <s v="1524247919188389888"/>
    <s v="Tweet"/>
    <n v="0"/>
    <n v="0"/>
    <m/>
    <m/>
    <m/>
    <m/>
    <m/>
    <m/>
    <m/>
    <m/>
    <n v="2"/>
    <s v="2"/>
    <s v="2"/>
    <n v="0"/>
    <n v="0"/>
    <n v="5"/>
    <n v="12.820512820512821"/>
    <n v="0"/>
    <n v="0"/>
    <n v="34"/>
    <n v="87.17948717948718"/>
    <n v="39"/>
  </r>
  <r>
    <s v="letusbacktonz"/>
    <s v="nzgreens"/>
    <m/>
    <m/>
    <m/>
    <m/>
    <m/>
    <m/>
    <m/>
    <m/>
    <s v="No"/>
    <n v="134"/>
    <m/>
    <m/>
    <s v="Mentions"/>
    <x v="38"/>
    <s v="@jacindaardern @nzlabour @KrisinMana @grantrobertson1 @chrishipkins @chrisluxonmp @NZNationalParty @RMarchNZ @NZGreens @NicolaWillisMP @JudithCollinsMP @EricaStanfordMP @NZHumanRights @UNHumanRights @NZParliament @MFATNZ @NZinIndia @MEAIndia @ScottMorrisonMP @DrSJaishankar https://t.co/ay7c4IIzFy"/>
    <s v="https://twitter.com/LetusbacktoNZ/status/1524623401868214272"/>
    <s v="twitter.com"/>
    <m/>
    <m/>
    <s v="https://pbs.twimg.com/profile_images/1423569281292271617/RHqRplkb_normal.jpg"/>
    <d v="2022-05-12T05:35:18.000"/>
    <d v="2022-05-12T00:00:00.000"/>
    <s v="05:35:18"/>
    <s v="https://twitter.com/letusbacktonz/status/1524624235989442561"/>
    <m/>
    <m/>
    <s v="1524624235989442561"/>
    <m/>
    <b v="0"/>
    <n v="1"/>
    <s v="22959763"/>
    <b v="1"/>
    <s v="und"/>
    <m/>
    <s v="1524623401868214272"/>
    <b v="0"/>
    <n v="1"/>
    <s v=""/>
    <s v="Twitter Web App"/>
    <b v="0"/>
    <s v="1524624235989442561"/>
    <s v="Tweet"/>
    <n v="0"/>
    <n v="0"/>
    <m/>
    <m/>
    <m/>
    <m/>
    <m/>
    <m/>
    <m/>
    <m/>
    <n v="1"/>
    <s v="2"/>
    <s v="3"/>
    <m/>
    <m/>
    <m/>
    <m/>
    <m/>
    <m/>
    <m/>
    <m/>
    <m/>
  </r>
  <r>
    <s v="letusbacktonz"/>
    <s v="nzlabour"/>
    <m/>
    <m/>
    <m/>
    <m/>
    <m/>
    <m/>
    <m/>
    <m/>
    <s v="No"/>
    <n v="135"/>
    <m/>
    <m/>
    <s v="Mentions"/>
    <x v="38"/>
    <s v="@jacindaardern @nzlabour @KrisinMana @grantrobertson1 @chrishipkins @chrisluxonmp @NZNationalParty @RMarchNZ @NZGreens @NicolaWillisMP @JudithCollinsMP @EricaStanfordMP @NZHumanRights @UNHumanRights @NZParliament @MFATNZ @NZinIndia @MEAIndia @ScottMorrisonMP @DrSJaishankar https://t.co/ay7c4IIzFy"/>
    <s v="https://twitter.com/LetusbacktoNZ/status/1524623401868214272"/>
    <s v="twitter.com"/>
    <m/>
    <m/>
    <s v="https://pbs.twimg.com/profile_images/1423569281292271617/RHqRplkb_normal.jpg"/>
    <d v="2022-05-12T05:35:18.000"/>
    <d v="2022-05-12T00:00:00.000"/>
    <s v="05:35:18"/>
    <s v="https://twitter.com/letusbacktonz/status/1524624235989442561"/>
    <m/>
    <m/>
    <s v="1524624235989442561"/>
    <m/>
    <b v="0"/>
    <n v="1"/>
    <s v="22959763"/>
    <b v="1"/>
    <s v="und"/>
    <m/>
    <s v="1524623401868214272"/>
    <b v="0"/>
    <n v="1"/>
    <s v=""/>
    <s v="Twitter Web App"/>
    <b v="0"/>
    <s v="1524624235989442561"/>
    <s v="Tweet"/>
    <n v="0"/>
    <n v="0"/>
    <m/>
    <m/>
    <m/>
    <m/>
    <m/>
    <m/>
    <m/>
    <m/>
    <n v="1"/>
    <s v="2"/>
    <s v="3"/>
    <n v="0"/>
    <n v="0"/>
    <n v="0"/>
    <n v="0"/>
    <n v="0"/>
    <n v="0"/>
    <n v="20"/>
    <n v="100"/>
    <n v="20"/>
  </r>
  <r>
    <s v="letusbacktonz"/>
    <s v="letusbacktonz"/>
    <m/>
    <m/>
    <m/>
    <m/>
    <m/>
    <m/>
    <m/>
    <m/>
    <s v="No"/>
    <n v="136"/>
    <m/>
    <m/>
    <s v="Tweet"/>
    <x v="52"/>
    <s v="Australia and Canada extended visas to Offshore Stuck Migrants who lost visas due to lockdown._x000a__x000a_New Zealand on the other hand, has not given any clear statement._x000a__x000a_NZ PM Jacinda Arden &amp;amp; INZ Minister Kris Faffoi wasted 26 Months of Innocent Migrants._x000a_#shame_x000a__x000a_https://t.co/mWhFoMUIt2"/>
    <s v="https://www.indianweekender.co.nz/Pages/ArticleDetails/52/19649/Editorials/Why-govt-has-no-rationale-to-not-extend-expired-visas-of-migrant-workers-stuck?fbclid=IwAR2N6zafme4riiGzBLZrjOoQ2GFiFPa-YmoKXQrWtoZPkyviyXZRZBzs64k"/>
    <s v="co.nz"/>
    <s v="shame"/>
    <m/>
    <s v="https://pbs.twimg.com/profile_images/1423569281292271617/RHqRplkb_normal.jpg"/>
    <d v="2022-05-14T05:13:29.000"/>
    <d v="2022-05-14T00:00:00.000"/>
    <s v="05:13:29"/>
    <s v="https://twitter.com/letusbacktonz/status/1525343522484011009"/>
    <m/>
    <m/>
    <s v="1525343522484011009"/>
    <m/>
    <b v="0"/>
    <n v="10"/>
    <s v=""/>
    <b v="0"/>
    <s v="en"/>
    <m/>
    <s v=""/>
    <b v="0"/>
    <n v="11"/>
    <s v=""/>
    <s v="Twitter Web App"/>
    <b v="0"/>
    <s v="1525343522484011009"/>
    <s v="Tweet"/>
    <n v="0"/>
    <n v="0"/>
    <m/>
    <m/>
    <m/>
    <m/>
    <m/>
    <m/>
    <m/>
    <m/>
    <n v="2"/>
    <s v="2"/>
    <s v="2"/>
    <n v="1"/>
    <n v="2.3255813953488373"/>
    <n v="4"/>
    <n v="9.30232558139535"/>
    <n v="0"/>
    <n v="0"/>
    <n v="38"/>
    <n v="88.37209302325581"/>
    <n v="43"/>
  </r>
  <r>
    <s v="smartkiwis"/>
    <s v="letusbacktonz"/>
    <m/>
    <m/>
    <m/>
    <m/>
    <m/>
    <m/>
    <m/>
    <m/>
    <s v="No"/>
    <n v="137"/>
    <m/>
    <m/>
    <s v="Mentions"/>
    <x v="53"/>
    <s v="Dataviz of hashtags @nzgreens _x000a_Top hashtags:_x000a_#nzpol -45_x000a_#climateaction-34_x000a_#breaking -16_x000a_#nzgreens -14_x000a_#climatechange -8_x000a_#climatechangenow -8_x000a_Influencers_x000a_@nzgreens_x000a_@theconsultant18_x000a_@nzlabour_x000a_@_chloeswarbrick_x000a_@letusbacktonz_x000a_https://t.co/9forVuDVvd"/>
    <s v="https://nodexlgraphgallery.org/Pages/Graph.aspx?graphID=276416"/>
    <s v="nodexlgraphgallery.org"/>
    <s v="nzpol climateaction breaking nzgreens climatechange climatechangenow"/>
    <m/>
    <s v="https://pbs.twimg.com/profile_images/508785422617440256/-sHWScrw_normal.png"/>
    <d v="2022-05-16T19:31:46.000"/>
    <d v="2022-05-16T00:00:00.000"/>
    <s v="19:31:46"/>
    <s v="https://twitter.com/smartkiwis/status/1526284290048159744"/>
    <m/>
    <m/>
    <s v="1526284290048159744"/>
    <m/>
    <b v="0"/>
    <n v="0"/>
    <s v=""/>
    <b v="0"/>
    <s v="en"/>
    <m/>
    <s v=""/>
    <b v="0"/>
    <n v="0"/>
    <s v=""/>
    <s v="Twitter Web App"/>
    <b v="0"/>
    <s v="1526284290048159744"/>
    <s v="Tweet"/>
    <n v="0"/>
    <n v="0"/>
    <m/>
    <m/>
    <m/>
    <m/>
    <m/>
    <m/>
    <m/>
    <m/>
    <n v="1"/>
    <s v="3"/>
    <s v="2"/>
    <m/>
    <m/>
    <m/>
    <m/>
    <m/>
    <m/>
    <m/>
    <m/>
    <m/>
  </r>
  <r>
    <s v="smartkiwis"/>
    <s v="_chloeswarbrick"/>
    <m/>
    <m/>
    <m/>
    <m/>
    <m/>
    <m/>
    <m/>
    <m/>
    <s v="No"/>
    <n v="138"/>
    <m/>
    <m/>
    <s v="Mentions"/>
    <x v="53"/>
    <s v="Dataviz of hashtags @nzgreens _x000a_Top hashtags:_x000a_#nzpol -45_x000a_#climateaction-34_x000a_#breaking -16_x000a_#nzgreens -14_x000a_#climatechange -8_x000a_#climatechangenow -8_x000a_Influencers_x000a_@nzgreens_x000a_@theconsultant18_x000a_@nzlabour_x000a_@_chloeswarbrick_x000a_@letusbacktonz_x000a_https://t.co/9forVuDVvd"/>
    <s v="https://nodexlgraphgallery.org/Pages/Graph.aspx?graphID=276416"/>
    <s v="nodexlgraphgallery.org"/>
    <s v="nzpol climateaction breaking nzgreens climatechange climatechangenow"/>
    <m/>
    <s v="https://pbs.twimg.com/profile_images/508785422617440256/-sHWScrw_normal.png"/>
    <d v="2022-05-16T19:31:46.000"/>
    <d v="2022-05-16T00:00:00.000"/>
    <s v="19:31:46"/>
    <s v="https://twitter.com/smartkiwis/status/1526284290048159744"/>
    <m/>
    <m/>
    <s v="1526284290048159744"/>
    <m/>
    <b v="0"/>
    <n v="0"/>
    <s v=""/>
    <b v="0"/>
    <s v="en"/>
    <m/>
    <s v=""/>
    <b v="0"/>
    <n v="0"/>
    <s v=""/>
    <s v="Twitter Web App"/>
    <b v="0"/>
    <s v="1526284290048159744"/>
    <s v="Tweet"/>
    <n v="0"/>
    <n v="0"/>
    <m/>
    <m/>
    <m/>
    <m/>
    <m/>
    <m/>
    <m/>
    <m/>
    <n v="1"/>
    <s v="3"/>
    <s v="3"/>
    <m/>
    <m/>
    <m/>
    <m/>
    <m/>
    <m/>
    <m/>
    <m/>
    <m/>
  </r>
  <r>
    <s v="smartkiwis"/>
    <s v="nzlabour"/>
    <m/>
    <m/>
    <m/>
    <m/>
    <m/>
    <m/>
    <m/>
    <m/>
    <s v="No"/>
    <n v="139"/>
    <m/>
    <m/>
    <s v="Mentions"/>
    <x v="53"/>
    <s v="Dataviz of hashtags @nzgreens _x000a_Top hashtags:_x000a_#nzpol -45_x000a_#climateaction-34_x000a_#breaking -16_x000a_#nzgreens -14_x000a_#climatechange -8_x000a_#climatechangenow -8_x000a_Influencers_x000a_@nzgreens_x000a_@theconsultant18_x000a_@nzlabour_x000a_@_chloeswarbrick_x000a_@letusbacktonz_x000a_https://t.co/9forVuDVvd"/>
    <s v="https://nodexlgraphgallery.org/Pages/Graph.aspx?graphID=276416"/>
    <s v="nodexlgraphgallery.org"/>
    <s v="nzpol climateaction breaking nzgreens climatechange climatechangenow"/>
    <m/>
    <s v="https://pbs.twimg.com/profile_images/508785422617440256/-sHWScrw_normal.png"/>
    <d v="2022-05-16T19:31:46.000"/>
    <d v="2022-05-16T00:00:00.000"/>
    <s v="19:31:46"/>
    <s v="https://twitter.com/smartkiwis/status/1526284290048159744"/>
    <m/>
    <m/>
    <s v="1526284290048159744"/>
    <m/>
    <b v="0"/>
    <n v="0"/>
    <s v=""/>
    <b v="0"/>
    <s v="en"/>
    <m/>
    <s v=""/>
    <b v="0"/>
    <n v="0"/>
    <s v=""/>
    <s v="Twitter Web App"/>
    <b v="0"/>
    <s v="1526284290048159744"/>
    <s v="Tweet"/>
    <n v="0"/>
    <n v="0"/>
    <m/>
    <m/>
    <m/>
    <m/>
    <m/>
    <m/>
    <m/>
    <m/>
    <n v="1"/>
    <s v="3"/>
    <s v="3"/>
    <m/>
    <m/>
    <m/>
    <m/>
    <m/>
    <m/>
    <m/>
    <m/>
    <m/>
  </r>
  <r>
    <s v="smartkiwis"/>
    <s v="theconsultant18"/>
    <m/>
    <m/>
    <m/>
    <m/>
    <m/>
    <m/>
    <m/>
    <m/>
    <s v="No"/>
    <n v="140"/>
    <m/>
    <m/>
    <s v="Mentions"/>
    <x v="53"/>
    <s v="Dataviz of hashtags @nzgreens _x000a_Top hashtags:_x000a_#nzpol -45_x000a_#climateaction-34_x000a_#breaking -16_x000a_#nzgreens -14_x000a_#climatechange -8_x000a_#climatechangenow -8_x000a_Influencers_x000a_@nzgreens_x000a_@theconsultant18_x000a_@nzlabour_x000a_@_chloeswarbrick_x000a_@letusbacktonz_x000a_https://t.co/9forVuDVvd"/>
    <s v="https://nodexlgraphgallery.org/Pages/Graph.aspx?graphID=276416"/>
    <s v="nodexlgraphgallery.org"/>
    <s v="nzpol climateaction breaking nzgreens climatechange climatechangenow"/>
    <m/>
    <s v="https://pbs.twimg.com/profile_images/508785422617440256/-sHWScrw_normal.png"/>
    <d v="2022-05-16T19:31:46.000"/>
    <d v="2022-05-16T00:00:00.000"/>
    <s v="19:31:46"/>
    <s v="https://twitter.com/smartkiwis/status/1526284290048159744"/>
    <m/>
    <m/>
    <s v="1526284290048159744"/>
    <m/>
    <b v="0"/>
    <n v="0"/>
    <s v=""/>
    <b v="0"/>
    <s v="en"/>
    <m/>
    <s v=""/>
    <b v="0"/>
    <n v="0"/>
    <s v=""/>
    <s v="Twitter Web App"/>
    <b v="0"/>
    <s v="1526284290048159744"/>
    <s v="Tweet"/>
    <n v="0"/>
    <n v="0"/>
    <m/>
    <m/>
    <m/>
    <m/>
    <m/>
    <m/>
    <m/>
    <m/>
    <n v="1"/>
    <s v="3"/>
    <s v="3"/>
    <n v="1"/>
    <n v="4.166666666666667"/>
    <n v="1"/>
    <n v="4.166666666666667"/>
    <n v="0"/>
    <n v="0"/>
    <n v="22"/>
    <n v="91.66666666666667"/>
    <n v="24"/>
  </r>
  <r>
    <s v="smartkiwis"/>
    <s v="nzgreens"/>
    <m/>
    <m/>
    <m/>
    <m/>
    <m/>
    <m/>
    <m/>
    <m/>
    <s v="No"/>
    <n v="141"/>
    <m/>
    <m/>
    <s v="Mentions"/>
    <x v="53"/>
    <s v="Dataviz of hashtags @nzgreens _x000a_Top hashtags:_x000a_#nzpol -45_x000a_#climateaction-34_x000a_#breaking -16_x000a_#nzgreens -14_x000a_#climatechange -8_x000a_#climatechangenow -8_x000a_Influencers_x000a_@nzgreens_x000a_@theconsultant18_x000a_@nzlabour_x000a_@_chloeswarbrick_x000a_@letusbacktonz_x000a_https://t.co/9forVuDVvd"/>
    <s v="https://nodexlgraphgallery.org/Pages/Graph.aspx?graphID=276416"/>
    <s v="nodexlgraphgallery.org"/>
    <s v="nzpol climateaction breaking nzgreens climatechange climatechangenow"/>
    <m/>
    <s v="https://pbs.twimg.com/profile_images/508785422617440256/-sHWScrw_normal.png"/>
    <d v="2022-05-16T19:31:46.000"/>
    <d v="2022-05-16T00:00:00.000"/>
    <s v="19:31:46"/>
    <s v="https://twitter.com/smartkiwis/status/1526284290048159744"/>
    <m/>
    <m/>
    <s v="1526284290048159744"/>
    <m/>
    <b v="0"/>
    <n v="0"/>
    <s v=""/>
    <b v="0"/>
    <s v="en"/>
    <m/>
    <s v=""/>
    <b v="0"/>
    <n v="0"/>
    <s v=""/>
    <s v="Twitter Web App"/>
    <b v="0"/>
    <s v="1526284290048159744"/>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3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8">
    <i>
      <x v="1"/>
    </i>
    <i r="1">
      <x v="5"/>
    </i>
    <i r="2">
      <x v="132"/>
    </i>
    <i r="2">
      <x v="133"/>
    </i>
    <i r="2">
      <x v="134"/>
    </i>
    <i r="2">
      <x v="135"/>
    </i>
    <i r="2">
      <x v="137"/>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141" totalsRowShown="0" headerRowDxfId="407" dataDxfId="367">
  <autoFilter ref="A2:BN141"/>
  <tableColumns count="66">
    <tableColumn id="1" name="Vertex 1" dataDxfId="352"/>
    <tableColumn id="2" name="Vertex 2" dataDxfId="350"/>
    <tableColumn id="3" name="Color" dataDxfId="351"/>
    <tableColumn id="4" name="Width" dataDxfId="376"/>
    <tableColumn id="11" name="Style" dataDxfId="375"/>
    <tableColumn id="5" name="Opacity" dataDxfId="374"/>
    <tableColumn id="6" name="Visibility" dataDxfId="373"/>
    <tableColumn id="10" name="Label" dataDxfId="372"/>
    <tableColumn id="12" name="Label Text Color" dataDxfId="371"/>
    <tableColumn id="13" name="Label Font Size" dataDxfId="370"/>
    <tableColumn id="14" name="Reciprocated?" dataDxfId="255"/>
    <tableColumn id="7" name="ID" dataDxfId="369"/>
    <tableColumn id="9" name="Dynamic Filter" dataDxfId="368"/>
    <tableColumn id="8" name="Add Your Own Columns Here" dataDxfId="349"/>
    <tableColumn id="15" name="Relationship" dataDxfId="348"/>
    <tableColumn id="16" name="Relationship Date (UTC)" dataDxfId="347"/>
    <tableColumn id="17" name="Tweet" dataDxfId="346"/>
    <tableColumn id="18" name="URLs in Tweet" dataDxfId="345"/>
    <tableColumn id="19" name="Domains in Tweet" dataDxfId="344"/>
    <tableColumn id="20" name="Hashtags in Tweet" dataDxfId="343"/>
    <tableColumn id="21" name="Media in Tweet" dataDxfId="342"/>
    <tableColumn id="22" name="Tweet Image File" dataDxfId="341"/>
    <tableColumn id="23" name="Tweet Date (UTC)" dataDxfId="340"/>
    <tableColumn id="24" name="Date" dataDxfId="339"/>
    <tableColumn id="25" name="Time" dataDxfId="338"/>
    <tableColumn id="26" name="Twitter Page for Tweet" dataDxfId="337"/>
    <tableColumn id="27" name="Latitude" dataDxfId="336"/>
    <tableColumn id="28" name="Longitude" dataDxfId="335"/>
    <tableColumn id="29" name="Imported ID" dataDxfId="334"/>
    <tableColumn id="30" name="In-Reply-To Tweet ID" dataDxfId="333"/>
    <tableColumn id="31" name="Favorited" dataDxfId="332"/>
    <tableColumn id="32" name="Favorite Count" dataDxfId="331"/>
    <tableColumn id="33" name="In-Reply-To User ID" dataDxfId="330"/>
    <tableColumn id="34" name="Is Quote Status" dataDxfId="329"/>
    <tableColumn id="35" name="Language" dataDxfId="328"/>
    <tableColumn id="36" name="Possibly Sensitive" dataDxfId="327"/>
    <tableColumn id="37" name="Quoted Status ID" dataDxfId="326"/>
    <tableColumn id="38" name="Retweeted" dataDxfId="325"/>
    <tableColumn id="39" name="Retweet Count" dataDxfId="324"/>
    <tableColumn id="40" name="Retweet ID" dataDxfId="323"/>
    <tableColumn id="41" name="Source" dataDxfId="322"/>
    <tableColumn id="42" name="Truncated" dataDxfId="321"/>
    <tableColumn id="43" name="Unified Twitter ID" dataDxfId="320"/>
    <tableColumn id="44" name="Imported Tweet Type" dataDxfId="319"/>
    <tableColumn id="45" name="Added By Extended Analysis" dataDxfId="318"/>
    <tableColumn id="46" name="Corrected By Extended Analysis" dataDxfId="317"/>
    <tableColumn id="47" name="Place Bounding Box" dataDxfId="316"/>
    <tableColumn id="48" name="Place Country" dataDxfId="315"/>
    <tableColumn id="49" name="Place Country Code" dataDxfId="314"/>
    <tableColumn id="50" name="Place Full Name" dataDxfId="313"/>
    <tableColumn id="51" name="Place ID" dataDxfId="312"/>
    <tableColumn id="52" name="Place Name" dataDxfId="311"/>
    <tableColumn id="53" name="Place Type" dataDxfId="310"/>
    <tableColumn id="54" name="Place URL" dataDxfId="309"/>
    <tableColumn id="55" name="Edge Weight" dataDxfId="271"/>
    <tableColumn id="56" name="Vertex 1 Group" dataDxfId="270">
      <calculatedColumnFormula>REPLACE(INDEX(GroupVertices[Group], MATCH(Edges[[#This Row],[Vertex 1]],GroupVertices[Vertex],0)),1,1,"")</calculatedColumnFormula>
    </tableColumn>
    <tableColumn id="57" name="Vertex 2 Group" dataDxfId="231">
      <calculatedColumnFormula>REPLACE(INDEX(GroupVertices[Group], MATCH(Edges[[#This Row],[Vertex 2]],GroupVertices[Vertex],0)),1,1,"")</calculatedColumnFormula>
    </tableColumn>
    <tableColumn id="58" name="Sentiment List #1: List1 Word Count" dataDxfId="230"/>
    <tableColumn id="59" name="Sentiment List #1: List1 Word Percentage (%)" dataDxfId="229"/>
    <tableColumn id="60" name="Sentiment List #2: List2 Word Count" dataDxfId="228"/>
    <tableColumn id="61" name="Sentiment List #2: List2 Word Percentage (%)" dataDxfId="227"/>
    <tableColumn id="62" name="Sentiment List #3: List3 Word Count" dataDxfId="226"/>
    <tableColumn id="63" name="Sentiment List #3: List3 Word Percentage (%)" dataDxfId="225"/>
    <tableColumn id="64" name="Non-categorized Word Count" dataDxfId="224"/>
    <tableColumn id="65" name="Non-categorized Word Percentage (%)" dataDxfId="223"/>
    <tableColumn id="66" name="Edge Content Word Count" dataDxfId="22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7" name="Words" displayName="Words" ref="A1:G203" totalsRowShown="0" headerRowDxfId="254" dataDxfId="253">
  <autoFilter ref="A1:G203"/>
  <tableColumns count="7">
    <tableColumn id="1" name="Word" dataDxfId="252"/>
    <tableColumn id="2" name="Count" dataDxfId="251"/>
    <tableColumn id="3" name="Salience" dataDxfId="250"/>
    <tableColumn id="4" name="Group" dataDxfId="249"/>
    <tableColumn id="5" name="Word on Sentiment List #1: List1" dataDxfId="248"/>
    <tableColumn id="6" name="Word on Sentiment List #2: List2" dataDxfId="247"/>
    <tableColumn id="7" name="Word on Sentiment List #3: List3" dataDxfId="246"/>
  </tableColumns>
  <tableStyleInfo name="NodeXL Table" showFirstColumn="0" showLastColumn="0" showRowStripes="1" showColumnStripes="0"/>
</table>
</file>

<file path=xl/tables/table12.xml><?xml version="1.0" encoding="utf-8"?>
<table xmlns="http://schemas.openxmlformats.org/spreadsheetml/2006/main" id="38" name="WordPairs" displayName="WordPairs" ref="A1:L191" totalsRowShown="0" headerRowDxfId="245" dataDxfId="244">
  <autoFilter ref="A1:L191"/>
  <tableColumns count="12">
    <tableColumn id="1" name="Word 1" dataDxfId="243"/>
    <tableColumn id="2" name="Word 2" dataDxfId="242"/>
    <tableColumn id="3" name="Count" dataDxfId="241"/>
    <tableColumn id="4" name="Salience" dataDxfId="240"/>
    <tableColumn id="5" name="Mutual Information" dataDxfId="239"/>
    <tableColumn id="6" name="Group" dataDxfId="238"/>
    <tableColumn id="7" name="Word1 on Sentiment List #1: List1" dataDxfId="237"/>
    <tableColumn id="8" name="Word1 on Sentiment List #2: List2" dataDxfId="236"/>
    <tableColumn id="9" name="Word1 on Sentiment List #3: List3" dataDxfId="235"/>
    <tableColumn id="10" name="Word2 on Sentiment List #1: List1" dataDxfId="234"/>
    <tableColumn id="11" name="Word2 on Sentiment List #2: List2" dataDxfId="233"/>
    <tableColumn id="12" name="Word2 on Sentiment List #3: List3" dataDxfId="232"/>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3" totalsRowShown="0" headerRowDxfId="380" dataDxfId="379">
  <autoFilter ref="A2:C13"/>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378" dataDxfId="377">
  <autoFilter ref="A1:B7"/>
  <tableColumns count="2">
    <tableColumn id="1" name="Key" dataDxfId="185"/>
    <tableColumn id="2" name="Value" dataDxfId="184"/>
  </tableColumns>
  <tableStyleInfo name="NodeXL Table" showFirstColumn="0" showLastColumn="0" showRowStripes="1" showColumnStripes="0"/>
</table>
</file>

<file path=xl/tables/table15.xml><?xml version="1.0" encoding="utf-8"?>
<table xmlns="http://schemas.openxmlformats.org/spreadsheetml/2006/main" id="39"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6.xml><?xml version="1.0" encoding="utf-8"?>
<table xmlns="http://schemas.openxmlformats.org/spreadsheetml/2006/main" id="40" name="NetworkTopItems_1" displayName="NetworkTopItems_1" ref="A1:J7" totalsRowShown="0" headerRowDxfId="183" dataDxfId="182">
  <autoFilter ref="A1:J7"/>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7.xml><?xml version="1.0" encoding="utf-8"?>
<table xmlns="http://schemas.openxmlformats.org/spreadsheetml/2006/main" id="41" name="NetworkTopItems_2" displayName="NetworkTopItems_2" ref="A10:J14" totalsRowShown="0" headerRowDxfId="170" dataDxfId="169">
  <autoFilter ref="A10:J14"/>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18.xml><?xml version="1.0" encoding="utf-8"?>
<table xmlns="http://schemas.openxmlformats.org/spreadsheetml/2006/main" id="42" name="NetworkTopItems_3" displayName="NetworkTopItems_3" ref="A17:J27" totalsRowShown="0" headerRowDxfId="157" dataDxfId="156">
  <autoFilter ref="A17:J27"/>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19.xml><?xml version="1.0" encoding="utf-8"?>
<table xmlns="http://schemas.openxmlformats.org/spreadsheetml/2006/main" id="43" name="NetworkTopItems_4" displayName="NetworkTopItems_4" ref="A30:J40" totalsRowShown="0" headerRowDxfId="144" dataDxfId="143">
  <autoFilter ref="A30:J40"/>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406" dataDxfId="353">
  <autoFilter ref="A2:BT51"/>
  <tableColumns count="72">
    <tableColumn id="1" name="Vertex" dataDxfId="366"/>
    <tableColumn id="2" name="Color" dataDxfId="365"/>
    <tableColumn id="5" name="Shape" dataDxfId="364"/>
    <tableColumn id="6" name="Size" dataDxfId="363"/>
    <tableColumn id="4" name="Opacity" dataDxfId="288"/>
    <tableColumn id="7" name="Image File" dataDxfId="286"/>
    <tableColumn id="3" name="Visibility" dataDxfId="287"/>
    <tableColumn id="10" name="Label" dataDxfId="362"/>
    <tableColumn id="16" name="Label Fill Color" dataDxfId="361"/>
    <tableColumn id="9" name="Label Position" dataDxfId="282"/>
    <tableColumn id="8" name="Tooltip" dataDxfId="280"/>
    <tableColumn id="18" name="Layout Order" dataDxfId="281"/>
    <tableColumn id="13" name="X" dataDxfId="360"/>
    <tableColumn id="14" name="Y" dataDxfId="359"/>
    <tableColumn id="12" name="Locked?" dataDxfId="358"/>
    <tableColumn id="19" name="Polar R" dataDxfId="357"/>
    <tableColumn id="20" name="Polar Angle" dataDxfId="356"/>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55"/>
    <tableColumn id="28" name="Dynamic Filter" dataDxfId="354"/>
    <tableColumn id="17" name="Add Your Own Columns Here" dataDxfId="308"/>
    <tableColumn id="30" name="Name" dataDxfId="307"/>
    <tableColumn id="31" name="User ID" dataDxfId="306"/>
    <tableColumn id="32" name="Followed" dataDxfId="305"/>
    <tableColumn id="33" name="Followers" dataDxfId="304"/>
    <tableColumn id="34" name="Tweets" dataDxfId="303"/>
    <tableColumn id="35" name="Favorites" dataDxfId="302"/>
    <tableColumn id="36" name="Time Zone UTC Offset (Seconds)" dataDxfId="301"/>
    <tableColumn id="37" name="Description" dataDxfId="300"/>
    <tableColumn id="38" name="Location" dataDxfId="299"/>
    <tableColumn id="39" name="Web" dataDxfId="298"/>
    <tableColumn id="40" name="Time Zone" dataDxfId="297"/>
    <tableColumn id="41" name="Joined Twitter Date (UTC)" dataDxfId="296"/>
    <tableColumn id="42" name="Profile Banner Url" dataDxfId="295"/>
    <tableColumn id="43" name="Default Profile" dataDxfId="294"/>
    <tableColumn id="44" name="Default Profile Image" dataDxfId="293"/>
    <tableColumn id="45" name="Geo Enabled" dataDxfId="292"/>
    <tableColumn id="46" name="Language" dataDxfId="291"/>
    <tableColumn id="47" name="Listed Count" dataDxfId="290"/>
    <tableColumn id="48" name="Profile Background Image Url" dataDxfId="289"/>
    <tableColumn id="49" name="Verified" dataDxfId="285"/>
    <tableColumn id="50" name="Custom Menu Item Text" dataDxfId="284"/>
    <tableColumn id="51" name="Custom Menu Item Action" dataDxfId="283"/>
    <tableColumn id="52" name="Tweeted Search Term?" dataDxfId="272"/>
    <tableColumn id="53" name="Vertex Group" dataDxfId="221">
      <calculatedColumnFormula>REPLACE(INDEX(GroupVertices[Group], MATCH(Vertices[[#This Row],[Vertex]],GroupVertices[Vertex],0)),1,1,"")</calculatedColumnFormula>
    </tableColumn>
    <tableColumn id="54" name="Sentiment List #1: List1 Word Count" dataDxfId="220"/>
    <tableColumn id="55" name="Sentiment List #1: List1 Word Percentage (%)" dataDxfId="219"/>
    <tableColumn id="56" name="Sentiment List #2: List2 Word Count" dataDxfId="218"/>
    <tableColumn id="57" name="Sentiment List #2: List2 Word Percentage (%)" dataDxfId="217"/>
    <tableColumn id="58" name="Sentiment List #3: List3 Word Count" dataDxfId="216"/>
    <tableColumn id="59" name="Sentiment List #3: List3 Word Percentage (%)" dataDxfId="215"/>
    <tableColumn id="60" name="Non-categorized Word Count" dataDxfId="214"/>
    <tableColumn id="61" name="Non-categorized Word Percentage (%)" dataDxfId="213"/>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5" displayName="NetworkTopItems_5" ref="A43:J53" totalsRowShown="0" headerRowDxfId="131" dataDxfId="130">
  <autoFilter ref="A43:J53"/>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1.xml><?xml version="1.0" encoding="utf-8"?>
<table xmlns="http://schemas.openxmlformats.org/spreadsheetml/2006/main" id="45" name="NetworkTopItems_6" displayName="NetworkTopItems_6" ref="A56:J59" totalsRowShown="0" headerRowDxfId="118" dataDxfId="117">
  <autoFilter ref="A56:J59"/>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2.xml><?xml version="1.0" encoding="utf-8"?>
<table xmlns="http://schemas.openxmlformats.org/spreadsheetml/2006/main" id="46" name="NetworkTopItems_7" displayName="NetworkTopItems_7" ref="A62:J72" totalsRowShown="0" headerRowDxfId="115" dataDxfId="114">
  <autoFilter ref="A62:J72"/>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3.xml><?xml version="1.0" encoding="utf-8"?>
<table xmlns="http://schemas.openxmlformats.org/spreadsheetml/2006/main" id="47" name="NetworkTopItems_8" displayName="NetworkTopItems_8" ref="A75:J85" totalsRowShown="0" headerRowDxfId="92" dataDxfId="91">
  <autoFilter ref="A75:J85"/>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4.xml><?xml version="1.0" encoding="utf-8"?>
<table xmlns="http://schemas.openxmlformats.org/spreadsheetml/2006/main" id="48" name="Edges49" displayName="Edges49" ref="A2:BN141" totalsRowShown="0" headerRowDxfId="67" dataDxfId="66">
  <autoFilter ref="A2:BN14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MATCH(Edges49[[#This Row],[Vertex 1]],GroupVertices[Vertex],0)),1,1,"")</calculatedColumnFormula>
    </tableColumn>
    <tableColumn id="57" name="Vertex 2 Group" dataDxfId="9">
      <calculatedColumnFormula>REPLACE(INDEX(GroupVertices[Group], MATCH(Edges49[[#This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05">
  <autoFilter ref="A2:AO6"/>
  <tableColumns count="41">
    <tableColumn id="1" name="Group" dataDxfId="279"/>
    <tableColumn id="2" name="Vertex Color" dataDxfId="278"/>
    <tableColumn id="3" name="Vertex Shape" dataDxfId="276"/>
    <tableColumn id="22" name="Visibility" dataDxfId="277"/>
    <tableColumn id="4" name="Collapsed?"/>
    <tableColumn id="18" name="Label" dataDxfId="404"/>
    <tableColumn id="20" name="Collapsed X"/>
    <tableColumn id="21" name="Collapsed Y"/>
    <tableColumn id="6" name="ID" dataDxfId="403"/>
    <tableColumn id="19" name="Collapsed Properties" dataDxfId="269"/>
    <tableColumn id="5" name="Vertices" dataDxfId="268"/>
    <tableColumn id="7" name="Unique Edges" dataDxfId="267"/>
    <tableColumn id="8" name="Edges With Duplicates" dataDxfId="266"/>
    <tableColumn id="9" name="Total Edges" dataDxfId="265"/>
    <tableColumn id="10" name="Self-Loops" dataDxfId="264"/>
    <tableColumn id="24" name="Reciprocated Vertex Pair Ratio" dataDxfId="263"/>
    <tableColumn id="25" name="Reciprocated Edge Ratio" dataDxfId="262"/>
    <tableColumn id="11" name="Connected Components" dataDxfId="261"/>
    <tableColumn id="12" name="Single-Vertex Connected Components" dataDxfId="260"/>
    <tableColumn id="13" name="Maximum Vertices in a Connected Component" dataDxfId="259"/>
    <tableColumn id="14" name="Maximum Edges in a Connected Component" dataDxfId="258"/>
    <tableColumn id="15" name="Maximum Geodesic Distance (Diameter)" dataDxfId="257"/>
    <tableColumn id="16" name="Average Geodesic Distance" dataDxfId="256"/>
    <tableColumn id="17" name="Graph Density" dataDxfId="212"/>
    <tableColumn id="23" name="Sentiment List #1: List1 Word Count" dataDxfId="211"/>
    <tableColumn id="26" name="Sentiment List #1: List1 Word Percentage (%)" dataDxfId="210"/>
    <tableColumn id="27" name="Sentiment List #2: List2 Word Count" dataDxfId="209"/>
    <tableColumn id="28" name="Sentiment List #2: List2 Word Percentage (%)" dataDxfId="208"/>
    <tableColumn id="29" name="Sentiment List #3: List3 Word Count" dataDxfId="207"/>
    <tableColumn id="30" name="Sentiment List #3: List3 Word Percentage (%)" dataDxfId="206"/>
    <tableColumn id="31" name="Non-categorized Word Count" dataDxfId="205"/>
    <tableColumn id="32" name="Non-categorized Word Percentage (%)" dataDxfId="204"/>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402" dataDxfId="401">
  <autoFilter ref="A1:C50"/>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0"/>
    <tableColumn id="2" name="Degree Frequency" dataDxfId="399">
      <calculatedColumnFormula>COUNTIF(Vertices[Degree], "&gt;= " &amp; D2) - COUNTIF(Vertices[Degree], "&gt;=" &amp; D3)</calculatedColumnFormula>
    </tableColumn>
    <tableColumn id="3" name="In-Degree Bin" dataDxfId="398"/>
    <tableColumn id="4" name="In-Degree Frequency" dataDxfId="397">
      <calculatedColumnFormula>COUNTIF(Vertices[In-Degree], "&gt;= " &amp; F2) - COUNTIF(Vertices[In-Degree], "&gt;=" &amp; F3)</calculatedColumnFormula>
    </tableColumn>
    <tableColumn id="5" name="Out-Degree Bin" dataDxfId="396"/>
    <tableColumn id="6" name="Out-Degree Frequency" dataDxfId="395">
      <calculatedColumnFormula>COUNTIF(Vertices[Out-Degree], "&gt;= " &amp; H2) - COUNTIF(Vertices[Out-Degree], "&gt;=" &amp; H3)</calculatedColumnFormula>
    </tableColumn>
    <tableColumn id="7" name="Betweenness Centrality Bin" dataDxfId="394"/>
    <tableColumn id="8" name="Betweenness Centrality Frequency" dataDxfId="393">
      <calculatedColumnFormula>COUNTIF(Vertices[Betweenness Centrality], "&gt;= " &amp; J2) - COUNTIF(Vertices[Betweenness Centrality], "&gt;=" &amp; J3)</calculatedColumnFormula>
    </tableColumn>
    <tableColumn id="9" name="Closeness Centrality Bin" dataDxfId="392"/>
    <tableColumn id="10" name="Closeness Centrality Frequency" dataDxfId="391">
      <calculatedColumnFormula>COUNTIF(Vertices[Closeness Centrality], "&gt;= " &amp; L2) - COUNTIF(Vertices[Closeness Centrality], "&gt;=" &amp; L3)</calculatedColumnFormula>
    </tableColumn>
    <tableColumn id="11" name="Eigenvector Centrality Bin" dataDxfId="390"/>
    <tableColumn id="12" name="Eigenvector Centrality Frequency" dataDxfId="389">
      <calculatedColumnFormula>COUNTIF(Vertices[Eigenvector Centrality], "&gt;= " &amp; N2) - COUNTIF(Vertices[Eigenvector Centrality], "&gt;=" &amp; N3)</calculatedColumnFormula>
    </tableColumn>
    <tableColumn id="18" name="PageRank Bin" dataDxfId="388"/>
    <tableColumn id="17" name="PageRank Frequency" dataDxfId="387">
      <calculatedColumnFormula>COUNTIF(Vertices[Eigenvector Centrality], "&gt;= " &amp; P2) - COUNTIF(Vertices[Eigenvector Centrality], "&gt;=" &amp; P3)</calculatedColumnFormula>
    </tableColumn>
    <tableColumn id="13" name="Clustering Coefficient Bin" dataDxfId="386"/>
    <tableColumn id="14" name="Clustering Coefficient Frequency" dataDxfId="385">
      <calculatedColumnFormula>COUNTIF(Vertices[Clustering Coefficient], "&gt;= " &amp; R2) - COUNTIF(Vertices[Clustering Coefficient], "&gt;=" &amp; R3)</calculatedColumnFormula>
    </tableColumn>
    <tableColumn id="15" name="Dynamic Filter Bin" dataDxfId="384"/>
    <tableColumn id="16" name="Dynamic Filter Frequency" dataDxfId="38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8" totalsRowShown="0" headerRowDxfId="382">
  <autoFilter ref="J1:K2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ewshub.co.nz/home/politics/2022/05/green-party-co-leader-marama-davidson-slams-government-s-new-immigration-policies-labels-them-racist-inhumane-and-discriminatory.html?cid=soc3%3Anewshubfb&amp;fbclid=IwAR3bXR4HspOrRRMRqByv9DhUnsp1gOrtf2pCfYOt7eM5fBx3UdmAOpEGcFQ"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stuff.co.nz/business/128606699/immigration-is-being-reset-back-to-where-we-started" TargetMode="External" /><Relationship Id="rId2" Type="http://schemas.openxmlformats.org/officeDocument/2006/relationships/hyperlink" Target="https://nodexlgraphgallery.org/Pages/Graph.aspx?graphID=276416" TargetMode="External" /><Relationship Id="rId3" Type="http://schemas.openxmlformats.org/officeDocument/2006/relationships/hyperlink" Target="https://twitter.com/LetusbacktoNZ/status/1524623401868214272" TargetMode="External" /><Relationship Id="rId4" Type="http://schemas.openxmlformats.org/officeDocument/2006/relationships/hyperlink" Target="https://www.mondaq.com/australia/work-visas/1164678/extension-of-subclass-485-489-491-494-visas-for-holders-impacted-by-australian-covid-19-border-closures" TargetMode="External" /><Relationship Id="rId5" Type="http://schemas.openxmlformats.org/officeDocument/2006/relationships/hyperlink" Target="https://www.newshub.co.nz/home/politics/2022/05/green-party-co-leader-marama-davidson-slams-government-s-new-immigration-policies-labels-them-racist-inhumane-and-discriminatory.html?cid=soc3%3Anewshubfb&amp;fbclid=IwAR3bXR4HspOrRRMRqByv9DhUnsp1gOrtf2pCfYOt7eM5fBx3UdmAOpEGcFQ" TargetMode="External" /><Relationship Id="rId6" Type="http://schemas.openxmlformats.org/officeDocument/2006/relationships/hyperlink" Target="https://www.indianweekender.co.nz/Pages/ArticleDetails/52/19649/Editorials/Why-govt-has-no-rationale-to-not-extend-expired-visas-of-migrant-workers-stuck?fbclid=IwAR2N6zafme4riiGzBLZrjOoQ2GFiFPa-YmoKXQrWtoZPkyviyXZRZBzs64k" TargetMode="External" /><Relationship Id="rId7" Type="http://schemas.openxmlformats.org/officeDocument/2006/relationships/hyperlink" Target="https://www.stuff.co.nz/business/128606699/immigration-is-being-reset-back-to-where-we-started" TargetMode="External" /><Relationship Id="rId8" Type="http://schemas.openxmlformats.org/officeDocument/2006/relationships/hyperlink" Target="https://twitter.com/LetusbacktoNZ/status/1524623401868214272" TargetMode="External" /><Relationship Id="rId9" Type="http://schemas.openxmlformats.org/officeDocument/2006/relationships/hyperlink" Target="https://www.indianweekender.co.nz/Pages/ArticleDetails/52/19649/Editorials/Why-govt-has-no-rationale-to-not-extend-expired-visas-of-migrant-workers-stuck?fbclid=IwAR2N6zafme4riiGzBLZrjOoQ2GFiFPa-YmoKXQrWtoZPkyviyXZRZBzs64k" TargetMode="External" /><Relationship Id="rId10" Type="http://schemas.openxmlformats.org/officeDocument/2006/relationships/hyperlink" Target="https://www.newshub.co.nz/home/politics/2022/05/green-party-co-leader-marama-davidson-slams-government-s-new-immigration-policies-labels-them-racist-inhumane-and-discriminatory.html?cid=soc3%3Anewshubfb&amp;fbclid=IwAR3bXR4HspOrRRMRqByv9DhUnsp1gOrtf2pCfYOt7eM5fBx3UdmAOpEGcFQ" TargetMode="External" /><Relationship Id="rId11" Type="http://schemas.openxmlformats.org/officeDocument/2006/relationships/hyperlink" Target="https://www.mondaq.com/australia/work-visas/1164678/extension-of-subclass-485-489-491-494-visas-for-holders-impacted-by-australian-covid-19-border-closures" TargetMode="External" /><Relationship Id="rId12" Type="http://schemas.openxmlformats.org/officeDocument/2006/relationships/hyperlink" Target="https://nodexlgraphgallery.org/Pages/Graph.aspx?graphID=276416" TargetMode="Externa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hyperlink" Target="https://www.newshub.co.nz/home/politics/2022/05/green-party-co-leader-marama-davidson-slams-government-s-new-immigration-policies-labels-them-racist-inhumane-and-discriminatory.html?cid=soc3%3Anewshubfb&amp;fbclid=IwAR3bXR4HspOrRRMRqByv9DhUnsp1gOrtf2pCfYOt7eM5fBx3UdmAOpEGcFQ" TargetMode="External" /><Relationship Id="rId2" Type="http://schemas.openxmlformats.org/officeDocument/2006/relationships/comments" Target="../comments14.xml" /><Relationship Id="rId3" Type="http://schemas.openxmlformats.org/officeDocument/2006/relationships/vmlDrawing" Target="../drawings/vmlDrawing6.vml" /><Relationship Id="rId4" Type="http://schemas.openxmlformats.org/officeDocument/2006/relationships/table" Target="../tables/table24.xml" /><Relationship Id="rId5"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320</v>
      </c>
      <c r="BD2" s="13" t="s">
        <v>330</v>
      </c>
      <c r="BE2" s="13" t="s">
        <v>331</v>
      </c>
      <c r="BF2" s="54" t="s">
        <v>395</v>
      </c>
      <c r="BG2" s="54" t="s">
        <v>396</v>
      </c>
      <c r="BH2" s="54" t="s">
        <v>397</v>
      </c>
      <c r="BI2" s="54" t="s">
        <v>398</v>
      </c>
      <c r="BJ2" s="54" t="s">
        <v>399</v>
      </c>
      <c r="BK2" s="54" t="s">
        <v>400</v>
      </c>
      <c r="BL2" s="54" t="s">
        <v>401</v>
      </c>
      <c r="BM2" s="54" t="s">
        <v>402</v>
      </c>
      <c r="BN2" s="54" t="s">
        <v>403</v>
      </c>
    </row>
    <row r="3" spans="1:66" ht="15" customHeight="1">
      <c r="A3" s="65" t="s">
        <v>539</v>
      </c>
      <c r="B3" s="65" t="s">
        <v>519</v>
      </c>
      <c r="C3" s="66" t="s">
        <v>513</v>
      </c>
      <c r="D3" s="67">
        <v>5</v>
      </c>
      <c r="E3" s="68"/>
      <c r="F3" s="69">
        <v>50</v>
      </c>
      <c r="G3" s="66"/>
      <c r="H3" s="70"/>
      <c r="I3" s="71"/>
      <c r="J3" s="71"/>
      <c r="K3" s="35" t="s">
        <v>65</v>
      </c>
      <c r="L3" s="72">
        <v>3</v>
      </c>
      <c r="M3" s="72"/>
      <c r="N3" s="73"/>
      <c r="O3" s="79" t="s">
        <v>264</v>
      </c>
      <c r="P3" s="81">
        <v>44692.20657407407</v>
      </c>
      <c r="Q3" s="79" t="s">
        <v>580</v>
      </c>
      <c r="R3" s="84"/>
      <c r="S3" s="79"/>
      <c r="T3" s="88" t="s">
        <v>596</v>
      </c>
      <c r="U3" s="84" t="str">
        <f>HYPERLINK("https://pbs.twimg.com/media/FSc09v5aQAAY6bm.jpg")</f>
        <v>https://pbs.twimg.com/media/FSc09v5aQAAY6bm.jpg</v>
      </c>
      <c r="V3" s="84" t="str">
        <f>HYPERLINK("https://pbs.twimg.com/media/FSc09v5aQAAY6bm.jpg")</f>
        <v>https://pbs.twimg.com/media/FSc09v5aQAAY6bm.jpg</v>
      </c>
      <c r="W3" s="81">
        <v>44692.20657407407</v>
      </c>
      <c r="X3" s="86">
        <v>44692</v>
      </c>
      <c r="Y3" s="88" t="s">
        <v>601</v>
      </c>
      <c r="Z3" s="84" t="str">
        <f>HYPERLINK("https://twitter.com/harveen57162832/status/1524252326029971456")</f>
        <v>https://twitter.com/harveen57162832/status/1524252326029971456</v>
      </c>
      <c r="AA3" s="79"/>
      <c r="AB3" s="79"/>
      <c r="AC3" s="88" t="s">
        <v>655</v>
      </c>
      <c r="AD3" s="88"/>
      <c r="AE3" s="79" t="b">
        <v>0</v>
      </c>
      <c r="AF3" s="79">
        <v>0</v>
      </c>
      <c r="AG3" s="88" t="s">
        <v>267</v>
      </c>
      <c r="AH3" s="79" t="b">
        <v>0</v>
      </c>
      <c r="AI3" s="79" t="s">
        <v>268</v>
      </c>
      <c r="AJ3" s="79"/>
      <c r="AK3" s="88" t="s">
        <v>267</v>
      </c>
      <c r="AL3" s="79" t="b">
        <v>0</v>
      </c>
      <c r="AM3" s="79">
        <v>19</v>
      </c>
      <c r="AN3" s="88" t="s">
        <v>696</v>
      </c>
      <c r="AO3" s="88" t="s">
        <v>271</v>
      </c>
      <c r="AP3" s="79" t="b">
        <v>0</v>
      </c>
      <c r="AQ3" s="88" t="s">
        <v>696</v>
      </c>
      <c r="AR3" s="79" t="s">
        <v>218</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539</v>
      </c>
      <c r="B4" s="65" t="s">
        <v>258</v>
      </c>
      <c r="C4" s="66" t="s">
        <v>513</v>
      </c>
      <c r="D4" s="67">
        <v>5</v>
      </c>
      <c r="E4" s="66"/>
      <c r="F4" s="69">
        <v>50</v>
      </c>
      <c r="G4" s="66"/>
      <c r="H4" s="70"/>
      <c r="I4" s="71"/>
      <c r="J4" s="71"/>
      <c r="K4" s="35" t="s">
        <v>65</v>
      </c>
      <c r="L4" s="72">
        <v>4</v>
      </c>
      <c r="M4" s="72"/>
      <c r="N4" s="73"/>
      <c r="O4" s="80" t="s">
        <v>264</v>
      </c>
      <c r="P4" s="82">
        <v>44692.20657407407</v>
      </c>
      <c r="Q4" s="80" t="s">
        <v>580</v>
      </c>
      <c r="R4" s="80"/>
      <c r="S4" s="80"/>
      <c r="T4" s="85" t="s">
        <v>596</v>
      </c>
      <c r="U4" s="83" t="str">
        <f>HYPERLINK("https://pbs.twimg.com/media/FSc09v5aQAAY6bm.jpg")</f>
        <v>https://pbs.twimg.com/media/FSc09v5aQAAY6bm.jpg</v>
      </c>
      <c r="V4" s="83" t="str">
        <f>HYPERLINK("https://pbs.twimg.com/media/FSc09v5aQAAY6bm.jpg")</f>
        <v>https://pbs.twimg.com/media/FSc09v5aQAAY6bm.jpg</v>
      </c>
      <c r="W4" s="82">
        <v>44692.20657407407</v>
      </c>
      <c r="X4" s="87">
        <v>44692</v>
      </c>
      <c r="Y4" s="85" t="s">
        <v>601</v>
      </c>
      <c r="Z4" s="83" t="str">
        <f>HYPERLINK("https://twitter.com/harveen57162832/status/1524252326029971456")</f>
        <v>https://twitter.com/harveen57162832/status/1524252326029971456</v>
      </c>
      <c r="AA4" s="80"/>
      <c r="AB4" s="80"/>
      <c r="AC4" s="85" t="s">
        <v>655</v>
      </c>
      <c r="AD4" s="80"/>
      <c r="AE4" s="80" t="b">
        <v>0</v>
      </c>
      <c r="AF4" s="80">
        <v>0</v>
      </c>
      <c r="AG4" s="85" t="s">
        <v>267</v>
      </c>
      <c r="AH4" s="80" t="b">
        <v>0</v>
      </c>
      <c r="AI4" s="80" t="s">
        <v>268</v>
      </c>
      <c r="AJ4" s="80"/>
      <c r="AK4" s="85" t="s">
        <v>267</v>
      </c>
      <c r="AL4" s="80" t="b">
        <v>0</v>
      </c>
      <c r="AM4" s="80">
        <v>19</v>
      </c>
      <c r="AN4" s="85" t="s">
        <v>696</v>
      </c>
      <c r="AO4" s="85" t="s">
        <v>271</v>
      </c>
      <c r="AP4" s="80" t="b">
        <v>0</v>
      </c>
      <c r="AQ4" s="85" t="s">
        <v>696</v>
      </c>
      <c r="AR4" s="80" t="s">
        <v>218</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539</v>
      </c>
      <c r="B5" s="65" t="s">
        <v>559</v>
      </c>
      <c r="C5" s="66" t="s">
        <v>513</v>
      </c>
      <c r="D5" s="67">
        <v>5</v>
      </c>
      <c r="E5" s="66"/>
      <c r="F5" s="69">
        <v>50</v>
      </c>
      <c r="G5" s="66"/>
      <c r="H5" s="70"/>
      <c r="I5" s="71"/>
      <c r="J5" s="71"/>
      <c r="K5" s="35" t="s">
        <v>65</v>
      </c>
      <c r="L5" s="72">
        <v>5</v>
      </c>
      <c r="M5" s="72"/>
      <c r="N5" s="73"/>
      <c r="O5" s="80" t="s">
        <v>263</v>
      </c>
      <c r="P5" s="82">
        <v>44692.20657407407</v>
      </c>
      <c r="Q5" s="80" t="s">
        <v>580</v>
      </c>
      <c r="R5" s="80"/>
      <c r="S5" s="80"/>
      <c r="T5" s="85" t="s">
        <v>596</v>
      </c>
      <c r="U5" s="83" t="str">
        <f>HYPERLINK("https://pbs.twimg.com/media/FSc09v5aQAAY6bm.jpg")</f>
        <v>https://pbs.twimg.com/media/FSc09v5aQAAY6bm.jpg</v>
      </c>
      <c r="V5" s="83" t="str">
        <f>HYPERLINK("https://pbs.twimg.com/media/FSc09v5aQAAY6bm.jpg")</f>
        <v>https://pbs.twimg.com/media/FSc09v5aQAAY6bm.jpg</v>
      </c>
      <c r="W5" s="82">
        <v>44692.20657407407</v>
      </c>
      <c r="X5" s="87">
        <v>44692</v>
      </c>
      <c r="Y5" s="85" t="s">
        <v>601</v>
      </c>
      <c r="Z5" s="83" t="str">
        <f>HYPERLINK("https://twitter.com/harveen57162832/status/1524252326029971456")</f>
        <v>https://twitter.com/harveen57162832/status/1524252326029971456</v>
      </c>
      <c r="AA5" s="80"/>
      <c r="AB5" s="80"/>
      <c r="AC5" s="85" t="s">
        <v>655</v>
      </c>
      <c r="AD5" s="80"/>
      <c r="AE5" s="80" t="b">
        <v>0</v>
      </c>
      <c r="AF5" s="80">
        <v>0</v>
      </c>
      <c r="AG5" s="85" t="s">
        <v>267</v>
      </c>
      <c r="AH5" s="80" t="b">
        <v>0</v>
      </c>
      <c r="AI5" s="80" t="s">
        <v>268</v>
      </c>
      <c r="AJ5" s="80"/>
      <c r="AK5" s="85" t="s">
        <v>267</v>
      </c>
      <c r="AL5" s="80" t="b">
        <v>0</v>
      </c>
      <c r="AM5" s="80">
        <v>19</v>
      </c>
      <c r="AN5" s="85" t="s">
        <v>696</v>
      </c>
      <c r="AO5" s="85" t="s">
        <v>271</v>
      </c>
      <c r="AP5" s="80" t="b">
        <v>0</v>
      </c>
      <c r="AQ5" s="85" t="s">
        <v>696</v>
      </c>
      <c r="AR5" s="80" t="s">
        <v>218</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2</v>
      </c>
      <c r="BF5" s="49">
        <v>0</v>
      </c>
      <c r="BG5" s="50">
        <v>0</v>
      </c>
      <c r="BH5" s="49">
        <v>5</v>
      </c>
      <c r="BI5" s="50">
        <v>12.820512820512821</v>
      </c>
      <c r="BJ5" s="49">
        <v>0</v>
      </c>
      <c r="BK5" s="50">
        <v>0</v>
      </c>
      <c r="BL5" s="49">
        <v>34</v>
      </c>
      <c r="BM5" s="50">
        <v>87.17948717948718</v>
      </c>
      <c r="BN5" s="49">
        <v>39</v>
      </c>
    </row>
    <row r="6" spans="1:66" ht="15">
      <c r="A6" s="65" t="s">
        <v>540</v>
      </c>
      <c r="B6" s="65" t="s">
        <v>519</v>
      </c>
      <c r="C6" s="66" t="s">
        <v>513</v>
      </c>
      <c r="D6" s="67">
        <v>5</v>
      </c>
      <c r="E6" s="66"/>
      <c r="F6" s="69">
        <v>50</v>
      </c>
      <c r="G6" s="66"/>
      <c r="H6" s="70"/>
      <c r="I6" s="71"/>
      <c r="J6" s="71"/>
      <c r="K6" s="35" t="s">
        <v>65</v>
      </c>
      <c r="L6" s="72">
        <v>6</v>
      </c>
      <c r="M6" s="72"/>
      <c r="N6" s="73"/>
      <c r="O6" s="80" t="s">
        <v>264</v>
      </c>
      <c r="P6" s="82">
        <v>44692.20857638889</v>
      </c>
      <c r="Q6" s="80" t="s">
        <v>580</v>
      </c>
      <c r="R6" s="80"/>
      <c r="S6" s="80"/>
      <c r="T6" s="85" t="s">
        <v>596</v>
      </c>
      <c r="U6" s="83" t="str">
        <f>HYPERLINK("https://pbs.twimg.com/media/FSc09v5aQAAY6bm.jpg")</f>
        <v>https://pbs.twimg.com/media/FSc09v5aQAAY6bm.jpg</v>
      </c>
      <c r="V6" s="83" t="str">
        <f>HYPERLINK("https://pbs.twimg.com/media/FSc09v5aQAAY6bm.jpg")</f>
        <v>https://pbs.twimg.com/media/FSc09v5aQAAY6bm.jpg</v>
      </c>
      <c r="W6" s="82">
        <v>44692.20857638889</v>
      </c>
      <c r="X6" s="87">
        <v>44692</v>
      </c>
      <c r="Y6" s="85" t="s">
        <v>602</v>
      </c>
      <c r="Z6" s="83" t="str">
        <f>HYPERLINK("https://twitter.com/preetmohan20/status/1524253050113646593")</f>
        <v>https://twitter.com/preetmohan20/status/1524253050113646593</v>
      </c>
      <c r="AA6" s="80"/>
      <c r="AB6" s="80"/>
      <c r="AC6" s="85" t="s">
        <v>656</v>
      </c>
      <c r="AD6" s="80"/>
      <c r="AE6" s="80" t="b">
        <v>0</v>
      </c>
      <c r="AF6" s="80">
        <v>0</v>
      </c>
      <c r="AG6" s="85" t="s">
        <v>267</v>
      </c>
      <c r="AH6" s="80" t="b">
        <v>0</v>
      </c>
      <c r="AI6" s="80" t="s">
        <v>268</v>
      </c>
      <c r="AJ6" s="80"/>
      <c r="AK6" s="85" t="s">
        <v>267</v>
      </c>
      <c r="AL6" s="80" t="b">
        <v>0</v>
      </c>
      <c r="AM6" s="80">
        <v>19</v>
      </c>
      <c r="AN6" s="85" t="s">
        <v>696</v>
      </c>
      <c r="AO6" s="85" t="s">
        <v>271</v>
      </c>
      <c r="AP6" s="80" t="b">
        <v>0</v>
      </c>
      <c r="AQ6" s="85" t="s">
        <v>696</v>
      </c>
      <c r="AR6" s="80" t="s">
        <v>218</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540</v>
      </c>
      <c r="B7" s="65" t="s">
        <v>258</v>
      </c>
      <c r="C7" s="66" t="s">
        <v>513</v>
      </c>
      <c r="D7" s="67">
        <v>5</v>
      </c>
      <c r="E7" s="66"/>
      <c r="F7" s="69">
        <v>50</v>
      </c>
      <c r="G7" s="66"/>
      <c r="H7" s="70"/>
      <c r="I7" s="71"/>
      <c r="J7" s="71"/>
      <c r="K7" s="35" t="s">
        <v>65</v>
      </c>
      <c r="L7" s="72">
        <v>7</v>
      </c>
      <c r="M7" s="72"/>
      <c r="N7" s="73"/>
      <c r="O7" s="80" t="s">
        <v>264</v>
      </c>
      <c r="P7" s="82">
        <v>44692.20857638889</v>
      </c>
      <c r="Q7" s="80" t="s">
        <v>580</v>
      </c>
      <c r="R7" s="80"/>
      <c r="S7" s="80"/>
      <c r="T7" s="85" t="s">
        <v>596</v>
      </c>
      <c r="U7" s="83" t="str">
        <f>HYPERLINK("https://pbs.twimg.com/media/FSc09v5aQAAY6bm.jpg")</f>
        <v>https://pbs.twimg.com/media/FSc09v5aQAAY6bm.jpg</v>
      </c>
      <c r="V7" s="83" t="str">
        <f>HYPERLINK("https://pbs.twimg.com/media/FSc09v5aQAAY6bm.jpg")</f>
        <v>https://pbs.twimg.com/media/FSc09v5aQAAY6bm.jpg</v>
      </c>
      <c r="W7" s="82">
        <v>44692.20857638889</v>
      </c>
      <c r="X7" s="87">
        <v>44692</v>
      </c>
      <c r="Y7" s="85" t="s">
        <v>602</v>
      </c>
      <c r="Z7" s="83" t="str">
        <f>HYPERLINK("https://twitter.com/preetmohan20/status/1524253050113646593")</f>
        <v>https://twitter.com/preetmohan20/status/1524253050113646593</v>
      </c>
      <c r="AA7" s="80"/>
      <c r="AB7" s="80"/>
      <c r="AC7" s="85" t="s">
        <v>656</v>
      </c>
      <c r="AD7" s="80"/>
      <c r="AE7" s="80" t="b">
        <v>0</v>
      </c>
      <c r="AF7" s="80">
        <v>0</v>
      </c>
      <c r="AG7" s="85" t="s">
        <v>267</v>
      </c>
      <c r="AH7" s="80" t="b">
        <v>0</v>
      </c>
      <c r="AI7" s="80" t="s">
        <v>268</v>
      </c>
      <c r="AJ7" s="80"/>
      <c r="AK7" s="85" t="s">
        <v>267</v>
      </c>
      <c r="AL7" s="80" t="b">
        <v>0</v>
      </c>
      <c r="AM7" s="80">
        <v>19</v>
      </c>
      <c r="AN7" s="85" t="s">
        <v>696</v>
      </c>
      <c r="AO7" s="85" t="s">
        <v>271</v>
      </c>
      <c r="AP7" s="80" t="b">
        <v>0</v>
      </c>
      <c r="AQ7" s="85" t="s">
        <v>696</v>
      </c>
      <c r="AR7" s="80" t="s">
        <v>218</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540</v>
      </c>
      <c r="B8" s="65" t="s">
        <v>559</v>
      </c>
      <c r="C8" s="66" t="s">
        <v>513</v>
      </c>
      <c r="D8" s="67">
        <v>5</v>
      </c>
      <c r="E8" s="66"/>
      <c r="F8" s="69">
        <v>50</v>
      </c>
      <c r="G8" s="66"/>
      <c r="H8" s="70"/>
      <c r="I8" s="71"/>
      <c r="J8" s="71"/>
      <c r="K8" s="35" t="s">
        <v>65</v>
      </c>
      <c r="L8" s="72">
        <v>8</v>
      </c>
      <c r="M8" s="72"/>
      <c r="N8" s="73"/>
      <c r="O8" s="80" t="s">
        <v>263</v>
      </c>
      <c r="P8" s="82">
        <v>44692.20857638889</v>
      </c>
      <c r="Q8" s="80" t="s">
        <v>580</v>
      </c>
      <c r="R8" s="80"/>
      <c r="S8" s="80"/>
      <c r="T8" s="85" t="s">
        <v>596</v>
      </c>
      <c r="U8" s="83" t="str">
        <f>HYPERLINK("https://pbs.twimg.com/media/FSc09v5aQAAY6bm.jpg")</f>
        <v>https://pbs.twimg.com/media/FSc09v5aQAAY6bm.jpg</v>
      </c>
      <c r="V8" s="83" t="str">
        <f>HYPERLINK("https://pbs.twimg.com/media/FSc09v5aQAAY6bm.jpg")</f>
        <v>https://pbs.twimg.com/media/FSc09v5aQAAY6bm.jpg</v>
      </c>
      <c r="W8" s="82">
        <v>44692.20857638889</v>
      </c>
      <c r="X8" s="87">
        <v>44692</v>
      </c>
      <c r="Y8" s="85" t="s">
        <v>602</v>
      </c>
      <c r="Z8" s="83" t="str">
        <f>HYPERLINK("https://twitter.com/preetmohan20/status/1524253050113646593")</f>
        <v>https://twitter.com/preetmohan20/status/1524253050113646593</v>
      </c>
      <c r="AA8" s="80"/>
      <c r="AB8" s="80"/>
      <c r="AC8" s="85" t="s">
        <v>656</v>
      </c>
      <c r="AD8" s="80"/>
      <c r="AE8" s="80" t="b">
        <v>0</v>
      </c>
      <c r="AF8" s="80">
        <v>0</v>
      </c>
      <c r="AG8" s="85" t="s">
        <v>267</v>
      </c>
      <c r="AH8" s="80" t="b">
        <v>0</v>
      </c>
      <c r="AI8" s="80" t="s">
        <v>268</v>
      </c>
      <c r="AJ8" s="80"/>
      <c r="AK8" s="85" t="s">
        <v>267</v>
      </c>
      <c r="AL8" s="80" t="b">
        <v>0</v>
      </c>
      <c r="AM8" s="80">
        <v>19</v>
      </c>
      <c r="AN8" s="85" t="s">
        <v>696</v>
      </c>
      <c r="AO8" s="85" t="s">
        <v>271</v>
      </c>
      <c r="AP8" s="80" t="b">
        <v>0</v>
      </c>
      <c r="AQ8" s="85" t="s">
        <v>696</v>
      </c>
      <c r="AR8" s="80" t="s">
        <v>218</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2</v>
      </c>
      <c r="BF8" s="49">
        <v>0</v>
      </c>
      <c r="BG8" s="50">
        <v>0</v>
      </c>
      <c r="BH8" s="49">
        <v>5</v>
      </c>
      <c r="BI8" s="50">
        <v>12.820512820512821</v>
      </c>
      <c r="BJ8" s="49">
        <v>0</v>
      </c>
      <c r="BK8" s="50">
        <v>0</v>
      </c>
      <c r="BL8" s="49">
        <v>34</v>
      </c>
      <c r="BM8" s="50">
        <v>87.17948717948718</v>
      </c>
      <c r="BN8" s="49">
        <v>39</v>
      </c>
    </row>
    <row r="9" spans="1:66" ht="15">
      <c r="A9" s="65" t="s">
        <v>541</v>
      </c>
      <c r="B9" s="65" t="s">
        <v>519</v>
      </c>
      <c r="C9" s="66" t="s">
        <v>513</v>
      </c>
      <c r="D9" s="67">
        <v>5</v>
      </c>
      <c r="E9" s="66"/>
      <c r="F9" s="69">
        <v>50</v>
      </c>
      <c r="G9" s="66"/>
      <c r="H9" s="70"/>
      <c r="I9" s="71"/>
      <c r="J9" s="71"/>
      <c r="K9" s="35" t="s">
        <v>65</v>
      </c>
      <c r="L9" s="72">
        <v>9</v>
      </c>
      <c r="M9" s="72"/>
      <c r="N9" s="73"/>
      <c r="O9" s="80" t="s">
        <v>264</v>
      </c>
      <c r="P9" s="82">
        <v>44692.2171875</v>
      </c>
      <c r="Q9" s="80" t="s">
        <v>580</v>
      </c>
      <c r="R9" s="80"/>
      <c r="S9" s="80"/>
      <c r="T9" s="85" t="s">
        <v>596</v>
      </c>
      <c r="U9" s="83" t="str">
        <f>HYPERLINK("https://pbs.twimg.com/media/FSc09v5aQAAY6bm.jpg")</f>
        <v>https://pbs.twimg.com/media/FSc09v5aQAAY6bm.jpg</v>
      </c>
      <c r="V9" s="83" t="str">
        <f>HYPERLINK("https://pbs.twimg.com/media/FSc09v5aQAAY6bm.jpg")</f>
        <v>https://pbs.twimg.com/media/FSc09v5aQAAY6bm.jpg</v>
      </c>
      <c r="W9" s="82">
        <v>44692.2171875</v>
      </c>
      <c r="X9" s="87">
        <v>44692</v>
      </c>
      <c r="Y9" s="85" t="s">
        <v>603</v>
      </c>
      <c r="Z9" s="83" t="str">
        <f>HYPERLINK("https://twitter.com/arshdee51860094/status/1524256174153281536")</f>
        <v>https://twitter.com/arshdee51860094/status/1524256174153281536</v>
      </c>
      <c r="AA9" s="80"/>
      <c r="AB9" s="80"/>
      <c r="AC9" s="85" t="s">
        <v>657</v>
      </c>
      <c r="AD9" s="80"/>
      <c r="AE9" s="80" t="b">
        <v>0</v>
      </c>
      <c r="AF9" s="80">
        <v>0</v>
      </c>
      <c r="AG9" s="85" t="s">
        <v>267</v>
      </c>
      <c r="AH9" s="80" t="b">
        <v>0</v>
      </c>
      <c r="AI9" s="80" t="s">
        <v>268</v>
      </c>
      <c r="AJ9" s="80"/>
      <c r="AK9" s="85" t="s">
        <v>267</v>
      </c>
      <c r="AL9" s="80" t="b">
        <v>0</v>
      </c>
      <c r="AM9" s="80">
        <v>19</v>
      </c>
      <c r="AN9" s="85" t="s">
        <v>696</v>
      </c>
      <c r="AO9" s="85" t="s">
        <v>271</v>
      </c>
      <c r="AP9" s="80" t="b">
        <v>0</v>
      </c>
      <c r="AQ9" s="85" t="s">
        <v>696</v>
      </c>
      <c r="AR9" s="80" t="s">
        <v>218</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541</v>
      </c>
      <c r="B10" s="65" t="s">
        <v>258</v>
      </c>
      <c r="C10" s="66" t="s">
        <v>513</v>
      </c>
      <c r="D10" s="67">
        <v>5</v>
      </c>
      <c r="E10" s="66"/>
      <c r="F10" s="69">
        <v>50</v>
      </c>
      <c r="G10" s="66"/>
      <c r="H10" s="70"/>
      <c r="I10" s="71"/>
      <c r="J10" s="71"/>
      <c r="K10" s="35" t="s">
        <v>65</v>
      </c>
      <c r="L10" s="72">
        <v>10</v>
      </c>
      <c r="M10" s="72"/>
      <c r="N10" s="73"/>
      <c r="O10" s="80" t="s">
        <v>264</v>
      </c>
      <c r="P10" s="82">
        <v>44692.2171875</v>
      </c>
      <c r="Q10" s="80" t="s">
        <v>580</v>
      </c>
      <c r="R10" s="80"/>
      <c r="S10" s="80"/>
      <c r="T10" s="85" t="s">
        <v>596</v>
      </c>
      <c r="U10" s="83" t="str">
        <f>HYPERLINK("https://pbs.twimg.com/media/FSc09v5aQAAY6bm.jpg")</f>
        <v>https://pbs.twimg.com/media/FSc09v5aQAAY6bm.jpg</v>
      </c>
      <c r="V10" s="83" t="str">
        <f>HYPERLINK("https://pbs.twimg.com/media/FSc09v5aQAAY6bm.jpg")</f>
        <v>https://pbs.twimg.com/media/FSc09v5aQAAY6bm.jpg</v>
      </c>
      <c r="W10" s="82">
        <v>44692.2171875</v>
      </c>
      <c r="X10" s="87">
        <v>44692</v>
      </c>
      <c r="Y10" s="85" t="s">
        <v>603</v>
      </c>
      <c r="Z10" s="83" t="str">
        <f>HYPERLINK("https://twitter.com/arshdee51860094/status/1524256174153281536")</f>
        <v>https://twitter.com/arshdee51860094/status/1524256174153281536</v>
      </c>
      <c r="AA10" s="80"/>
      <c r="AB10" s="80"/>
      <c r="AC10" s="85" t="s">
        <v>657</v>
      </c>
      <c r="AD10" s="80"/>
      <c r="AE10" s="80" t="b">
        <v>0</v>
      </c>
      <c r="AF10" s="80">
        <v>0</v>
      </c>
      <c r="AG10" s="85" t="s">
        <v>267</v>
      </c>
      <c r="AH10" s="80" t="b">
        <v>0</v>
      </c>
      <c r="AI10" s="80" t="s">
        <v>268</v>
      </c>
      <c r="AJ10" s="80"/>
      <c r="AK10" s="85" t="s">
        <v>267</v>
      </c>
      <c r="AL10" s="80" t="b">
        <v>0</v>
      </c>
      <c r="AM10" s="80">
        <v>19</v>
      </c>
      <c r="AN10" s="85" t="s">
        <v>696</v>
      </c>
      <c r="AO10" s="85" t="s">
        <v>271</v>
      </c>
      <c r="AP10" s="80" t="b">
        <v>0</v>
      </c>
      <c r="AQ10" s="85" t="s">
        <v>696</v>
      </c>
      <c r="AR10" s="80" t="s">
        <v>218</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541</v>
      </c>
      <c r="B11" s="65" t="s">
        <v>559</v>
      </c>
      <c r="C11" s="66" t="s">
        <v>513</v>
      </c>
      <c r="D11" s="67">
        <v>5</v>
      </c>
      <c r="E11" s="66"/>
      <c r="F11" s="69">
        <v>50</v>
      </c>
      <c r="G11" s="66"/>
      <c r="H11" s="70"/>
      <c r="I11" s="71"/>
      <c r="J11" s="71"/>
      <c r="K11" s="35" t="s">
        <v>65</v>
      </c>
      <c r="L11" s="72">
        <v>11</v>
      </c>
      <c r="M11" s="72"/>
      <c r="N11" s="73"/>
      <c r="O11" s="80" t="s">
        <v>263</v>
      </c>
      <c r="P11" s="82">
        <v>44692.2171875</v>
      </c>
      <c r="Q11" s="80" t="s">
        <v>580</v>
      </c>
      <c r="R11" s="80"/>
      <c r="S11" s="80"/>
      <c r="T11" s="85" t="s">
        <v>596</v>
      </c>
      <c r="U11" s="83" t="str">
        <f>HYPERLINK("https://pbs.twimg.com/media/FSc09v5aQAAY6bm.jpg")</f>
        <v>https://pbs.twimg.com/media/FSc09v5aQAAY6bm.jpg</v>
      </c>
      <c r="V11" s="83" t="str">
        <f>HYPERLINK("https://pbs.twimg.com/media/FSc09v5aQAAY6bm.jpg")</f>
        <v>https://pbs.twimg.com/media/FSc09v5aQAAY6bm.jpg</v>
      </c>
      <c r="W11" s="82">
        <v>44692.2171875</v>
      </c>
      <c r="X11" s="87">
        <v>44692</v>
      </c>
      <c r="Y11" s="85" t="s">
        <v>603</v>
      </c>
      <c r="Z11" s="83" t="str">
        <f>HYPERLINK("https://twitter.com/arshdee51860094/status/1524256174153281536")</f>
        <v>https://twitter.com/arshdee51860094/status/1524256174153281536</v>
      </c>
      <c r="AA11" s="80"/>
      <c r="AB11" s="80"/>
      <c r="AC11" s="85" t="s">
        <v>657</v>
      </c>
      <c r="AD11" s="80"/>
      <c r="AE11" s="80" t="b">
        <v>0</v>
      </c>
      <c r="AF11" s="80">
        <v>0</v>
      </c>
      <c r="AG11" s="85" t="s">
        <v>267</v>
      </c>
      <c r="AH11" s="80" t="b">
        <v>0</v>
      </c>
      <c r="AI11" s="80" t="s">
        <v>268</v>
      </c>
      <c r="AJ11" s="80"/>
      <c r="AK11" s="85" t="s">
        <v>267</v>
      </c>
      <c r="AL11" s="80" t="b">
        <v>0</v>
      </c>
      <c r="AM11" s="80">
        <v>19</v>
      </c>
      <c r="AN11" s="85" t="s">
        <v>696</v>
      </c>
      <c r="AO11" s="85" t="s">
        <v>271</v>
      </c>
      <c r="AP11" s="80" t="b">
        <v>0</v>
      </c>
      <c r="AQ11" s="85" t="s">
        <v>696</v>
      </c>
      <c r="AR11" s="80" t="s">
        <v>218</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2</v>
      </c>
      <c r="BF11" s="49">
        <v>0</v>
      </c>
      <c r="BG11" s="50">
        <v>0</v>
      </c>
      <c r="BH11" s="49">
        <v>5</v>
      </c>
      <c r="BI11" s="50">
        <v>12.820512820512821</v>
      </c>
      <c r="BJ11" s="49">
        <v>0</v>
      </c>
      <c r="BK11" s="50">
        <v>0</v>
      </c>
      <c r="BL11" s="49">
        <v>34</v>
      </c>
      <c r="BM11" s="50">
        <v>87.17948717948718</v>
      </c>
      <c r="BN11" s="49">
        <v>39</v>
      </c>
    </row>
    <row r="12" spans="1:66" ht="15">
      <c r="A12" s="65" t="s">
        <v>542</v>
      </c>
      <c r="B12" s="65" t="s">
        <v>519</v>
      </c>
      <c r="C12" s="66" t="s">
        <v>513</v>
      </c>
      <c r="D12" s="67">
        <v>5</v>
      </c>
      <c r="E12" s="66"/>
      <c r="F12" s="69">
        <v>50</v>
      </c>
      <c r="G12" s="66"/>
      <c r="H12" s="70"/>
      <c r="I12" s="71"/>
      <c r="J12" s="71"/>
      <c r="K12" s="35" t="s">
        <v>65</v>
      </c>
      <c r="L12" s="72">
        <v>12</v>
      </c>
      <c r="M12" s="72"/>
      <c r="N12" s="73"/>
      <c r="O12" s="80" t="s">
        <v>264</v>
      </c>
      <c r="P12" s="82">
        <v>44692.21761574074</v>
      </c>
      <c r="Q12" s="80" t="s">
        <v>580</v>
      </c>
      <c r="R12" s="80"/>
      <c r="S12" s="80"/>
      <c r="T12" s="85" t="s">
        <v>596</v>
      </c>
      <c r="U12" s="83" t="str">
        <f>HYPERLINK("https://pbs.twimg.com/media/FSc09v5aQAAY6bm.jpg")</f>
        <v>https://pbs.twimg.com/media/FSc09v5aQAAY6bm.jpg</v>
      </c>
      <c r="V12" s="83" t="str">
        <f>HYPERLINK("https://pbs.twimg.com/media/FSc09v5aQAAY6bm.jpg")</f>
        <v>https://pbs.twimg.com/media/FSc09v5aQAAY6bm.jpg</v>
      </c>
      <c r="W12" s="82">
        <v>44692.21761574074</v>
      </c>
      <c r="X12" s="87">
        <v>44692</v>
      </c>
      <c r="Y12" s="85" t="s">
        <v>604</v>
      </c>
      <c r="Z12" s="83" t="str">
        <f>HYPERLINK("https://twitter.com/kulvirkaurdhil4/status/1524256327886794754")</f>
        <v>https://twitter.com/kulvirkaurdhil4/status/1524256327886794754</v>
      </c>
      <c r="AA12" s="80"/>
      <c r="AB12" s="80"/>
      <c r="AC12" s="85" t="s">
        <v>658</v>
      </c>
      <c r="AD12" s="80"/>
      <c r="AE12" s="80" t="b">
        <v>0</v>
      </c>
      <c r="AF12" s="80">
        <v>0</v>
      </c>
      <c r="AG12" s="85" t="s">
        <v>267</v>
      </c>
      <c r="AH12" s="80" t="b">
        <v>0</v>
      </c>
      <c r="AI12" s="80" t="s">
        <v>268</v>
      </c>
      <c r="AJ12" s="80"/>
      <c r="AK12" s="85" t="s">
        <v>267</v>
      </c>
      <c r="AL12" s="80" t="b">
        <v>0</v>
      </c>
      <c r="AM12" s="80">
        <v>19</v>
      </c>
      <c r="AN12" s="85" t="s">
        <v>696</v>
      </c>
      <c r="AO12" s="85" t="s">
        <v>271</v>
      </c>
      <c r="AP12" s="80" t="b">
        <v>0</v>
      </c>
      <c r="AQ12" s="85" t="s">
        <v>696</v>
      </c>
      <c r="AR12" s="80" t="s">
        <v>218</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542</v>
      </c>
      <c r="B13" s="65" t="s">
        <v>258</v>
      </c>
      <c r="C13" s="66" t="s">
        <v>513</v>
      </c>
      <c r="D13" s="67">
        <v>5</v>
      </c>
      <c r="E13" s="66"/>
      <c r="F13" s="69">
        <v>50</v>
      </c>
      <c r="G13" s="66"/>
      <c r="H13" s="70"/>
      <c r="I13" s="71"/>
      <c r="J13" s="71"/>
      <c r="K13" s="35" t="s">
        <v>65</v>
      </c>
      <c r="L13" s="72">
        <v>13</v>
      </c>
      <c r="M13" s="72"/>
      <c r="N13" s="73"/>
      <c r="O13" s="80" t="s">
        <v>264</v>
      </c>
      <c r="P13" s="82">
        <v>44692.21761574074</v>
      </c>
      <c r="Q13" s="80" t="s">
        <v>580</v>
      </c>
      <c r="R13" s="80"/>
      <c r="S13" s="80"/>
      <c r="T13" s="85" t="s">
        <v>596</v>
      </c>
      <c r="U13" s="83" t="str">
        <f>HYPERLINK("https://pbs.twimg.com/media/FSc09v5aQAAY6bm.jpg")</f>
        <v>https://pbs.twimg.com/media/FSc09v5aQAAY6bm.jpg</v>
      </c>
      <c r="V13" s="83" t="str">
        <f>HYPERLINK("https://pbs.twimg.com/media/FSc09v5aQAAY6bm.jpg")</f>
        <v>https://pbs.twimg.com/media/FSc09v5aQAAY6bm.jpg</v>
      </c>
      <c r="W13" s="82">
        <v>44692.21761574074</v>
      </c>
      <c r="X13" s="87">
        <v>44692</v>
      </c>
      <c r="Y13" s="85" t="s">
        <v>604</v>
      </c>
      <c r="Z13" s="83" t="str">
        <f>HYPERLINK("https://twitter.com/kulvirkaurdhil4/status/1524256327886794754")</f>
        <v>https://twitter.com/kulvirkaurdhil4/status/1524256327886794754</v>
      </c>
      <c r="AA13" s="80"/>
      <c r="AB13" s="80"/>
      <c r="AC13" s="85" t="s">
        <v>658</v>
      </c>
      <c r="AD13" s="80"/>
      <c r="AE13" s="80" t="b">
        <v>0</v>
      </c>
      <c r="AF13" s="80">
        <v>0</v>
      </c>
      <c r="AG13" s="85" t="s">
        <v>267</v>
      </c>
      <c r="AH13" s="80" t="b">
        <v>0</v>
      </c>
      <c r="AI13" s="80" t="s">
        <v>268</v>
      </c>
      <c r="AJ13" s="80"/>
      <c r="AK13" s="85" t="s">
        <v>267</v>
      </c>
      <c r="AL13" s="80" t="b">
        <v>0</v>
      </c>
      <c r="AM13" s="80">
        <v>19</v>
      </c>
      <c r="AN13" s="85" t="s">
        <v>696</v>
      </c>
      <c r="AO13" s="85" t="s">
        <v>271</v>
      </c>
      <c r="AP13" s="80" t="b">
        <v>0</v>
      </c>
      <c r="AQ13" s="85" t="s">
        <v>696</v>
      </c>
      <c r="AR13" s="80" t="s">
        <v>218</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542</v>
      </c>
      <c r="B14" s="65" t="s">
        <v>559</v>
      </c>
      <c r="C14" s="66" t="s">
        <v>513</v>
      </c>
      <c r="D14" s="67">
        <v>5</v>
      </c>
      <c r="E14" s="66"/>
      <c r="F14" s="69">
        <v>50</v>
      </c>
      <c r="G14" s="66"/>
      <c r="H14" s="70"/>
      <c r="I14" s="71"/>
      <c r="J14" s="71"/>
      <c r="K14" s="35" t="s">
        <v>65</v>
      </c>
      <c r="L14" s="72">
        <v>14</v>
      </c>
      <c r="M14" s="72"/>
      <c r="N14" s="73"/>
      <c r="O14" s="80" t="s">
        <v>263</v>
      </c>
      <c r="P14" s="82">
        <v>44692.21761574074</v>
      </c>
      <c r="Q14" s="80" t="s">
        <v>580</v>
      </c>
      <c r="R14" s="80"/>
      <c r="S14" s="80"/>
      <c r="T14" s="85" t="s">
        <v>596</v>
      </c>
      <c r="U14" s="83" t="str">
        <f>HYPERLINK("https://pbs.twimg.com/media/FSc09v5aQAAY6bm.jpg")</f>
        <v>https://pbs.twimg.com/media/FSc09v5aQAAY6bm.jpg</v>
      </c>
      <c r="V14" s="83" t="str">
        <f>HYPERLINK("https://pbs.twimg.com/media/FSc09v5aQAAY6bm.jpg")</f>
        <v>https://pbs.twimg.com/media/FSc09v5aQAAY6bm.jpg</v>
      </c>
      <c r="W14" s="82">
        <v>44692.21761574074</v>
      </c>
      <c r="X14" s="87">
        <v>44692</v>
      </c>
      <c r="Y14" s="85" t="s">
        <v>604</v>
      </c>
      <c r="Z14" s="83" t="str">
        <f>HYPERLINK("https://twitter.com/kulvirkaurdhil4/status/1524256327886794754")</f>
        <v>https://twitter.com/kulvirkaurdhil4/status/1524256327886794754</v>
      </c>
      <c r="AA14" s="80"/>
      <c r="AB14" s="80"/>
      <c r="AC14" s="85" t="s">
        <v>658</v>
      </c>
      <c r="AD14" s="80"/>
      <c r="AE14" s="80" t="b">
        <v>0</v>
      </c>
      <c r="AF14" s="80">
        <v>0</v>
      </c>
      <c r="AG14" s="85" t="s">
        <v>267</v>
      </c>
      <c r="AH14" s="80" t="b">
        <v>0</v>
      </c>
      <c r="AI14" s="80" t="s">
        <v>268</v>
      </c>
      <c r="AJ14" s="80"/>
      <c r="AK14" s="85" t="s">
        <v>267</v>
      </c>
      <c r="AL14" s="80" t="b">
        <v>0</v>
      </c>
      <c r="AM14" s="80">
        <v>19</v>
      </c>
      <c r="AN14" s="85" t="s">
        <v>696</v>
      </c>
      <c r="AO14" s="85" t="s">
        <v>271</v>
      </c>
      <c r="AP14" s="80" t="b">
        <v>0</v>
      </c>
      <c r="AQ14" s="85" t="s">
        <v>696</v>
      </c>
      <c r="AR14" s="80" t="s">
        <v>218</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2</v>
      </c>
      <c r="BF14" s="49">
        <v>0</v>
      </c>
      <c r="BG14" s="50">
        <v>0</v>
      </c>
      <c r="BH14" s="49">
        <v>5</v>
      </c>
      <c r="BI14" s="50">
        <v>12.820512820512821</v>
      </c>
      <c r="BJ14" s="49">
        <v>0</v>
      </c>
      <c r="BK14" s="50">
        <v>0</v>
      </c>
      <c r="BL14" s="49">
        <v>34</v>
      </c>
      <c r="BM14" s="50">
        <v>87.17948717948718</v>
      </c>
      <c r="BN14" s="49">
        <v>39</v>
      </c>
    </row>
    <row r="15" spans="1:66" ht="15">
      <c r="A15" s="65" t="s">
        <v>543</v>
      </c>
      <c r="B15" s="65" t="s">
        <v>519</v>
      </c>
      <c r="C15" s="66" t="s">
        <v>513</v>
      </c>
      <c r="D15" s="67">
        <v>5</v>
      </c>
      <c r="E15" s="66"/>
      <c r="F15" s="69">
        <v>50</v>
      </c>
      <c r="G15" s="66"/>
      <c r="H15" s="70"/>
      <c r="I15" s="71"/>
      <c r="J15" s="71"/>
      <c r="K15" s="35" t="s">
        <v>65</v>
      </c>
      <c r="L15" s="72">
        <v>15</v>
      </c>
      <c r="M15" s="72"/>
      <c r="N15" s="73"/>
      <c r="O15" s="80" t="s">
        <v>264</v>
      </c>
      <c r="P15" s="82">
        <v>44692.52782407407</v>
      </c>
      <c r="Q15" s="80" t="s">
        <v>580</v>
      </c>
      <c r="R15" s="80"/>
      <c r="S15" s="80"/>
      <c r="T15" s="85" t="s">
        <v>596</v>
      </c>
      <c r="U15" s="83" t="str">
        <f>HYPERLINK("https://pbs.twimg.com/media/FSc09v5aQAAY6bm.jpg")</f>
        <v>https://pbs.twimg.com/media/FSc09v5aQAAY6bm.jpg</v>
      </c>
      <c r="V15" s="83" t="str">
        <f>HYPERLINK("https://pbs.twimg.com/media/FSc09v5aQAAY6bm.jpg")</f>
        <v>https://pbs.twimg.com/media/FSc09v5aQAAY6bm.jpg</v>
      </c>
      <c r="W15" s="82">
        <v>44692.52782407407</v>
      </c>
      <c r="X15" s="87">
        <v>44692</v>
      </c>
      <c r="Y15" s="85" t="s">
        <v>605</v>
      </c>
      <c r="Z15" s="83" t="str">
        <f>HYPERLINK("https://twitter.com/sahilpa45483022/status/1524368741751918592")</f>
        <v>https://twitter.com/sahilpa45483022/status/1524368741751918592</v>
      </c>
      <c r="AA15" s="80"/>
      <c r="AB15" s="80"/>
      <c r="AC15" s="85" t="s">
        <v>659</v>
      </c>
      <c r="AD15" s="80"/>
      <c r="AE15" s="80" t="b">
        <v>0</v>
      </c>
      <c r="AF15" s="80">
        <v>0</v>
      </c>
      <c r="AG15" s="85" t="s">
        <v>267</v>
      </c>
      <c r="AH15" s="80" t="b">
        <v>0</v>
      </c>
      <c r="AI15" s="80" t="s">
        <v>268</v>
      </c>
      <c r="AJ15" s="80"/>
      <c r="AK15" s="85" t="s">
        <v>267</v>
      </c>
      <c r="AL15" s="80" t="b">
        <v>0</v>
      </c>
      <c r="AM15" s="80">
        <v>19</v>
      </c>
      <c r="AN15" s="85" t="s">
        <v>696</v>
      </c>
      <c r="AO15" s="85" t="s">
        <v>272</v>
      </c>
      <c r="AP15" s="80" t="b">
        <v>0</v>
      </c>
      <c r="AQ15" s="85" t="s">
        <v>696</v>
      </c>
      <c r="AR15" s="80" t="s">
        <v>218</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543</v>
      </c>
      <c r="B16" s="65" t="s">
        <v>258</v>
      </c>
      <c r="C16" s="66" t="s">
        <v>513</v>
      </c>
      <c r="D16" s="67">
        <v>5</v>
      </c>
      <c r="E16" s="66"/>
      <c r="F16" s="69">
        <v>50</v>
      </c>
      <c r="G16" s="66"/>
      <c r="H16" s="70"/>
      <c r="I16" s="71"/>
      <c r="J16" s="71"/>
      <c r="K16" s="35" t="s">
        <v>65</v>
      </c>
      <c r="L16" s="72">
        <v>16</v>
      </c>
      <c r="M16" s="72"/>
      <c r="N16" s="73"/>
      <c r="O16" s="80" t="s">
        <v>264</v>
      </c>
      <c r="P16" s="82">
        <v>44692.52782407407</v>
      </c>
      <c r="Q16" s="80" t="s">
        <v>580</v>
      </c>
      <c r="R16" s="80"/>
      <c r="S16" s="80"/>
      <c r="T16" s="85" t="s">
        <v>596</v>
      </c>
      <c r="U16" s="83" t="str">
        <f>HYPERLINK("https://pbs.twimg.com/media/FSc09v5aQAAY6bm.jpg")</f>
        <v>https://pbs.twimg.com/media/FSc09v5aQAAY6bm.jpg</v>
      </c>
      <c r="V16" s="83" t="str">
        <f>HYPERLINK("https://pbs.twimg.com/media/FSc09v5aQAAY6bm.jpg")</f>
        <v>https://pbs.twimg.com/media/FSc09v5aQAAY6bm.jpg</v>
      </c>
      <c r="W16" s="82">
        <v>44692.52782407407</v>
      </c>
      <c r="X16" s="87">
        <v>44692</v>
      </c>
      <c r="Y16" s="85" t="s">
        <v>605</v>
      </c>
      <c r="Z16" s="83" t="str">
        <f>HYPERLINK("https://twitter.com/sahilpa45483022/status/1524368741751918592")</f>
        <v>https://twitter.com/sahilpa45483022/status/1524368741751918592</v>
      </c>
      <c r="AA16" s="80"/>
      <c r="AB16" s="80"/>
      <c r="AC16" s="85" t="s">
        <v>659</v>
      </c>
      <c r="AD16" s="80"/>
      <c r="AE16" s="80" t="b">
        <v>0</v>
      </c>
      <c r="AF16" s="80">
        <v>0</v>
      </c>
      <c r="AG16" s="85" t="s">
        <v>267</v>
      </c>
      <c r="AH16" s="80" t="b">
        <v>0</v>
      </c>
      <c r="AI16" s="80" t="s">
        <v>268</v>
      </c>
      <c r="AJ16" s="80"/>
      <c r="AK16" s="85" t="s">
        <v>267</v>
      </c>
      <c r="AL16" s="80" t="b">
        <v>0</v>
      </c>
      <c r="AM16" s="80">
        <v>19</v>
      </c>
      <c r="AN16" s="85" t="s">
        <v>696</v>
      </c>
      <c r="AO16" s="85" t="s">
        <v>272</v>
      </c>
      <c r="AP16" s="80" t="b">
        <v>0</v>
      </c>
      <c r="AQ16" s="85" t="s">
        <v>696</v>
      </c>
      <c r="AR16" s="80" t="s">
        <v>218</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543</v>
      </c>
      <c r="B17" s="65" t="s">
        <v>559</v>
      </c>
      <c r="C17" s="66" t="s">
        <v>513</v>
      </c>
      <c r="D17" s="67">
        <v>5</v>
      </c>
      <c r="E17" s="66"/>
      <c r="F17" s="69">
        <v>50</v>
      </c>
      <c r="G17" s="66"/>
      <c r="H17" s="70"/>
      <c r="I17" s="71"/>
      <c r="J17" s="71"/>
      <c r="K17" s="35" t="s">
        <v>65</v>
      </c>
      <c r="L17" s="72">
        <v>17</v>
      </c>
      <c r="M17" s="72"/>
      <c r="N17" s="73"/>
      <c r="O17" s="80" t="s">
        <v>263</v>
      </c>
      <c r="P17" s="82">
        <v>44692.52782407407</v>
      </c>
      <c r="Q17" s="80" t="s">
        <v>580</v>
      </c>
      <c r="R17" s="80"/>
      <c r="S17" s="80"/>
      <c r="T17" s="85" t="s">
        <v>596</v>
      </c>
      <c r="U17" s="83" t="str">
        <f>HYPERLINK("https://pbs.twimg.com/media/FSc09v5aQAAY6bm.jpg")</f>
        <v>https://pbs.twimg.com/media/FSc09v5aQAAY6bm.jpg</v>
      </c>
      <c r="V17" s="83" t="str">
        <f>HYPERLINK("https://pbs.twimg.com/media/FSc09v5aQAAY6bm.jpg")</f>
        <v>https://pbs.twimg.com/media/FSc09v5aQAAY6bm.jpg</v>
      </c>
      <c r="W17" s="82">
        <v>44692.52782407407</v>
      </c>
      <c r="X17" s="87">
        <v>44692</v>
      </c>
      <c r="Y17" s="85" t="s">
        <v>605</v>
      </c>
      <c r="Z17" s="83" t="str">
        <f>HYPERLINK("https://twitter.com/sahilpa45483022/status/1524368741751918592")</f>
        <v>https://twitter.com/sahilpa45483022/status/1524368741751918592</v>
      </c>
      <c r="AA17" s="80"/>
      <c r="AB17" s="80"/>
      <c r="AC17" s="85" t="s">
        <v>659</v>
      </c>
      <c r="AD17" s="80"/>
      <c r="AE17" s="80" t="b">
        <v>0</v>
      </c>
      <c r="AF17" s="80">
        <v>0</v>
      </c>
      <c r="AG17" s="85" t="s">
        <v>267</v>
      </c>
      <c r="AH17" s="80" t="b">
        <v>0</v>
      </c>
      <c r="AI17" s="80" t="s">
        <v>268</v>
      </c>
      <c r="AJ17" s="80"/>
      <c r="AK17" s="85" t="s">
        <v>267</v>
      </c>
      <c r="AL17" s="80" t="b">
        <v>0</v>
      </c>
      <c r="AM17" s="80">
        <v>19</v>
      </c>
      <c r="AN17" s="85" t="s">
        <v>696</v>
      </c>
      <c r="AO17" s="85" t="s">
        <v>272</v>
      </c>
      <c r="AP17" s="80" t="b">
        <v>0</v>
      </c>
      <c r="AQ17" s="85" t="s">
        <v>696</v>
      </c>
      <c r="AR17" s="80" t="s">
        <v>218</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2</v>
      </c>
      <c r="BF17" s="49">
        <v>0</v>
      </c>
      <c r="BG17" s="50">
        <v>0</v>
      </c>
      <c r="BH17" s="49">
        <v>5</v>
      </c>
      <c r="BI17" s="50">
        <v>12.820512820512821</v>
      </c>
      <c r="BJ17" s="49">
        <v>0</v>
      </c>
      <c r="BK17" s="50">
        <v>0</v>
      </c>
      <c r="BL17" s="49">
        <v>34</v>
      </c>
      <c r="BM17" s="50">
        <v>87.17948717948718</v>
      </c>
      <c r="BN17" s="49">
        <v>39</v>
      </c>
    </row>
    <row r="18" spans="1:66" ht="15">
      <c r="A18" s="65" t="s">
        <v>544</v>
      </c>
      <c r="B18" s="65" t="s">
        <v>519</v>
      </c>
      <c r="C18" s="66" t="s">
        <v>514</v>
      </c>
      <c r="D18" s="67">
        <v>10</v>
      </c>
      <c r="E18" s="66"/>
      <c r="F18" s="69">
        <v>15</v>
      </c>
      <c r="G18" s="66"/>
      <c r="H18" s="70"/>
      <c r="I18" s="71"/>
      <c r="J18" s="71"/>
      <c r="K18" s="35" t="s">
        <v>65</v>
      </c>
      <c r="L18" s="72">
        <v>18</v>
      </c>
      <c r="M18" s="72"/>
      <c r="N18" s="73"/>
      <c r="O18" s="80" t="s">
        <v>264</v>
      </c>
      <c r="P18" s="82">
        <v>44692.55068287037</v>
      </c>
      <c r="Q18" s="80" t="s">
        <v>581</v>
      </c>
      <c r="R18" s="80"/>
      <c r="S18" s="80"/>
      <c r="T18" s="80"/>
      <c r="U18" s="83" t="str">
        <f>HYPERLINK("https://pbs.twimg.com/ext_tw_video_thumb/1524368758437216256/pu/img/3UwSYL_0rta3dEGi.jpg")</f>
        <v>https://pbs.twimg.com/ext_tw_video_thumb/1524368758437216256/pu/img/3UwSYL_0rta3dEGi.jpg</v>
      </c>
      <c r="V18" s="83" t="str">
        <f>HYPERLINK("https://pbs.twimg.com/ext_tw_video_thumb/1524368758437216256/pu/img/3UwSYL_0rta3dEGi.jpg")</f>
        <v>https://pbs.twimg.com/ext_tw_video_thumb/1524368758437216256/pu/img/3UwSYL_0rta3dEGi.jpg</v>
      </c>
      <c r="W18" s="82">
        <v>44692.55068287037</v>
      </c>
      <c r="X18" s="87">
        <v>44692</v>
      </c>
      <c r="Y18" s="85" t="s">
        <v>606</v>
      </c>
      <c r="Z18" s="83" t="str">
        <f>HYPERLINK("https://twitter.com/simranj59927871/status/1524377029289791489")</f>
        <v>https://twitter.com/simranj59927871/status/1524377029289791489</v>
      </c>
      <c r="AA18" s="80"/>
      <c r="AB18" s="80"/>
      <c r="AC18" s="85" t="s">
        <v>660</v>
      </c>
      <c r="AD18" s="80"/>
      <c r="AE18" s="80" t="b">
        <v>0</v>
      </c>
      <c r="AF18" s="80">
        <v>0</v>
      </c>
      <c r="AG18" s="85" t="s">
        <v>267</v>
      </c>
      <c r="AH18" s="80" t="b">
        <v>0</v>
      </c>
      <c r="AI18" s="80" t="s">
        <v>268</v>
      </c>
      <c r="AJ18" s="80"/>
      <c r="AK18" s="85" t="s">
        <v>267</v>
      </c>
      <c r="AL18" s="80" t="b">
        <v>0</v>
      </c>
      <c r="AM18" s="80">
        <v>16</v>
      </c>
      <c r="AN18" s="85" t="s">
        <v>698</v>
      </c>
      <c r="AO18" s="85" t="s">
        <v>271</v>
      </c>
      <c r="AP18" s="80" t="b">
        <v>0</v>
      </c>
      <c r="AQ18" s="85" t="s">
        <v>698</v>
      </c>
      <c r="AR18" s="80" t="s">
        <v>218</v>
      </c>
      <c r="AS18" s="80">
        <v>0</v>
      </c>
      <c r="AT18" s="80">
        <v>0</v>
      </c>
      <c r="AU18" s="80"/>
      <c r="AV18" s="80"/>
      <c r="AW18" s="80"/>
      <c r="AX18" s="80"/>
      <c r="AY18" s="80"/>
      <c r="AZ18" s="80"/>
      <c r="BA18" s="80"/>
      <c r="BB18" s="80"/>
      <c r="BC18" s="80">
        <v>2</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544</v>
      </c>
      <c r="B19" s="65" t="s">
        <v>559</v>
      </c>
      <c r="C19" s="66" t="s">
        <v>514</v>
      </c>
      <c r="D19" s="67">
        <v>10</v>
      </c>
      <c r="E19" s="66"/>
      <c r="F19" s="69">
        <v>15</v>
      </c>
      <c r="G19" s="66"/>
      <c r="H19" s="70"/>
      <c r="I19" s="71"/>
      <c r="J19" s="71"/>
      <c r="K19" s="35" t="s">
        <v>65</v>
      </c>
      <c r="L19" s="72">
        <v>19</v>
      </c>
      <c r="M19" s="72"/>
      <c r="N19" s="73"/>
      <c r="O19" s="80" t="s">
        <v>263</v>
      </c>
      <c r="P19" s="82">
        <v>44692.55068287037</v>
      </c>
      <c r="Q19" s="80" t="s">
        <v>581</v>
      </c>
      <c r="R19" s="80"/>
      <c r="S19" s="80"/>
      <c r="T19" s="80"/>
      <c r="U19" s="83" t="str">
        <f>HYPERLINK("https://pbs.twimg.com/ext_tw_video_thumb/1524368758437216256/pu/img/3UwSYL_0rta3dEGi.jpg")</f>
        <v>https://pbs.twimg.com/ext_tw_video_thumb/1524368758437216256/pu/img/3UwSYL_0rta3dEGi.jpg</v>
      </c>
      <c r="V19" s="83" t="str">
        <f>HYPERLINK("https://pbs.twimg.com/ext_tw_video_thumb/1524368758437216256/pu/img/3UwSYL_0rta3dEGi.jpg")</f>
        <v>https://pbs.twimg.com/ext_tw_video_thumb/1524368758437216256/pu/img/3UwSYL_0rta3dEGi.jpg</v>
      </c>
      <c r="W19" s="82">
        <v>44692.55068287037</v>
      </c>
      <c r="X19" s="87">
        <v>44692</v>
      </c>
      <c r="Y19" s="85" t="s">
        <v>606</v>
      </c>
      <c r="Z19" s="83" t="str">
        <f>HYPERLINK("https://twitter.com/simranj59927871/status/1524377029289791489")</f>
        <v>https://twitter.com/simranj59927871/status/1524377029289791489</v>
      </c>
      <c r="AA19" s="80"/>
      <c r="AB19" s="80"/>
      <c r="AC19" s="85" t="s">
        <v>660</v>
      </c>
      <c r="AD19" s="80"/>
      <c r="AE19" s="80" t="b">
        <v>0</v>
      </c>
      <c r="AF19" s="80">
        <v>0</v>
      </c>
      <c r="AG19" s="85" t="s">
        <v>267</v>
      </c>
      <c r="AH19" s="80" t="b">
        <v>0</v>
      </c>
      <c r="AI19" s="80" t="s">
        <v>268</v>
      </c>
      <c r="AJ19" s="80"/>
      <c r="AK19" s="85" t="s">
        <v>267</v>
      </c>
      <c r="AL19" s="80" t="b">
        <v>0</v>
      </c>
      <c r="AM19" s="80">
        <v>16</v>
      </c>
      <c r="AN19" s="85" t="s">
        <v>698</v>
      </c>
      <c r="AO19" s="85" t="s">
        <v>271</v>
      </c>
      <c r="AP19" s="80" t="b">
        <v>0</v>
      </c>
      <c r="AQ19" s="85" t="s">
        <v>698</v>
      </c>
      <c r="AR19" s="80" t="s">
        <v>218</v>
      </c>
      <c r="AS19" s="80">
        <v>0</v>
      </c>
      <c r="AT19" s="80">
        <v>0</v>
      </c>
      <c r="AU19" s="80"/>
      <c r="AV19" s="80"/>
      <c r="AW19" s="80"/>
      <c r="AX19" s="80"/>
      <c r="AY19" s="80"/>
      <c r="AZ19" s="80"/>
      <c r="BA19" s="80"/>
      <c r="BB19" s="80"/>
      <c r="BC19" s="80">
        <v>2</v>
      </c>
      <c r="BD19" s="79" t="str">
        <f>REPLACE(INDEX(GroupVertices[Group],MATCH(Edges[[#This Row],[Vertex 1]],GroupVertices[Vertex],0)),1,1,"")</f>
        <v>1</v>
      </c>
      <c r="BE19" s="79" t="str">
        <f>REPLACE(INDEX(GroupVertices[Group],MATCH(Edges[[#This Row],[Vertex 2]],GroupVertices[Vertex],0)),1,1,"")</f>
        <v>2</v>
      </c>
      <c r="BF19" s="49">
        <v>0</v>
      </c>
      <c r="BG19" s="50">
        <v>0</v>
      </c>
      <c r="BH19" s="49">
        <v>2</v>
      </c>
      <c r="BI19" s="50">
        <v>4.651162790697675</v>
      </c>
      <c r="BJ19" s="49">
        <v>0</v>
      </c>
      <c r="BK19" s="50">
        <v>0</v>
      </c>
      <c r="BL19" s="49">
        <v>41</v>
      </c>
      <c r="BM19" s="50">
        <v>95.34883720930233</v>
      </c>
      <c r="BN19" s="49">
        <v>43</v>
      </c>
    </row>
    <row r="20" spans="1:66" ht="15">
      <c r="A20" s="65" t="s">
        <v>544</v>
      </c>
      <c r="B20" s="65" t="s">
        <v>519</v>
      </c>
      <c r="C20" s="66" t="s">
        <v>514</v>
      </c>
      <c r="D20" s="67">
        <v>10</v>
      </c>
      <c r="E20" s="66"/>
      <c r="F20" s="69">
        <v>15</v>
      </c>
      <c r="G20" s="66"/>
      <c r="H20" s="70"/>
      <c r="I20" s="71"/>
      <c r="J20" s="71"/>
      <c r="K20" s="35" t="s">
        <v>65</v>
      </c>
      <c r="L20" s="72">
        <v>20</v>
      </c>
      <c r="M20" s="72"/>
      <c r="N20" s="73"/>
      <c r="O20" s="80" t="s">
        <v>264</v>
      </c>
      <c r="P20" s="82">
        <v>44692.55082175926</v>
      </c>
      <c r="Q20" s="80" t="s">
        <v>580</v>
      </c>
      <c r="R20" s="80"/>
      <c r="S20" s="80"/>
      <c r="T20" s="85" t="s">
        <v>596</v>
      </c>
      <c r="U20" s="83" t="str">
        <f>HYPERLINK("https://pbs.twimg.com/media/FSc09v5aQAAY6bm.jpg")</f>
        <v>https://pbs.twimg.com/media/FSc09v5aQAAY6bm.jpg</v>
      </c>
      <c r="V20" s="83" t="str">
        <f>HYPERLINK("https://pbs.twimg.com/media/FSc09v5aQAAY6bm.jpg")</f>
        <v>https://pbs.twimg.com/media/FSc09v5aQAAY6bm.jpg</v>
      </c>
      <c r="W20" s="82">
        <v>44692.55082175926</v>
      </c>
      <c r="X20" s="87">
        <v>44692</v>
      </c>
      <c r="Y20" s="85" t="s">
        <v>607</v>
      </c>
      <c r="Z20" s="83" t="str">
        <f>HYPERLINK("https://twitter.com/simranj59927871/status/1524377076651814912")</f>
        <v>https://twitter.com/simranj59927871/status/1524377076651814912</v>
      </c>
      <c r="AA20" s="80"/>
      <c r="AB20" s="80"/>
      <c r="AC20" s="85" t="s">
        <v>661</v>
      </c>
      <c r="AD20" s="80"/>
      <c r="AE20" s="80" t="b">
        <v>0</v>
      </c>
      <c r="AF20" s="80">
        <v>0</v>
      </c>
      <c r="AG20" s="85" t="s">
        <v>267</v>
      </c>
      <c r="AH20" s="80" t="b">
        <v>0</v>
      </c>
      <c r="AI20" s="80" t="s">
        <v>268</v>
      </c>
      <c r="AJ20" s="80"/>
      <c r="AK20" s="85" t="s">
        <v>267</v>
      </c>
      <c r="AL20" s="80" t="b">
        <v>0</v>
      </c>
      <c r="AM20" s="80">
        <v>19</v>
      </c>
      <c r="AN20" s="85" t="s">
        <v>696</v>
      </c>
      <c r="AO20" s="85" t="s">
        <v>271</v>
      </c>
      <c r="AP20" s="80" t="b">
        <v>0</v>
      </c>
      <c r="AQ20" s="85" t="s">
        <v>696</v>
      </c>
      <c r="AR20" s="80" t="s">
        <v>218</v>
      </c>
      <c r="AS20" s="80">
        <v>0</v>
      </c>
      <c r="AT20" s="80">
        <v>0</v>
      </c>
      <c r="AU20" s="80"/>
      <c r="AV20" s="80"/>
      <c r="AW20" s="80"/>
      <c r="AX20" s="80"/>
      <c r="AY20" s="80"/>
      <c r="AZ20" s="80"/>
      <c r="BA20" s="80"/>
      <c r="BB20" s="80"/>
      <c r="BC20" s="80">
        <v>2</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544</v>
      </c>
      <c r="B21" s="65" t="s">
        <v>258</v>
      </c>
      <c r="C21" s="66" t="s">
        <v>513</v>
      </c>
      <c r="D21" s="67">
        <v>5</v>
      </c>
      <c r="E21" s="66"/>
      <c r="F21" s="69">
        <v>50</v>
      </c>
      <c r="G21" s="66"/>
      <c r="H21" s="70"/>
      <c r="I21" s="71"/>
      <c r="J21" s="71"/>
      <c r="K21" s="35" t="s">
        <v>65</v>
      </c>
      <c r="L21" s="72">
        <v>21</v>
      </c>
      <c r="M21" s="72"/>
      <c r="N21" s="73"/>
      <c r="O21" s="80" t="s">
        <v>264</v>
      </c>
      <c r="P21" s="82">
        <v>44692.55082175926</v>
      </c>
      <c r="Q21" s="80" t="s">
        <v>580</v>
      </c>
      <c r="R21" s="80"/>
      <c r="S21" s="80"/>
      <c r="T21" s="85" t="s">
        <v>596</v>
      </c>
      <c r="U21" s="83" t="str">
        <f>HYPERLINK("https://pbs.twimg.com/media/FSc09v5aQAAY6bm.jpg")</f>
        <v>https://pbs.twimg.com/media/FSc09v5aQAAY6bm.jpg</v>
      </c>
      <c r="V21" s="83" t="str">
        <f>HYPERLINK("https://pbs.twimg.com/media/FSc09v5aQAAY6bm.jpg")</f>
        <v>https://pbs.twimg.com/media/FSc09v5aQAAY6bm.jpg</v>
      </c>
      <c r="W21" s="82">
        <v>44692.55082175926</v>
      </c>
      <c r="X21" s="87">
        <v>44692</v>
      </c>
      <c r="Y21" s="85" t="s">
        <v>607</v>
      </c>
      <c r="Z21" s="83" t="str">
        <f>HYPERLINK("https://twitter.com/simranj59927871/status/1524377076651814912")</f>
        <v>https://twitter.com/simranj59927871/status/1524377076651814912</v>
      </c>
      <c r="AA21" s="80"/>
      <c r="AB21" s="80"/>
      <c r="AC21" s="85" t="s">
        <v>661</v>
      </c>
      <c r="AD21" s="80"/>
      <c r="AE21" s="80" t="b">
        <v>0</v>
      </c>
      <c r="AF21" s="80">
        <v>0</v>
      </c>
      <c r="AG21" s="85" t="s">
        <v>267</v>
      </c>
      <c r="AH21" s="80" t="b">
        <v>0</v>
      </c>
      <c r="AI21" s="80" t="s">
        <v>268</v>
      </c>
      <c r="AJ21" s="80"/>
      <c r="AK21" s="85" t="s">
        <v>267</v>
      </c>
      <c r="AL21" s="80" t="b">
        <v>0</v>
      </c>
      <c r="AM21" s="80">
        <v>19</v>
      </c>
      <c r="AN21" s="85" t="s">
        <v>696</v>
      </c>
      <c r="AO21" s="85" t="s">
        <v>271</v>
      </c>
      <c r="AP21" s="80" t="b">
        <v>0</v>
      </c>
      <c r="AQ21" s="85" t="s">
        <v>696</v>
      </c>
      <c r="AR21" s="80" t="s">
        <v>218</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544</v>
      </c>
      <c r="B22" s="65" t="s">
        <v>559</v>
      </c>
      <c r="C22" s="66" t="s">
        <v>514</v>
      </c>
      <c r="D22" s="67">
        <v>10</v>
      </c>
      <c r="E22" s="66"/>
      <c r="F22" s="69">
        <v>15</v>
      </c>
      <c r="G22" s="66"/>
      <c r="H22" s="70"/>
      <c r="I22" s="71"/>
      <c r="J22" s="71"/>
      <c r="K22" s="35" t="s">
        <v>65</v>
      </c>
      <c r="L22" s="72">
        <v>22</v>
      </c>
      <c r="M22" s="72"/>
      <c r="N22" s="73"/>
      <c r="O22" s="80" t="s">
        <v>263</v>
      </c>
      <c r="P22" s="82">
        <v>44692.55082175926</v>
      </c>
      <c r="Q22" s="80" t="s">
        <v>580</v>
      </c>
      <c r="R22" s="80"/>
      <c r="S22" s="80"/>
      <c r="T22" s="85" t="s">
        <v>596</v>
      </c>
      <c r="U22" s="83" t="str">
        <f>HYPERLINK("https://pbs.twimg.com/media/FSc09v5aQAAY6bm.jpg")</f>
        <v>https://pbs.twimg.com/media/FSc09v5aQAAY6bm.jpg</v>
      </c>
      <c r="V22" s="83" t="str">
        <f>HYPERLINK("https://pbs.twimg.com/media/FSc09v5aQAAY6bm.jpg")</f>
        <v>https://pbs.twimg.com/media/FSc09v5aQAAY6bm.jpg</v>
      </c>
      <c r="W22" s="82">
        <v>44692.55082175926</v>
      </c>
      <c r="X22" s="87">
        <v>44692</v>
      </c>
      <c r="Y22" s="85" t="s">
        <v>607</v>
      </c>
      <c r="Z22" s="83" t="str">
        <f>HYPERLINK("https://twitter.com/simranj59927871/status/1524377076651814912")</f>
        <v>https://twitter.com/simranj59927871/status/1524377076651814912</v>
      </c>
      <c r="AA22" s="80"/>
      <c r="AB22" s="80"/>
      <c r="AC22" s="85" t="s">
        <v>661</v>
      </c>
      <c r="AD22" s="80"/>
      <c r="AE22" s="80" t="b">
        <v>0</v>
      </c>
      <c r="AF22" s="80">
        <v>0</v>
      </c>
      <c r="AG22" s="85" t="s">
        <v>267</v>
      </c>
      <c r="AH22" s="80" t="b">
        <v>0</v>
      </c>
      <c r="AI22" s="80" t="s">
        <v>268</v>
      </c>
      <c r="AJ22" s="80"/>
      <c r="AK22" s="85" t="s">
        <v>267</v>
      </c>
      <c r="AL22" s="80" t="b">
        <v>0</v>
      </c>
      <c r="AM22" s="80">
        <v>19</v>
      </c>
      <c r="AN22" s="85" t="s">
        <v>696</v>
      </c>
      <c r="AO22" s="85" t="s">
        <v>271</v>
      </c>
      <c r="AP22" s="80" t="b">
        <v>0</v>
      </c>
      <c r="AQ22" s="85" t="s">
        <v>696</v>
      </c>
      <c r="AR22" s="80" t="s">
        <v>218</v>
      </c>
      <c r="AS22" s="80">
        <v>0</v>
      </c>
      <c r="AT22" s="80">
        <v>0</v>
      </c>
      <c r="AU22" s="80"/>
      <c r="AV22" s="80"/>
      <c r="AW22" s="80"/>
      <c r="AX22" s="80"/>
      <c r="AY22" s="80"/>
      <c r="AZ22" s="80"/>
      <c r="BA22" s="80"/>
      <c r="BB22" s="80"/>
      <c r="BC22" s="80">
        <v>2</v>
      </c>
      <c r="BD22" s="79" t="str">
        <f>REPLACE(INDEX(GroupVertices[Group],MATCH(Edges[[#This Row],[Vertex 1]],GroupVertices[Vertex],0)),1,1,"")</f>
        <v>1</v>
      </c>
      <c r="BE22" s="79" t="str">
        <f>REPLACE(INDEX(GroupVertices[Group],MATCH(Edges[[#This Row],[Vertex 2]],GroupVertices[Vertex],0)),1,1,"")</f>
        <v>2</v>
      </c>
      <c r="BF22" s="49">
        <v>0</v>
      </c>
      <c r="BG22" s="50">
        <v>0</v>
      </c>
      <c r="BH22" s="49">
        <v>5</v>
      </c>
      <c r="BI22" s="50">
        <v>12.820512820512821</v>
      </c>
      <c r="BJ22" s="49">
        <v>0</v>
      </c>
      <c r="BK22" s="50">
        <v>0</v>
      </c>
      <c r="BL22" s="49">
        <v>34</v>
      </c>
      <c r="BM22" s="50">
        <v>87.17948717948718</v>
      </c>
      <c r="BN22" s="49">
        <v>39</v>
      </c>
    </row>
    <row r="23" spans="1:66" ht="15">
      <c r="A23" s="65" t="s">
        <v>545</v>
      </c>
      <c r="B23" s="65" t="s">
        <v>519</v>
      </c>
      <c r="C23" s="66" t="s">
        <v>513</v>
      </c>
      <c r="D23" s="67">
        <v>5</v>
      </c>
      <c r="E23" s="66"/>
      <c r="F23" s="69">
        <v>50</v>
      </c>
      <c r="G23" s="66"/>
      <c r="H23" s="70"/>
      <c r="I23" s="71"/>
      <c r="J23" s="71"/>
      <c r="K23" s="35" t="s">
        <v>65</v>
      </c>
      <c r="L23" s="72">
        <v>23</v>
      </c>
      <c r="M23" s="72"/>
      <c r="N23" s="73"/>
      <c r="O23" s="80" t="s">
        <v>264</v>
      </c>
      <c r="P23" s="82">
        <v>44692.77930555555</v>
      </c>
      <c r="Q23" s="80" t="s">
        <v>581</v>
      </c>
      <c r="R23" s="80"/>
      <c r="S23" s="80"/>
      <c r="T23" s="80"/>
      <c r="U23" s="83" t="str">
        <f>HYPERLINK("https://pbs.twimg.com/ext_tw_video_thumb/1524368758437216256/pu/img/3UwSYL_0rta3dEGi.jpg")</f>
        <v>https://pbs.twimg.com/ext_tw_video_thumb/1524368758437216256/pu/img/3UwSYL_0rta3dEGi.jpg</v>
      </c>
      <c r="V23" s="83" t="str">
        <f>HYPERLINK("https://pbs.twimg.com/ext_tw_video_thumb/1524368758437216256/pu/img/3UwSYL_0rta3dEGi.jpg")</f>
        <v>https://pbs.twimg.com/ext_tw_video_thumb/1524368758437216256/pu/img/3UwSYL_0rta3dEGi.jpg</v>
      </c>
      <c r="W23" s="82">
        <v>44692.77930555555</v>
      </c>
      <c r="X23" s="87">
        <v>44692</v>
      </c>
      <c r="Y23" s="85" t="s">
        <v>608</v>
      </c>
      <c r="Z23" s="83" t="str">
        <f>HYPERLINK("https://twitter.com/pathruduabilash/status/1524459877162053632")</f>
        <v>https://twitter.com/pathruduabilash/status/1524459877162053632</v>
      </c>
      <c r="AA23" s="80"/>
      <c r="AB23" s="80"/>
      <c r="AC23" s="85" t="s">
        <v>662</v>
      </c>
      <c r="AD23" s="80"/>
      <c r="AE23" s="80" t="b">
        <v>0</v>
      </c>
      <c r="AF23" s="80">
        <v>0</v>
      </c>
      <c r="AG23" s="85" t="s">
        <v>267</v>
      </c>
      <c r="AH23" s="80" t="b">
        <v>0</v>
      </c>
      <c r="AI23" s="80" t="s">
        <v>268</v>
      </c>
      <c r="AJ23" s="80"/>
      <c r="AK23" s="85" t="s">
        <v>267</v>
      </c>
      <c r="AL23" s="80" t="b">
        <v>0</v>
      </c>
      <c r="AM23" s="80">
        <v>16</v>
      </c>
      <c r="AN23" s="85" t="s">
        <v>698</v>
      </c>
      <c r="AO23" s="85" t="s">
        <v>271</v>
      </c>
      <c r="AP23" s="80" t="b">
        <v>0</v>
      </c>
      <c r="AQ23" s="85" t="s">
        <v>698</v>
      </c>
      <c r="AR23" s="80" t="s">
        <v>218</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545</v>
      </c>
      <c r="B24" s="65" t="s">
        <v>559</v>
      </c>
      <c r="C24" s="66" t="s">
        <v>513</v>
      </c>
      <c r="D24" s="67">
        <v>5</v>
      </c>
      <c r="E24" s="66"/>
      <c r="F24" s="69">
        <v>50</v>
      </c>
      <c r="G24" s="66"/>
      <c r="H24" s="70"/>
      <c r="I24" s="71"/>
      <c r="J24" s="71"/>
      <c r="K24" s="35" t="s">
        <v>65</v>
      </c>
      <c r="L24" s="72">
        <v>24</v>
      </c>
      <c r="M24" s="72"/>
      <c r="N24" s="73"/>
      <c r="O24" s="80" t="s">
        <v>263</v>
      </c>
      <c r="P24" s="82">
        <v>44692.77930555555</v>
      </c>
      <c r="Q24" s="80" t="s">
        <v>581</v>
      </c>
      <c r="R24" s="80"/>
      <c r="S24" s="80"/>
      <c r="T24" s="80"/>
      <c r="U24" s="83" t="str">
        <f>HYPERLINK("https://pbs.twimg.com/ext_tw_video_thumb/1524368758437216256/pu/img/3UwSYL_0rta3dEGi.jpg")</f>
        <v>https://pbs.twimg.com/ext_tw_video_thumb/1524368758437216256/pu/img/3UwSYL_0rta3dEGi.jpg</v>
      </c>
      <c r="V24" s="83" t="str">
        <f>HYPERLINK("https://pbs.twimg.com/ext_tw_video_thumb/1524368758437216256/pu/img/3UwSYL_0rta3dEGi.jpg")</f>
        <v>https://pbs.twimg.com/ext_tw_video_thumb/1524368758437216256/pu/img/3UwSYL_0rta3dEGi.jpg</v>
      </c>
      <c r="W24" s="82">
        <v>44692.77930555555</v>
      </c>
      <c r="X24" s="87">
        <v>44692</v>
      </c>
      <c r="Y24" s="85" t="s">
        <v>608</v>
      </c>
      <c r="Z24" s="83" t="str">
        <f>HYPERLINK("https://twitter.com/pathruduabilash/status/1524459877162053632")</f>
        <v>https://twitter.com/pathruduabilash/status/1524459877162053632</v>
      </c>
      <c r="AA24" s="80"/>
      <c r="AB24" s="80"/>
      <c r="AC24" s="85" t="s">
        <v>662</v>
      </c>
      <c r="AD24" s="80"/>
      <c r="AE24" s="80" t="b">
        <v>0</v>
      </c>
      <c r="AF24" s="80">
        <v>0</v>
      </c>
      <c r="AG24" s="85" t="s">
        <v>267</v>
      </c>
      <c r="AH24" s="80" t="b">
        <v>0</v>
      </c>
      <c r="AI24" s="80" t="s">
        <v>268</v>
      </c>
      <c r="AJ24" s="80"/>
      <c r="AK24" s="85" t="s">
        <v>267</v>
      </c>
      <c r="AL24" s="80" t="b">
        <v>0</v>
      </c>
      <c r="AM24" s="80">
        <v>16</v>
      </c>
      <c r="AN24" s="85" t="s">
        <v>698</v>
      </c>
      <c r="AO24" s="85" t="s">
        <v>271</v>
      </c>
      <c r="AP24" s="80" t="b">
        <v>0</v>
      </c>
      <c r="AQ24" s="85" t="s">
        <v>698</v>
      </c>
      <c r="AR24" s="80" t="s">
        <v>218</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2</v>
      </c>
      <c r="BF24" s="49">
        <v>0</v>
      </c>
      <c r="BG24" s="50">
        <v>0</v>
      </c>
      <c r="BH24" s="49">
        <v>2</v>
      </c>
      <c r="BI24" s="50">
        <v>4.651162790697675</v>
      </c>
      <c r="BJ24" s="49">
        <v>0</v>
      </c>
      <c r="BK24" s="50">
        <v>0</v>
      </c>
      <c r="BL24" s="49">
        <v>41</v>
      </c>
      <c r="BM24" s="50">
        <v>95.34883720930233</v>
      </c>
      <c r="BN24" s="49">
        <v>43</v>
      </c>
    </row>
    <row r="25" spans="1:66" ht="15">
      <c r="A25" s="65" t="s">
        <v>546</v>
      </c>
      <c r="B25" s="65" t="s">
        <v>519</v>
      </c>
      <c r="C25" s="66" t="s">
        <v>514</v>
      </c>
      <c r="D25" s="67">
        <v>10</v>
      </c>
      <c r="E25" s="66"/>
      <c r="F25" s="69">
        <v>15</v>
      </c>
      <c r="G25" s="66"/>
      <c r="H25" s="70"/>
      <c r="I25" s="71"/>
      <c r="J25" s="71"/>
      <c r="K25" s="35" t="s">
        <v>65</v>
      </c>
      <c r="L25" s="72">
        <v>25</v>
      </c>
      <c r="M25" s="72"/>
      <c r="N25" s="73"/>
      <c r="O25" s="80" t="s">
        <v>264</v>
      </c>
      <c r="P25" s="82">
        <v>44692.306608796294</v>
      </c>
      <c r="Q25" s="80" t="s">
        <v>580</v>
      </c>
      <c r="R25" s="80"/>
      <c r="S25" s="80"/>
      <c r="T25" s="85" t="s">
        <v>596</v>
      </c>
      <c r="U25" s="83" t="str">
        <f>HYPERLINK("https://pbs.twimg.com/media/FSc09v5aQAAY6bm.jpg")</f>
        <v>https://pbs.twimg.com/media/FSc09v5aQAAY6bm.jpg</v>
      </c>
      <c r="V25" s="83" t="str">
        <f>HYPERLINK("https://pbs.twimg.com/media/FSc09v5aQAAY6bm.jpg")</f>
        <v>https://pbs.twimg.com/media/FSc09v5aQAAY6bm.jpg</v>
      </c>
      <c r="W25" s="82">
        <v>44692.306608796294</v>
      </c>
      <c r="X25" s="87">
        <v>44692</v>
      </c>
      <c r="Y25" s="85" t="s">
        <v>609</v>
      </c>
      <c r="Z25" s="83" t="str">
        <f>HYPERLINK("https://twitter.com/bains_gurpinder/status/1524288578758475776")</f>
        <v>https://twitter.com/bains_gurpinder/status/1524288578758475776</v>
      </c>
      <c r="AA25" s="80"/>
      <c r="AB25" s="80"/>
      <c r="AC25" s="85" t="s">
        <v>663</v>
      </c>
      <c r="AD25" s="80"/>
      <c r="AE25" s="80" t="b">
        <v>0</v>
      </c>
      <c r="AF25" s="80">
        <v>0</v>
      </c>
      <c r="AG25" s="85" t="s">
        <v>267</v>
      </c>
      <c r="AH25" s="80" t="b">
        <v>0</v>
      </c>
      <c r="AI25" s="80" t="s">
        <v>268</v>
      </c>
      <c r="AJ25" s="80"/>
      <c r="AK25" s="85" t="s">
        <v>267</v>
      </c>
      <c r="AL25" s="80" t="b">
        <v>0</v>
      </c>
      <c r="AM25" s="80">
        <v>19</v>
      </c>
      <c r="AN25" s="85" t="s">
        <v>696</v>
      </c>
      <c r="AO25" s="85" t="s">
        <v>271</v>
      </c>
      <c r="AP25" s="80" t="b">
        <v>0</v>
      </c>
      <c r="AQ25" s="85" t="s">
        <v>696</v>
      </c>
      <c r="AR25" s="80" t="s">
        <v>218</v>
      </c>
      <c r="AS25" s="80">
        <v>0</v>
      </c>
      <c r="AT25" s="80">
        <v>0</v>
      </c>
      <c r="AU25" s="80"/>
      <c r="AV25" s="80"/>
      <c r="AW25" s="80"/>
      <c r="AX25" s="80"/>
      <c r="AY25" s="80"/>
      <c r="AZ25" s="80"/>
      <c r="BA25" s="80"/>
      <c r="BB25" s="80"/>
      <c r="BC25" s="80">
        <v>2</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546</v>
      </c>
      <c r="B26" s="65" t="s">
        <v>258</v>
      </c>
      <c r="C26" s="66" t="s">
        <v>513</v>
      </c>
      <c r="D26" s="67">
        <v>5</v>
      </c>
      <c r="E26" s="66"/>
      <c r="F26" s="69">
        <v>50</v>
      </c>
      <c r="G26" s="66"/>
      <c r="H26" s="70"/>
      <c r="I26" s="71"/>
      <c r="J26" s="71"/>
      <c r="K26" s="35" t="s">
        <v>65</v>
      </c>
      <c r="L26" s="72">
        <v>26</v>
      </c>
      <c r="M26" s="72"/>
      <c r="N26" s="73"/>
      <c r="O26" s="80" t="s">
        <v>264</v>
      </c>
      <c r="P26" s="82">
        <v>44692.306608796294</v>
      </c>
      <c r="Q26" s="80" t="s">
        <v>580</v>
      </c>
      <c r="R26" s="80"/>
      <c r="S26" s="80"/>
      <c r="T26" s="85" t="s">
        <v>596</v>
      </c>
      <c r="U26" s="83" t="str">
        <f>HYPERLINK("https://pbs.twimg.com/media/FSc09v5aQAAY6bm.jpg")</f>
        <v>https://pbs.twimg.com/media/FSc09v5aQAAY6bm.jpg</v>
      </c>
      <c r="V26" s="83" t="str">
        <f>HYPERLINK("https://pbs.twimg.com/media/FSc09v5aQAAY6bm.jpg")</f>
        <v>https://pbs.twimg.com/media/FSc09v5aQAAY6bm.jpg</v>
      </c>
      <c r="W26" s="82">
        <v>44692.306608796294</v>
      </c>
      <c r="X26" s="87">
        <v>44692</v>
      </c>
      <c r="Y26" s="85" t="s">
        <v>609</v>
      </c>
      <c r="Z26" s="83" t="str">
        <f>HYPERLINK("https://twitter.com/bains_gurpinder/status/1524288578758475776")</f>
        <v>https://twitter.com/bains_gurpinder/status/1524288578758475776</v>
      </c>
      <c r="AA26" s="80"/>
      <c r="AB26" s="80"/>
      <c r="AC26" s="85" t="s">
        <v>663</v>
      </c>
      <c r="AD26" s="80"/>
      <c r="AE26" s="80" t="b">
        <v>0</v>
      </c>
      <c r="AF26" s="80">
        <v>0</v>
      </c>
      <c r="AG26" s="85" t="s">
        <v>267</v>
      </c>
      <c r="AH26" s="80" t="b">
        <v>0</v>
      </c>
      <c r="AI26" s="80" t="s">
        <v>268</v>
      </c>
      <c r="AJ26" s="80"/>
      <c r="AK26" s="85" t="s">
        <v>267</v>
      </c>
      <c r="AL26" s="80" t="b">
        <v>0</v>
      </c>
      <c r="AM26" s="80">
        <v>19</v>
      </c>
      <c r="AN26" s="85" t="s">
        <v>696</v>
      </c>
      <c r="AO26" s="85" t="s">
        <v>271</v>
      </c>
      <c r="AP26" s="80" t="b">
        <v>0</v>
      </c>
      <c r="AQ26" s="85" t="s">
        <v>696</v>
      </c>
      <c r="AR26" s="80" t="s">
        <v>218</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546</v>
      </c>
      <c r="B27" s="65" t="s">
        <v>559</v>
      </c>
      <c r="C27" s="66" t="s">
        <v>514</v>
      </c>
      <c r="D27" s="67">
        <v>10</v>
      </c>
      <c r="E27" s="66"/>
      <c r="F27" s="69">
        <v>15</v>
      </c>
      <c r="G27" s="66"/>
      <c r="H27" s="70"/>
      <c r="I27" s="71"/>
      <c r="J27" s="71"/>
      <c r="K27" s="35" t="s">
        <v>65</v>
      </c>
      <c r="L27" s="72">
        <v>27</v>
      </c>
      <c r="M27" s="72"/>
      <c r="N27" s="73"/>
      <c r="O27" s="80" t="s">
        <v>263</v>
      </c>
      <c r="P27" s="82">
        <v>44692.306608796294</v>
      </c>
      <c r="Q27" s="80" t="s">
        <v>580</v>
      </c>
      <c r="R27" s="80"/>
      <c r="S27" s="80"/>
      <c r="T27" s="85" t="s">
        <v>596</v>
      </c>
      <c r="U27" s="83" t="str">
        <f>HYPERLINK("https://pbs.twimg.com/media/FSc09v5aQAAY6bm.jpg")</f>
        <v>https://pbs.twimg.com/media/FSc09v5aQAAY6bm.jpg</v>
      </c>
      <c r="V27" s="83" t="str">
        <f>HYPERLINK("https://pbs.twimg.com/media/FSc09v5aQAAY6bm.jpg")</f>
        <v>https://pbs.twimg.com/media/FSc09v5aQAAY6bm.jpg</v>
      </c>
      <c r="W27" s="82">
        <v>44692.306608796294</v>
      </c>
      <c r="X27" s="87">
        <v>44692</v>
      </c>
      <c r="Y27" s="85" t="s">
        <v>609</v>
      </c>
      <c r="Z27" s="83" t="str">
        <f>HYPERLINK("https://twitter.com/bains_gurpinder/status/1524288578758475776")</f>
        <v>https://twitter.com/bains_gurpinder/status/1524288578758475776</v>
      </c>
      <c r="AA27" s="80"/>
      <c r="AB27" s="80"/>
      <c r="AC27" s="85" t="s">
        <v>663</v>
      </c>
      <c r="AD27" s="80"/>
      <c r="AE27" s="80" t="b">
        <v>0</v>
      </c>
      <c r="AF27" s="80">
        <v>0</v>
      </c>
      <c r="AG27" s="85" t="s">
        <v>267</v>
      </c>
      <c r="AH27" s="80" t="b">
        <v>0</v>
      </c>
      <c r="AI27" s="80" t="s">
        <v>268</v>
      </c>
      <c r="AJ27" s="80"/>
      <c r="AK27" s="85" t="s">
        <v>267</v>
      </c>
      <c r="AL27" s="80" t="b">
        <v>0</v>
      </c>
      <c r="AM27" s="80">
        <v>19</v>
      </c>
      <c r="AN27" s="85" t="s">
        <v>696</v>
      </c>
      <c r="AO27" s="85" t="s">
        <v>271</v>
      </c>
      <c r="AP27" s="80" t="b">
        <v>0</v>
      </c>
      <c r="AQ27" s="85" t="s">
        <v>696</v>
      </c>
      <c r="AR27" s="80" t="s">
        <v>218</v>
      </c>
      <c r="AS27" s="80">
        <v>0</v>
      </c>
      <c r="AT27" s="80">
        <v>0</v>
      </c>
      <c r="AU27" s="80"/>
      <c r="AV27" s="80"/>
      <c r="AW27" s="80"/>
      <c r="AX27" s="80"/>
      <c r="AY27" s="80"/>
      <c r="AZ27" s="80"/>
      <c r="BA27" s="80"/>
      <c r="BB27" s="80"/>
      <c r="BC27" s="80">
        <v>2</v>
      </c>
      <c r="BD27" s="79" t="str">
        <f>REPLACE(INDEX(GroupVertices[Group],MATCH(Edges[[#This Row],[Vertex 1]],GroupVertices[Vertex],0)),1,1,"")</f>
        <v>1</v>
      </c>
      <c r="BE27" s="79" t="str">
        <f>REPLACE(INDEX(GroupVertices[Group],MATCH(Edges[[#This Row],[Vertex 2]],GroupVertices[Vertex],0)),1,1,"")</f>
        <v>2</v>
      </c>
      <c r="BF27" s="49">
        <v>0</v>
      </c>
      <c r="BG27" s="50">
        <v>0</v>
      </c>
      <c r="BH27" s="49">
        <v>5</v>
      </c>
      <c r="BI27" s="50">
        <v>12.820512820512821</v>
      </c>
      <c r="BJ27" s="49">
        <v>0</v>
      </c>
      <c r="BK27" s="50">
        <v>0</v>
      </c>
      <c r="BL27" s="49">
        <v>34</v>
      </c>
      <c r="BM27" s="50">
        <v>87.17948717948718</v>
      </c>
      <c r="BN27" s="49">
        <v>39</v>
      </c>
    </row>
    <row r="28" spans="1:66" ht="15">
      <c r="A28" s="65" t="s">
        <v>546</v>
      </c>
      <c r="B28" s="65" t="s">
        <v>519</v>
      </c>
      <c r="C28" s="66" t="s">
        <v>514</v>
      </c>
      <c r="D28" s="67">
        <v>10</v>
      </c>
      <c r="E28" s="66"/>
      <c r="F28" s="69">
        <v>15</v>
      </c>
      <c r="G28" s="66"/>
      <c r="H28" s="70"/>
      <c r="I28" s="71"/>
      <c r="J28" s="71"/>
      <c r="K28" s="35" t="s">
        <v>65</v>
      </c>
      <c r="L28" s="72">
        <v>28</v>
      </c>
      <c r="M28" s="72"/>
      <c r="N28" s="73"/>
      <c r="O28" s="80" t="s">
        <v>264</v>
      </c>
      <c r="P28" s="82">
        <v>44693.05229166667</v>
      </c>
      <c r="Q28" s="80" t="s">
        <v>581</v>
      </c>
      <c r="R28" s="80"/>
      <c r="S28" s="80"/>
      <c r="T28" s="80"/>
      <c r="U28" s="83" t="str">
        <f>HYPERLINK("https://pbs.twimg.com/ext_tw_video_thumb/1524368758437216256/pu/img/3UwSYL_0rta3dEGi.jpg")</f>
        <v>https://pbs.twimg.com/ext_tw_video_thumb/1524368758437216256/pu/img/3UwSYL_0rta3dEGi.jpg</v>
      </c>
      <c r="V28" s="83" t="str">
        <f>HYPERLINK("https://pbs.twimg.com/ext_tw_video_thumb/1524368758437216256/pu/img/3UwSYL_0rta3dEGi.jpg")</f>
        <v>https://pbs.twimg.com/ext_tw_video_thumb/1524368758437216256/pu/img/3UwSYL_0rta3dEGi.jpg</v>
      </c>
      <c r="W28" s="82">
        <v>44693.05229166667</v>
      </c>
      <c r="X28" s="87">
        <v>44693</v>
      </c>
      <c r="Y28" s="85" t="s">
        <v>610</v>
      </c>
      <c r="Z28" s="83" t="str">
        <f>HYPERLINK("https://twitter.com/bains_gurpinder/status/1524558803768729600")</f>
        <v>https://twitter.com/bains_gurpinder/status/1524558803768729600</v>
      </c>
      <c r="AA28" s="80"/>
      <c r="AB28" s="80"/>
      <c r="AC28" s="85" t="s">
        <v>664</v>
      </c>
      <c r="AD28" s="80"/>
      <c r="AE28" s="80" t="b">
        <v>0</v>
      </c>
      <c r="AF28" s="80">
        <v>0</v>
      </c>
      <c r="AG28" s="85" t="s">
        <v>267</v>
      </c>
      <c r="AH28" s="80" t="b">
        <v>0</v>
      </c>
      <c r="AI28" s="80" t="s">
        <v>268</v>
      </c>
      <c r="AJ28" s="80"/>
      <c r="AK28" s="85" t="s">
        <v>267</v>
      </c>
      <c r="AL28" s="80" t="b">
        <v>0</v>
      </c>
      <c r="AM28" s="80">
        <v>16</v>
      </c>
      <c r="AN28" s="85" t="s">
        <v>698</v>
      </c>
      <c r="AO28" s="85" t="s">
        <v>271</v>
      </c>
      <c r="AP28" s="80" t="b">
        <v>0</v>
      </c>
      <c r="AQ28" s="85" t="s">
        <v>698</v>
      </c>
      <c r="AR28" s="80" t="s">
        <v>218</v>
      </c>
      <c r="AS28" s="80">
        <v>0</v>
      </c>
      <c r="AT28" s="80">
        <v>0</v>
      </c>
      <c r="AU28" s="80"/>
      <c r="AV28" s="80"/>
      <c r="AW28" s="80"/>
      <c r="AX28" s="80"/>
      <c r="AY28" s="80"/>
      <c r="AZ28" s="80"/>
      <c r="BA28" s="80"/>
      <c r="BB28" s="80"/>
      <c r="BC28" s="80">
        <v>2</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546</v>
      </c>
      <c r="B29" s="65" t="s">
        <v>559</v>
      </c>
      <c r="C29" s="66" t="s">
        <v>514</v>
      </c>
      <c r="D29" s="67">
        <v>10</v>
      </c>
      <c r="E29" s="66"/>
      <c r="F29" s="69">
        <v>15</v>
      </c>
      <c r="G29" s="66"/>
      <c r="H29" s="70"/>
      <c r="I29" s="71"/>
      <c r="J29" s="71"/>
      <c r="K29" s="35" t="s">
        <v>65</v>
      </c>
      <c r="L29" s="72">
        <v>29</v>
      </c>
      <c r="M29" s="72"/>
      <c r="N29" s="73"/>
      <c r="O29" s="80" t="s">
        <v>263</v>
      </c>
      <c r="P29" s="82">
        <v>44693.05229166667</v>
      </c>
      <c r="Q29" s="80" t="s">
        <v>581</v>
      </c>
      <c r="R29" s="80"/>
      <c r="S29" s="80"/>
      <c r="T29" s="80"/>
      <c r="U29" s="83" t="str">
        <f>HYPERLINK("https://pbs.twimg.com/ext_tw_video_thumb/1524368758437216256/pu/img/3UwSYL_0rta3dEGi.jpg")</f>
        <v>https://pbs.twimg.com/ext_tw_video_thumb/1524368758437216256/pu/img/3UwSYL_0rta3dEGi.jpg</v>
      </c>
      <c r="V29" s="83" t="str">
        <f>HYPERLINK("https://pbs.twimg.com/ext_tw_video_thumb/1524368758437216256/pu/img/3UwSYL_0rta3dEGi.jpg")</f>
        <v>https://pbs.twimg.com/ext_tw_video_thumb/1524368758437216256/pu/img/3UwSYL_0rta3dEGi.jpg</v>
      </c>
      <c r="W29" s="82">
        <v>44693.05229166667</v>
      </c>
      <c r="X29" s="87">
        <v>44693</v>
      </c>
      <c r="Y29" s="85" t="s">
        <v>610</v>
      </c>
      <c r="Z29" s="83" t="str">
        <f>HYPERLINK("https://twitter.com/bains_gurpinder/status/1524558803768729600")</f>
        <v>https://twitter.com/bains_gurpinder/status/1524558803768729600</v>
      </c>
      <c r="AA29" s="80"/>
      <c r="AB29" s="80"/>
      <c r="AC29" s="85" t="s">
        <v>664</v>
      </c>
      <c r="AD29" s="80"/>
      <c r="AE29" s="80" t="b">
        <v>0</v>
      </c>
      <c r="AF29" s="80">
        <v>0</v>
      </c>
      <c r="AG29" s="85" t="s">
        <v>267</v>
      </c>
      <c r="AH29" s="80" t="b">
        <v>0</v>
      </c>
      <c r="AI29" s="80" t="s">
        <v>268</v>
      </c>
      <c r="AJ29" s="80"/>
      <c r="AK29" s="85" t="s">
        <v>267</v>
      </c>
      <c r="AL29" s="80" t="b">
        <v>0</v>
      </c>
      <c r="AM29" s="80">
        <v>16</v>
      </c>
      <c r="AN29" s="85" t="s">
        <v>698</v>
      </c>
      <c r="AO29" s="85" t="s">
        <v>271</v>
      </c>
      <c r="AP29" s="80" t="b">
        <v>0</v>
      </c>
      <c r="AQ29" s="85" t="s">
        <v>698</v>
      </c>
      <c r="AR29" s="80" t="s">
        <v>218</v>
      </c>
      <c r="AS29" s="80">
        <v>0</v>
      </c>
      <c r="AT29" s="80">
        <v>0</v>
      </c>
      <c r="AU29" s="80"/>
      <c r="AV29" s="80"/>
      <c r="AW29" s="80"/>
      <c r="AX29" s="80"/>
      <c r="AY29" s="80"/>
      <c r="AZ29" s="80"/>
      <c r="BA29" s="80"/>
      <c r="BB29" s="80"/>
      <c r="BC29" s="80">
        <v>2</v>
      </c>
      <c r="BD29" s="79" t="str">
        <f>REPLACE(INDEX(GroupVertices[Group],MATCH(Edges[[#This Row],[Vertex 1]],GroupVertices[Vertex],0)),1,1,"")</f>
        <v>1</v>
      </c>
      <c r="BE29" s="79" t="str">
        <f>REPLACE(INDEX(GroupVertices[Group],MATCH(Edges[[#This Row],[Vertex 2]],GroupVertices[Vertex],0)),1,1,"")</f>
        <v>2</v>
      </c>
      <c r="BF29" s="49">
        <v>0</v>
      </c>
      <c r="BG29" s="50">
        <v>0</v>
      </c>
      <c r="BH29" s="49">
        <v>2</v>
      </c>
      <c r="BI29" s="50">
        <v>4.651162790697675</v>
      </c>
      <c r="BJ29" s="49">
        <v>0</v>
      </c>
      <c r="BK29" s="50">
        <v>0</v>
      </c>
      <c r="BL29" s="49">
        <v>41</v>
      </c>
      <c r="BM29" s="50">
        <v>95.34883720930233</v>
      </c>
      <c r="BN29" s="49">
        <v>43</v>
      </c>
    </row>
    <row r="30" spans="1:66" ht="15">
      <c r="A30" s="65" t="s">
        <v>518</v>
      </c>
      <c r="B30" s="65" t="s">
        <v>519</v>
      </c>
      <c r="C30" s="66" t="s">
        <v>514</v>
      </c>
      <c r="D30" s="67">
        <v>10</v>
      </c>
      <c r="E30" s="66"/>
      <c r="F30" s="69">
        <v>15</v>
      </c>
      <c r="G30" s="66"/>
      <c r="H30" s="70"/>
      <c r="I30" s="71"/>
      <c r="J30" s="71"/>
      <c r="K30" s="35" t="s">
        <v>65</v>
      </c>
      <c r="L30" s="72">
        <v>30</v>
      </c>
      <c r="M30" s="72"/>
      <c r="N30" s="73"/>
      <c r="O30" s="80" t="s">
        <v>264</v>
      </c>
      <c r="P30" s="82">
        <v>44692.23375</v>
      </c>
      <c r="Q30" s="80" t="s">
        <v>580</v>
      </c>
      <c r="R30" s="80"/>
      <c r="S30" s="80"/>
      <c r="T30" s="85" t="s">
        <v>596</v>
      </c>
      <c r="U30" s="83" t="str">
        <f>HYPERLINK("https://pbs.twimg.com/media/FSc09v5aQAAY6bm.jpg")</f>
        <v>https://pbs.twimg.com/media/FSc09v5aQAAY6bm.jpg</v>
      </c>
      <c r="V30" s="83" t="str">
        <f>HYPERLINK("https://pbs.twimg.com/media/FSc09v5aQAAY6bm.jpg")</f>
        <v>https://pbs.twimg.com/media/FSc09v5aQAAY6bm.jpg</v>
      </c>
      <c r="W30" s="82">
        <v>44692.23375</v>
      </c>
      <c r="X30" s="87">
        <v>44692</v>
      </c>
      <c r="Y30" s="85" t="s">
        <v>611</v>
      </c>
      <c r="Z30" s="83" t="str">
        <f>HYPERLINK("https://twitter.com/sureshk01547631/status/1524262175203676160")</f>
        <v>https://twitter.com/sureshk01547631/status/1524262175203676160</v>
      </c>
      <c r="AA30" s="80"/>
      <c r="AB30" s="80"/>
      <c r="AC30" s="85" t="s">
        <v>665</v>
      </c>
      <c r="AD30" s="80"/>
      <c r="AE30" s="80" t="b">
        <v>0</v>
      </c>
      <c r="AF30" s="80">
        <v>0</v>
      </c>
      <c r="AG30" s="85" t="s">
        <v>267</v>
      </c>
      <c r="AH30" s="80" t="b">
        <v>0</v>
      </c>
      <c r="AI30" s="80" t="s">
        <v>268</v>
      </c>
      <c r="AJ30" s="80"/>
      <c r="AK30" s="85" t="s">
        <v>267</v>
      </c>
      <c r="AL30" s="80" t="b">
        <v>0</v>
      </c>
      <c r="AM30" s="80">
        <v>19</v>
      </c>
      <c r="AN30" s="85" t="s">
        <v>696</v>
      </c>
      <c r="AO30" s="85" t="s">
        <v>272</v>
      </c>
      <c r="AP30" s="80" t="b">
        <v>0</v>
      </c>
      <c r="AQ30" s="85" t="s">
        <v>696</v>
      </c>
      <c r="AR30" s="80" t="s">
        <v>218</v>
      </c>
      <c r="AS30" s="80">
        <v>0</v>
      </c>
      <c r="AT30" s="80">
        <v>0</v>
      </c>
      <c r="AU30" s="80"/>
      <c r="AV30" s="80"/>
      <c r="AW30" s="80"/>
      <c r="AX30" s="80"/>
      <c r="AY30" s="80"/>
      <c r="AZ30" s="80"/>
      <c r="BA30" s="80"/>
      <c r="BB30" s="80"/>
      <c r="BC30" s="80">
        <v>2</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518</v>
      </c>
      <c r="B31" s="65" t="s">
        <v>258</v>
      </c>
      <c r="C31" s="66" t="s">
        <v>513</v>
      </c>
      <c r="D31" s="67">
        <v>5</v>
      </c>
      <c r="E31" s="66"/>
      <c r="F31" s="69">
        <v>50</v>
      </c>
      <c r="G31" s="66"/>
      <c r="H31" s="70"/>
      <c r="I31" s="71"/>
      <c r="J31" s="71"/>
      <c r="K31" s="35" t="s">
        <v>65</v>
      </c>
      <c r="L31" s="72">
        <v>31</v>
      </c>
      <c r="M31" s="72"/>
      <c r="N31" s="73"/>
      <c r="O31" s="80" t="s">
        <v>264</v>
      </c>
      <c r="P31" s="82">
        <v>44692.23375</v>
      </c>
      <c r="Q31" s="80" t="s">
        <v>580</v>
      </c>
      <c r="R31" s="80"/>
      <c r="S31" s="80"/>
      <c r="T31" s="85" t="s">
        <v>596</v>
      </c>
      <c r="U31" s="83" t="str">
        <f>HYPERLINK("https://pbs.twimg.com/media/FSc09v5aQAAY6bm.jpg")</f>
        <v>https://pbs.twimg.com/media/FSc09v5aQAAY6bm.jpg</v>
      </c>
      <c r="V31" s="83" t="str">
        <f>HYPERLINK("https://pbs.twimg.com/media/FSc09v5aQAAY6bm.jpg")</f>
        <v>https://pbs.twimg.com/media/FSc09v5aQAAY6bm.jpg</v>
      </c>
      <c r="W31" s="82">
        <v>44692.23375</v>
      </c>
      <c r="X31" s="87">
        <v>44692</v>
      </c>
      <c r="Y31" s="85" t="s">
        <v>611</v>
      </c>
      <c r="Z31" s="83" t="str">
        <f>HYPERLINK("https://twitter.com/sureshk01547631/status/1524262175203676160")</f>
        <v>https://twitter.com/sureshk01547631/status/1524262175203676160</v>
      </c>
      <c r="AA31" s="80"/>
      <c r="AB31" s="80"/>
      <c r="AC31" s="85" t="s">
        <v>665</v>
      </c>
      <c r="AD31" s="80"/>
      <c r="AE31" s="80" t="b">
        <v>0</v>
      </c>
      <c r="AF31" s="80">
        <v>0</v>
      </c>
      <c r="AG31" s="85" t="s">
        <v>267</v>
      </c>
      <c r="AH31" s="80" t="b">
        <v>0</v>
      </c>
      <c r="AI31" s="80" t="s">
        <v>268</v>
      </c>
      <c r="AJ31" s="80"/>
      <c r="AK31" s="85" t="s">
        <v>267</v>
      </c>
      <c r="AL31" s="80" t="b">
        <v>0</v>
      </c>
      <c r="AM31" s="80">
        <v>19</v>
      </c>
      <c r="AN31" s="85" t="s">
        <v>696</v>
      </c>
      <c r="AO31" s="85" t="s">
        <v>272</v>
      </c>
      <c r="AP31" s="80" t="b">
        <v>0</v>
      </c>
      <c r="AQ31" s="85" t="s">
        <v>696</v>
      </c>
      <c r="AR31" s="80" t="s">
        <v>218</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518</v>
      </c>
      <c r="B32" s="65" t="s">
        <v>559</v>
      </c>
      <c r="C32" s="66" t="s">
        <v>514</v>
      </c>
      <c r="D32" s="67">
        <v>10</v>
      </c>
      <c r="E32" s="66"/>
      <c r="F32" s="69">
        <v>15</v>
      </c>
      <c r="G32" s="66"/>
      <c r="H32" s="70"/>
      <c r="I32" s="71"/>
      <c r="J32" s="71"/>
      <c r="K32" s="35" t="s">
        <v>65</v>
      </c>
      <c r="L32" s="72">
        <v>32</v>
      </c>
      <c r="M32" s="72"/>
      <c r="N32" s="73"/>
      <c r="O32" s="80" t="s">
        <v>263</v>
      </c>
      <c r="P32" s="82">
        <v>44692.23375</v>
      </c>
      <c r="Q32" s="80" t="s">
        <v>580</v>
      </c>
      <c r="R32" s="80"/>
      <c r="S32" s="80"/>
      <c r="T32" s="85" t="s">
        <v>596</v>
      </c>
      <c r="U32" s="83" t="str">
        <f>HYPERLINK("https://pbs.twimg.com/media/FSc09v5aQAAY6bm.jpg")</f>
        <v>https://pbs.twimg.com/media/FSc09v5aQAAY6bm.jpg</v>
      </c>
      <c r="V32" s="83" t="str">
        <f>HYPERLINK("https://pbs.twimg.com/media/FSc09v5aQAAY6bm.jpg")</f>
        <v>https://pbs.twimg.com/media/FSc09v5aQAAY6bm.jpg</v>
      </c>
      <c r="W32" s="82">
        <v>44692.23375</v>
      </c>
      <c r="X32" s="87">
        <v>44692</v>
      </c>
      <c r="Y32" s="85" t="s">
        <v>611</v>
      </c>
      <c r="Z32" s="83" t="str">
        <f>HYPERLINK("https://twitter.com/sureshk01547631/status/1524262175203676160")</f>
        <v>https://twitter.com/sureshk01547631/status/1524262175203676160</v>
      </c>
      <c r="AA32" s="80"/>
      <c r="AB32" s="80"/>
      <c r="AC32" s="85" t="s">
        <v>665</v>
      </c>
      <c r="AD32" s="80"/>
      <c r="AE32" s="80" t="b">
        <v>0</v>
      </c>
      <c r="AF32" s="80">
        <v>0</v>
      </c>
      <c r="AG32" s="85" t="s">
        <v>267</v>
      </c>
      <c r="AH32" s="80" t="b">
        <v>0</v>
      </c>
      <c r="AI32" s="80" t="s">
        <v>268</v>
      </c>
      <c r="AJ32" s="80"/>
      <c r="AK32" s="85" t="s">
        <v>267</v>
      </c>
      <c r="AL32" s="80" t="b">
        <v>0</v>
      </c>
      <c r="AM32" s="80">
        <v>19</v>
      </c>
      <c r="AN32" s="85" t="s">
        <v>696</v>
      </c>
      <c r="AO32" s="85" t="s">
        <v>272</v>
      </c>
      <c r="AP32" s="80" t="b">
        <v>0</v>
      </c>
      <c r="AQ32" s="85" t="s">
        <v>696</v>
      </c>
      <c r="AR32" s="80" t="s">
        <v>218</v>
      </c>
      <c r="AS32" s="80">
        <v>0</v>
      </c>
      <c r="AT32" s="80">
        <v>0</v>
      </c>
      <c r="AU32" s="80"/>
      <c r="AV32" s="80"/>
      <c r="AW32" s="80"/>
      <c r="AX32" s="80"/>
      <c r="AY32" s="80"/>
      <c r="AZ32" s="80"/>
      <c r="BA32" s="80"/>
      <c r="BB32" s="80"/>
      <c r="BC32" s="80">
        <v>2</v>
      </c>
      <c r="BD32" s="79" t="str">
        <f>REPLACE(INDEX(GroupVertices[Group],MATCH(Edges[[#This Row],[Vertex 1]],GroupVertices[Vertex],0)),1,1,"")</f>
        <v>1</v>
      </c>
      <c r="BE32" s="79" t="str">
        <f>REPLACE(INDEX(GroupVertices[Group],MATCH(Edges[[#This Row],[Vertex 2]],GroupVertices[Vertex],0)),1,1,"")</f>
        <v>2</v>
      </c>
      <c r="BF32" s="49">
        <v>0</v>
      </c>
      <c r="BG32" s="50">
        <v>0</v>
      </c>
      <c r="BH32" s="49">
        <v>5</v>
      </c>
      <c r="BI32" s="50">
        <v>12.820512820512821</v>
      </c>
      <c r="BJ32" s="49">
        <v>0</v>
      </c>
      <c r="BK32" s="50">
        <v>0</v>
      </c>
      <c r="BL32" s="49">
        <v>34</v>
      </c>
      <c r="BM32" s="50">
        <v>87.17948717948718</v>
      </c>
      <c r="BN32" s="49">
        <v>39</v>
      </c>
    </row>
    <row r="33" spans="1:66" ht="15">
      <c r="A33" s="65" t="s">
        <v>518</v>
      </c>
      <c r="B33" s="65" t="s">
        <v>519</v>
      </c>
      <c r="C33" s="66" t="s">
        <v>514</v>
      </c>
      <c r="D33" s="67">
        <v>10</v>
      </c>
      <c r="E33" s="66"/>
      <c r="F33" s="69">
        <v>15</v>
      </c>
      <c r="G33" s="66"/>
      <c r="H33" s="70"/>
      <c r="I33" s="71"/>
      <c r="J33" s="71"/>
      <c r="K33" s="35" t="s">
        <v>65</v>
      </c>
      <c r="L33" s="72">
        <v>33</v>
      </c>
      <c r="M33" s="72"/>
      <c r="N33" s="73"/>
      <c r="O33" s="80" t="s">
        <v>264</v>
      </c>
      <c r="P33" s="82">
        <v>44693.06815972222</v>
      </c>
      <c r="Q33" s="80" t="s">
        <v>581</v>
      </c>
      <c r="R33" s="80"/>
      <c r="S33" s="80"/>
      <c r="T33" s="80"/>
      <c r="U33" s="83" t="str">
        <f>HYPERLINK("https://pbs.twimg.com/ext_tw_video_thumb/1524368758437216256/pu/img/3UwSYL_0rta3dEGi.jpg")</f>
        <v>https://pbs.twimg.com/ext_tw_video_thumb/1524368758437216256/pu/img/3UwSYL_0rta3dEGi.jpg</v>
      </c>
      <c r="V33" s="83" t="str">
        <f>HYPERLINK("https://pbs.twimg.com/ext_tw_video_thumb/1524368758437216256/pu/img/3UwSYL_0rta3dEGi.jpg")</f>
        <v>https://pbs.twimg.com/ext_tw_video_thumb/1524368758437216256/pu/img/3UwSYL_0rta3dEGi.jpg</v>
      </c>
      <c r="W33" s="82">
        <v>44693.06815972222</v>
      </c>
      <c r="X33" s="87">
        <v>44693</v>
      </c>
      <c r="Y33" s="85" t="s">
        <v>612</v>
      </c>
      <c r="Z33" s="83" t="str">
        <f>HYPERLINK("https://twitter.com/sureshk01547631/status/1524564554965225472")</f>
        <v>https://twitter.com/sureshk01547631/status/1524564554965225472</v>
      </c>
      <c r="AA33" s="80"/>
      <c r="AB33" s="80"/>
      <c r="AC33" s="85" t="s">
        <v>666</v>
      </c>
      <c r="AD33" s="80"/>
      <c r="AE33" s="80" t="b">
        <v>0</v>
      </c>
      <c r="AF33" s="80">
        <v>0</v>
      </c>
      <c r="AG33" s="85" t="s">
        <v>267</v>
      </c>
      <c r="AH33" s="80" t="b">
        <v>0</v>
      </c>
      <c r="AI33" s="80" t="s">
        <v>268</v>
      </c>
      <c r="AJ33" s="80"/>
      <c r="AK33" s="85" t="s">
        <v>267</v>
      </c>
      <c r="AL33" s="80" t="b">
        <v>0</v>
      </c>
      <c r="AM33" s="80">
        <v>16</v>
      </c>
      <c r="AN33" s="85" t="s">
        <v>698</v>
      </c>
      <c r="AO33" s="85" t="s">
        <v>272</v>
      </c>
      <c r="AP33" s="80" t="b">
        <v>0</v>
      </c>
      <c r="AQ33" s="85" t="s">
        <v>698</v>
      </c>
      <c r="AR33" s="80" t="s">
        <v>218</v>
      </c>
      <c r="AS33" s="80">
        <v>0</v>
      </c>
      <c r="AT33" s="80">
        <v>0</v>
      </c>
      <c r="AU33" s="80"/>
      <c r="AV33" s="80"/>
      <c r="AW33" s="80"/>
      <c r="AX33" s="80"/>
      <c r="AY33" s="80"/>
      <c r="AZ33" s="80"/>
      <c r="BA33" s="80"/>
      <c r="BB33" s="80"/>
      <c r="BC33" s="80">
        <v>2</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518</v>
      </c>
      <c r="B34" s="65" t="s">
        <v>559</v>
      </c>
      <c r="C34" s="66" t="s">
        <v>514</v>
      </c>
      <c r="D34" s="67">
        <v>10</v>
      </c>
      <c r="E34" s="66"/>
      <c r="F34" s="69">
        <v>15</v>
      </c>
      <c r="G34" s="66"/>
      <c r="H34" s="70"/>
      <c r="I34" s="71"/>
      <c r="J34" s="71"/>
      <c r="K34" s="35" t="s">
        <v>65</v>
      </c>
      <c r="L34" s="72">
        <v>34</v>
      </c>
      <c r="M34" s="72"/>
      <c r="N34" s="73"/>
      <c r="O34" s="80" t="s">
        <v>263</v>
      </c>
      <c r="P34" s="82">
        <v>44693.06815972222</v>
      </c>
      <c r="Q34" s="80" t="s">
        <v>581</v>
      </c>
      <c r="R34" s="80"/>
      <c r="S34" s="80"/>
      <c r="T34" s="80"/>
      <c r="U34" s="83" t="str">
        <f>HYPERLINK("https://pbs.twimg.com/ext_tw_video_thumb/1524368758437216256/pu/img/3UwSYL_0rta3dEGi.jpg")</f>
        <v>https://pbs.twimg.com/ext_tw_video_thumb/1524368758437216256/pu/img/3UwSYL_0rta3dEGi.jpg</v>
      </c>
      <c r="V34" s="83" t="str">
        <f>HYPERLINK("https://pbs.twimg.com/ext_tw_video_thumb/1524368758437216256/pu/img/3UwSYL_0rta3dEGi.jpg")</f>
        <v>https://pbs.twimg.com/ext_tw_video_thumb/1524368758437216256/pu/img/3UwSYL_0rta3dEGi.jpg</v>
      </c>
      <c r="W34" s="82">
        <v>44693.06815972222</v>
      </c>
      <c r="X34" s="87">
        <v>44693</v>
      </c>
      <c r="Y34" s="85" t="s">
        <v>612</v>
      </c>
      <c r="Z34" s="83" t="str">
        <f>HYPERLINK("https://twitter.com/sureshk01547631/status/1524564554965225472")</f>
        <v>https://twitter.com/sureshk01547631/status/1524564554965225472</v>
      </c>
      <c r="AA34" s="80"/>
      <c r="AB34" s="80"/>
      <c r="AC34" s="85" t="s">
        <v>666</v>
      </c>
      <c r="AD34" s="80"/>
      <c r="AE34" s="80" t="b">
        <v>0</v>
      </c>
      <c r="AF34" s="80">
        <v>0</v>
      </c>
      <c r="AG34" s="85" t="s">
        <v>267</v>
      </c>
      <c r="AH34" s="80" t="b">
        <v>0</v>
      </c>
      <c r="AI34" s="80" t="s">
        <v>268</v>
      </c>
      <c r="AJ34" s="80"/>
      <c r="AK34" s="85" t="s">
        <v>267</v>
      </c>
      <c r="AL34" s="80" t="b">
        <v>0</v>
      </c>
      <c r="AM34" s="80">
        <v>16</v>
      </c>
      <c r="AN34" s="85" t="s">
        <v>698</v>
      </c>
      <c r="AO34" s="85" t="s">
        <v>272</v>
      </c>
      <c r="AP34" s="80" t="b">
        <v>0</v>
      </c>
      <c r="AQ34" s="85" t="s">
        <v>698</v>
      </c>
      <c r="AR34" s="80" t="s">
        <v>218</v>
      </c>
      <c r="AS34" s="80">
        <v>0</v>
      </c>
      <c r="AT34" s="80">
        <v>0</v>
      </c>
      <c r="AU34" s="80"/>
      <c r="AV34" s="80"/>
      <c r="AW34" s="80"/>
      <c r="AX34" s="80"/>
      <c r="AY34" s="80"/>
      <c r="AZ34" s="80"/>
      <c r="BA34" s="80"/>
      <c r="BB34" s="80"/>
      <c r="BC34" s="80">
        <v>2</v>
      </c>
      <c r="BD34" s="79" t="str">
        <f>REPLACE(INDEX(GroupVertices[Group],MATCH(Edges[[#This Row],[Vertex 1]],GroupVertices[Vertex],0)),1,1,"")</f>
        <v>1</v>
      </c>
      <c r="BE34" s="79" t="str">
        <f>REPLACE(INDEX(GroupVertices[Group],MATCH(Edges[[#This Row],[Vertex 2]],GroupVertices[Vertex],0)),1,1,"")</f>
        <v>2</v>
      </c>
      <c r="BF34" s="49">
        <v>0</v>
      </c>
      <c r="BG34" s="50">
        <v>0</v>
      </c>
      <c r="BH34" s="49">
        <v>2</v>
      </c>
      <c r="BI34" s="50">
        <v>4.651162790697675</v>
      </c>
      <c r="BJ34" s="49">
        <v>0</v>
      </c>
      <c r="BK34" s="50">
        <v>0</v>
      </c>
      <c r="BL34" s="49">
        <v>41</v>
      </c>
      <c r="BM34" s="50">
        <v>95.34883720930233</v>
      </c>
      <c r="BN34" s="49">
        <v>43</v>
      </c>
    </row>
    <row r="35" spans="1:66" ht="15">
      <c r="A35" s="65" t="s">
        <v>547</v>
      </c>
      <c r="B35" s="65" t="s">
        <v>519</v>
      </c>
      <c r="C35" s="66" t="s">
        <v>514</v>
      </c>
      <c r="D35" s="67">
        <v>10</v>
      </c>
      <c r="E35" s="66"/>
      <c r="F35" s="69">
        <v>15</v>
      </c>
      <c r="G35" s="66"/>
      <c r="H35" s="70"/>
      <c r="I35" s="71"/>
      <c r="J35" s="71"/>
      <c r="K35" s="35" t="s">
        <v>65</v>
      </c>
      <c r="L35" s="72">
        <v>35</v>
      </c>
      <c r="M35" s="72"/>
      <c r="N35" s="73"/>
      <c r="O35" s="80" t="s">
        <v>264</v>
      </c>
      <c r="P35" s="82">
        <v>44693.085173611114</v>
      </c>
      <c r="Q35" s="80" t="s">
        <v>580</v>
      </c>
      <c r="R35" s="80"/>
      <c r="S35" s="80"/>
      <c r="T35" s="85" t="s">
        <v>596</v>
      </c>
      <c r="U35" s="83" t="str">
        <f>HYPERLINK("https://pbs.twimg.com/media/FSc09v5aQAAY6bm.jpg")</f>
        <v>https://pbs.twimg.com/media/FSc09v5aQAAY6bm.jpg</v>
      </c>
      <c r="V35" s="83" t="str">
        <f>HYPERLINK("https://pbs.twimg.com/media/FSc09v5aQAAY6bm.jpg")</f>
        <v>https://pbs.twimg.com/media/FSc09v5aQAAY6bm.jpg</v>
      </c>
      <c r="W35" s="82">
        <v>44693.085173611114</v>
      </c>
      <c r="X35" s="87">
        <v>44693</v>
      </c>
      <c r="Y35" s="85" t="s">
        <v>613</v>
      </c>
      <c r="Z35" s="83" t="str">
        <f>HYPERLINK("https://twitter.com/satvirsohi5/status/1524570721917476865")</f>
        <v>https://twitter.com/satvirsohi5/status/1524570721917476865</v>
      </c>
      <c r="AA35" s="80"/>
      <c r="AB35" s="80"/>
      <c r="AC35" s="85" t="s">
        <v>667</v>
      </c>
      <c r="AD35" s="80"/>
      <c r="AE35" s="80" t="b">
        <v>0</v>
      </c>
      <c r="AF35" s="80">
        <v>0</v>
      </c>
      <c r="AG35" s="85" t="s">
        <v>267</v>
      </c>
      <c r="AH35" s="80" t="b">
        <v>0</v>
      </c>
      <c r="AI35" s="80" t="s">
        <v>268</v>
      </c>
      <c r="AJ35" s="80"/>
      <c r="AK35" s="85" t="s">
        <v>267</v>
      </c>
      <c r="AL35" s="80" t="b">
        <v>0</v>
      </c>
      <c r="AM35" s="80">
        <v>19</v>
      </c>
      <c r="AN35" s="85" t="s">
        <v>696</v>
      </c>
      <c r="AO35" s="85" t="s">
        <v>271</v>
      </c>
      <c r="AP35" s="80" t="b">
        <v>0</v>
      </c>
      <c r="AQ35" s="85" t="s">
        <v>696</v>
      </c>
      <c r="AR35" s="80" t="s">
        <v>218</v>
      </c>
      <c r="AS35" s="80">
        <v>0</v>
      </c>
      <c r="AT35" s="80">
        <v>0</v>
      </c>
      <c r="AU35" s="80"/>
      <c r="AV35" s="80"/>
      <c r="AW35" s="80"/>
      <c r="AX35" s="80"/>
      <c r="AY35" s="80"/>
      <c r="AZ35" s="80"/>
      <c r="BA35" s="80"/>
      <c r="BB35" s="80"/>
      <c r="BC35" s="80">
        <v>2</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547</v>
      </c>
      <c r="B36" s="65" t="s">
        <v>258</v>
      </c>
      <c r="C36" s="66" t="s">
        <v>513</v>
      </c>
      <c r="D36" s="67">
        <v>5</v>
      </c>
      <c r="E36" s="66"/>
      <c r="F36" s="69">
        <v>50</v>
      </c>
      <c r="G36" s="66"/>
      <c r="H36" s="70"/>
      <c r="I36" s="71"/>
      <c r="J36" s="71"/>
      <c r="K36" s="35" t="s">
        <v>65</v>
      </c>
      <c r="L36" s="72">
        <v>36</v>
      </c>
      <c r="M36" s="72"/>
      <c r="N36" s="73"/>
      <c r="O36" s="80" t="s">
        <v>264</v>
      </c>
      <c r="P36" s="82">
        <v>44693.085173611114</v>
      </c>
      <c r="Q36" s="80" t="s">
        <v>580</v>
      </c>
      <c r="R36" s="80"/>
      <c r="S36" s="80"/>
      <c r="T36" s="85" t="s">
        <v>596</v>
      </c>
      <c r="U36" s="83" t="str">
        <f>HYPERLINK("https://pbs.twimg.com/media/FSc09v5aQAAY6bm.jpg")</f>
        <v>https://pbs.twimg.com/media/FSc09v5aQAAY6bm.jpg</v>
      </c>
      <c r="V36" s="83" t="str">
        <f>HYPERLINK("https://pbs.twimg.com/media/FSc09v5aQAAY6bm.jpg")</f>
        <v>https://pbs.twimg.com/media/FSc09v5aQAAY6bm.jpg</v>
      </c>
      <c r="W36" s="82">
        <v>44693.085173611114</v>
      </c>
      <c r="X36" s="87">
        <v>44693</v>
      </c>
      <c r="Y36" s="85" t="s">
        <v>613</v>
      </c>
      <c r="Z36" s="83" t="str">
        <f>HYPERLINK("https://twitter.com/satvirsohi5/status/1524570721917476865")</f>
        <v>https://twitter.com/satvirsohi5/status/1524570721917476865</v>
      </c>
      <c r="AA36" s="80"/>
      <c r="AB36" s="80"/>
      <c r="AC36" s="85" t="s">
        <v>667</v>
      </c>
      <c r="AD36" s="80"/>
      <c r="AE36" s="80" t="b">
        <v>0</v>
      </c>
      <c r="AF36" s="80">
        <v>0</v>
      </c>
      <c r="AG36" s="85" t="s">
        <v>267</v>
      </c>
      <c r="AH36" s="80" t="b">
        <v>0</v>
      </c>
      <c r="AI36" s="80" t="s">
        <v>268</v>
      </c>
      <c r="AJ36" s="80"/>
      <c r="AK36" s="85" t="s">
        <v>267</v>
      </c>
      <c r="AL36" s="80" t="b">
        <v>0</v>
      </c>
      <c r="AM36" s="80">
        <v>19</v>
      </c>
      <c r="AN36" s="85" t="s">
        <v>696</v>
      </c>
      <c r="AO36" s="85" t="s">
        <v>271</v>
      </c>
      <c r="AP36" s="80" t="b">
        <v>0</v>
      </c>
      <c r="AQ36" s="85" t="s">
        <v>696</v>
      </c>
      <c r="AR36" s="80" t="s">
        <v>218</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547</v>
      </c>
      <c r="B37" s="65" t="s">
        <v>559</v>
      </c>
      <c r="C37" s="66" t="s">
        <v>514</v>
      </c>
      <c r="D37" s="67">
        <v>10</v>
      </c>
      <c r="E37" s="66"/>
      <c r="F37" s="69">
        <v>15</v>
      </c>
      <c r="G37" s="66"/>
      <c r="H37" s="70"/>
      <c r="I37" s="71"/>
      <c r="J37" s="71"/>
      <c r="K37" s="35" t="s">
        <v>65</v>
      </c>
      <c r="L37" s="72">
        <v>37</v>
      </c>
      <c r="M37" s="72"/>
      <c r="N37" s="73"/>
      <c r="O37" s="80" t="s">
        <v>263</v>
      </c>
      <c r="P37" s="82">
        <v>44693.085173611114</v>
      </c>
      <c r="Q37" s="80" t="s">
        <v>580</v>
      </c>
      <c r="R37" s="80"/>
      <c r="S37" s="80"/>
      <c r="T37" s="85" t="s">
        <v>596</v>
      </c>
      <c r="U37" s="83" t="str">
        <f>HYPERLINK("https://pbs.twimg.com/media/FSc09v5aQAAY6bm.jpg")</f>
        <v>https://pbs.twimg.com/media/FSc09v5aQAAY6bm.jpg</v>
      </c>
      <c r="V37" s="83" t="str">
        <f>HYPERLINK("https://pbs.twimg.com/media/FSc09v5aQAAY6bm.jpg")</f>
        <v>https://pbs.twimg.com/media/FSc09v5aQAAY6bm.jpg</v>
      </c>
      <c r="W37" s="82">
        <v>44693.085173611114</v>
      </c>
      <c r="X37" s="87">
        <v>44693</v>
      </c>
      <c r="Y37" s="85" t="s">
        <v>613</v>
      </c>
      <c r="Z37" s="83" t="str">
        <f>HYPERLINK("https://twitter.com/satvirsohi5/status/1524570721917476865")</f>
        <v>https://twitter.com/satvirsohi5/status/1524570721917476865</v>
      </c>
      <c r="AA37" s="80"/>
      <c r="AB37" s="80"/>
      <c r="AC37" s="85" t="s">
        <v>667</v>
      </c>
      <c r="AD37" s="80"/>
      <c r="AE37" s="80" t="b">
        <v>0</v>
      </c>
      <c r="AF37" s="80">
        <v>0</v>
      </c>
      <c r="AG37" s="85" t="s">
        <v>267</v>
      </c>
      <c r="AH37" s="80" t="b">
        <v>0</v>
      </c>
      <c r="AI37" s="80" t="s">
        <v>268</v>
      </c>
      <c r="AJ37" s="80"/>
      <c r="AK37" s="85" t="s">
        <v>267</v>
      </c>
      <c r="AL37" s="80" t="b">
        <v>0</v>
      </c>
      <c r="AM37" s="80">
        <v>19</v>
      </c>
      <c r="AN37" s="85" t="s">
        <v>696</v>
      </c>
      <c r="AO37" s="85" t="s">
        <v>271</v>
      </c>
      <c r="AP37" s="80" t="b">
        <v>0</v>
      </c>
      <c r="AQ37" s="85" t="s">
        <v>696</v>
      </c>
      <c r="AR37" s="80" t="s">
        <v>218</v>
      </c>
      <c r="AS37" s="80">
        <v>0</v>
      </c>
      <c r="AT37" s="80">
        <v>0</v>
      </c>
      <c r="AU37" s="80"/>
      <c r="AV37" s="80"/>
      <c r="AW37" s="80"/>
      <c r="AX37" s="80"/>
      <c r="AY37" s="80"/>
      <c r="AZ37" s="80"/>
      <c r="BA37" s="80"/>
      <c r="BB37" s="80"/>
      <c r="BC37" s="80">
        <v>2</v>
      </c>
      <c r="BD37" s="79" t="str">
        <f>REPLACE(INDEX(GroupVertices[Group],MATCH(Edges[[#This Row],[Vertex 1]],GroupVertices[Vertex],0)),1,1,"")</f>
        <v>1</v>
      </c>
      <c r="BE37" s="79" t="str">
        <f>REPLACE(INDEX(GroupVertices[Group],MATCH(Edges[[#This Row],[Vertex 2]],GroupVertices[Vertex],0)),1,1,"")</f>
        <v>2</v>
      </c>
      <c r="BF37" s="49">
        <v>0</v>
      </c>
      <c r="BG37" s="50">
        <v>0</v>
      </c>
      <c r="BH37" s="49">
        <v>5</v>
      </c>
      <c r="BI37" s="50">
        <v>12.820512820512821</v>
      </c>
      <c r="BJ37" s="49">
        <v>0</v>
      </c>
      <c r="BK37" s="50">
        <v>0</v>
      </c>
      <c r="BL37" s="49">
        <v>34</v>
      </c>
      <c r="BM37" s="50">
        <v>87.17948717948718</v>
      </c>
      <c r="BN37" s="49">
        <v>39</v>
      </c>
    </row>
    <row r="38" spans="1:66" ht="15">
      <c r="A38" s="65" t="s">
        <v>547</v>
      </c>
      <c r="B38" s="65" t="s">
        <v>519</v>
      </c>
      <c r="C38" s="66" t="s">
        <v>514</v>
      </c>
      <c r="D38" s="67">
        <v>10</v>
      </c>
      <c r="E38" s="66"/>
      <c r="F38" s="69">
        <v>15</v>
      </c>
      <c r="G38" s="66"/>
      <c r="H38" s="70"/>
      <c r="I38" s="71"/>
      <c r="J38" s="71"/>
      <c r="K38" s="35" t="s">
        <v>65</v>
      </c>
      <c r="L38" s="72">
        <v>38</v>
      </c>
      <c r="M38" s="72"/>
      <c r="N38" s="73"/>
      <c r="O38" s="80" t="s">
        <v>264</v>
      </c>
      <c r="P38" s="82">
        <v>44693.085277777776</v>
      </c>
      <c r="Q38" s="80" t="s">
        <v>581</v>
      </c>
      <c r="R38" s="80"/>
      <c r="S38" s="80"/>
      <c r="T38" s="80"/>
      <c r="U38" s="83" t="str">
        <f>HYPERLINK("https://pbs.twimg.com/ext_tw_video_thumb/1524368758437216256/pu/img/3UwSYL_0rta3dEGi.jpg")</f>
        <v>https://pbs.twimg.com/ext_tw_video_thumb/1524368758437216256/pu/img/3UwSYL_0rta3dEGi.jpg</v>
      </c>
      <c r="V38" s="83" t="str">
        <f>HYPERLINK("https://pbs.twimg.com/ext_tw_video_thumb/1524368758437216256/pu/img/3UwSYL_0rta3dEGi.jpg")</f>
        <v>https://pbs.twimg.com/ext_tw_video_thumb/1524368758437216256/pu/img/3UwSYL_0rta3dEGi.jpg</v>
      </c>
      <c r="W38" s="82">
        <v>44693.085277777776</v>
      </c>
      <c r="X38" s="87">
        <v>44693</v>
      </c>
      <c r="Y38" s="85" t="s">
        <v>614</v>
      </c>
      <c r="Z38" s="83" t="str">
        <f>HYPERLINK("https://twitter.com/satvirsohi5/status/1524570756797321218")</f>
        <v>https://twitter.com/satvirsohi5/status/1524570756797321218</v>
      </c>
      <c r="AA38" s="80"/>
      <c r="AB38" s="80"/>
      <c r="AC38" s="85" t="s">
        <v>668</v>
      </c>
      <c r="AD38" s="80"/>
      <c r="AE38" s="80" t="b">
        <v>0</v>
      </c>
      <c r="AF38" s="80">
        <v>0</v>
      </c>
      <c r="AG38" s="85" t="s">
        <v>267</v>
      </c>
      <c r="AH38" s="80" t="b">
        <v>0</v>
      </c>
      <c r="AI38" s="80" t="s">
        <v>268</v>
      </c>
      <c r="AJ38" s="80"/>
      <c r="AK38" s="85" t="s">
        <v>267</v>
      </c>
      <c r="AL38" s="80" t="b">
        <v>0</v>
      </c>
      <c r="AM38" s="80">
        <v>16</v>
      </c>
      <c r="AN38" s="85" t="s">
        <v>698</v>
      </c>
      <c r="AO38" s="85" t="s">
        <v>271</v>
      </c>
      <c r="AP38" s="80" t="b">
        <v>0</v>
      </c>
      <c r="AQ38" s="85" t="s">
        <v>698</v>
      </c>
      <c r="AR38" s="80" t="s">
        <v>218</v>
      </c>
      <c r="AS38" s="80">
        <v>0</v>
      </c>
      <c r="AT38" s="80">
        <v>0</v>
      </c>
      <c r="AU38" s="80"/>
      <c r="AV38" s="80"/>
      <c r="AW38" s="80"/>
      <c r="AX38" s="80"/>
      <c r="AY38" s="80"/>
      <c r="AZ38" s="80"/>
      <c r="BA38" s="80"/>
      <c r="BB38" s="80"/>
      <c r="BC38" s="80">
        <v>2</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547</v>
      </c>
      <c r="B39" s="65" t="s">
        <v>559</v>
      </c>
      <c r="C39" s="66" t="s">
        <v>514</v>
      </c>
      <c r="D39" s="67">
        <v>10</v>
      </c>
      <c r="E39" s="66"/>
      <c r="F39" s="69">
        <v>15</v>
      </c>
      <c r="G39" s="66"/>
      <c r="H39" s="70"/>
      <c r="I39" s="71"/>
      <c r="J39" s="71"/>
      <c r="K39" s="35" t="s">
        <v>65</v>
      </c>
      <c r="L39" s="72">
        <v>39</v>
      </c>
      <c r="M39" s="72"/>
      <c r="N39" s="73"/>
      <c r="O39" s="80" t="s">
        <v>263</v>
      </c>
      <c r="P39" s="82">
        <v>44693.085277777776</v>
      </c>
      <c r="Q39" s="80" t="s">
        <v>581</v>
      </c>
      <c r="R39" s="80"/>
      <c r="S39" s="80"/>
      <c r="T39" s="80"/>
      <c r="U39" s="83" t="str">
        <f>HYPERLINK("https://pbs.twimg.com/ext_tw_video_thumb/1524368758437216256/pu/img/3UwSYL_0rta3dEGi.jpg")</f>
        <v>https://pbs.twimg.com/ext_tw_video_thumb/1524368758437216256/pu/img/3UwSYL_0rta3dEGi.jpg</v>
      </c>
      <c r="V39" s="83" t="str">
        <f>HYPERLINK("https://pbs.twimg.com/ext_tw_video_thumb/1524368758437216256/pu/img/3UwSYL_0rta3dEGi.jpg")</f>
        <v>https://pbs.twimg.com/ext_tw_video_thumb/1524368758437216256/pu/img/3UwSYL_0rta3dEGi.jpg</v>
      </c>
      <c r="W39" s="82">
        <v>44693.085277777776</v>
      </c>
      <c r="X39" s="87">
        <v>44693</v>
      </c>
      <c r="Y39" s="85" t="s">
        <v>614</v>
      </c>
      <c r="Z39" s="83" t="str">
        <f>HYPERLINK("https://twitter.com/satvirsohi5/status/1524570756797321218")</f>
        <v>https://twitter.com/satvirsohi5/status/1524570756797321218</v>
      </c>
      <c r="AA39" s="80"/>
      <c r="AB39" s="80"/>
      <c r="AC39" s="85" t="s">
        <v>668</v>
      </c>
      <c r="AD39" s="80"/>
      <c r="AE39" s="80" t="b">
        <v>0</v>
      </c>
      <c r="AF39" s="80">
        <v>0</v>
      </c>
      <c r="AG39" s="85" t="s">
        <v>267</v>
      </c>
      <c r="AH39" s="80" t="b">
        <v>0</v>
      </c>
      <c r="AI39" s="80" t="s">
        <v>268</v>
      </c>
      <c r="AJ39" s="80"/>
      <c r="AK39" s="85" t="s">
        <v>267</v>
      </c>
      <c r="AL39" s="80" t="b">
        <v>0</v>
      </c>
      <c r="AM39" s="80">
        <v>16</v>
      </c>
      <c r="AN39" s="85" t="s">
        <v>698</v>
      </c>
      <c r="AO39" s="85" t="s">
        <v>271</v>
      </c>
      <c r="AP39" s="80" t="b">
        <v>0</v>
      </c>
      <c r="AQ39" s="85" t="s">
        <v>698</v>
      </c>
      <c r="AR39" s="80" t="s">
        <v>218</v>
      </c>
      <c r="AS39" s="80">
        <v>0</v>
      </c>
      <c r="AT39" s="80">
        <v>0</v>
      </c>
      <c r="AU39" s="80"/>
      <c r="AV39" s="80"/>
      <c r="AW39" s="80"/>
      <c r="AX39" s="80"/>
      <c r="AY39" s="80"/>
      <c r="AZ39" s="80"/>
      <c r="BA39" s="80"/>
      <c r="BB39" s="80"/>
      <c r="BC39" s="80">
        <v>2</v>
      </c>
      <c r="BD39" s="79" t="str">
        <f>REPLACE(INDEX(GroupVertices[Group],MATCH(Edges[[#This Row],[Vertex 1]],GroupVertices[Vertex],0)),1,1,"")</f>
        <v>1</v>
      </c>
      <c r="BE39" s="79" t="str">
        <f>REPLACE(INDEX(GroupVertices[Group],MATCH(Edges[[#This Row],[Vertex 2]],GroupVertices[Vertex],0)),1,1,"")</f>
        <v>2</v>
      </c>
      <c r="BF39" s="49">
        <v>0</v>
      </c>
      <c r="BG39" s="50">
        <v>0</v>
      </c>
      <c r="BH39" s="49">
        <v>2</v>
      </c>
      <c r="BI39" s="50">
        <v>4.651162790697675</v>
      </c>
      <c r="BJ39" s="49">
        <v>0</v>
      </c>
      <c r="BK39" s="50">
        <v>0</v>
      </c>
      <c r="BL39" s="49">
        <v>41</v>
      </c>
      <c r="BM39" s="50">
        <v>95.34883720930233</v>
      </c>
      <c r="BN39" s="49">
        <v>43</v>
      </c>
    </row>
    <row r="40" spans="1:66" ht="15">
      <c r="A40" s="65" t="s">
        <v>548</v>
      </c>
      <c r="B40" s="65" t="s">
        <v>519</v>
      </c>
      <c r="C40" s="66" t="s">
        <v>514</v>
      </c>
      <c r="D40" s="67">
        <v>10</v>
      </c>
      <c r="E40" s="66"/>
      <c r="F40" s="69">
        <v>15</v>
      </c>
      <c r="G40" s="66"/>
      <c r="H40" s="70"/>
      <c r="I40" s="71"/>
      <c r="J40" s="71"/>
      <c r="K40" s="35" t="s">
        <v>65</v>
      </c>
      <c r="L40" s="72">
        <v>40</v>
      </c>
      <c r="M40" s="72"/>
      <c r="N40" s="73"/>
      <c r="O40" s="80" t="s">
        <v>264</v>
      </c>
      <c r="P40" s="82">
        <v>44692.214108796295</v>
      </c>
      <c r="Q40" s="80" t="s">
        <v>580</v>
      </c>
      <c r="R40" s="80"/>
      <c r="S40" s="80"/>
      <c r="T40" s="85" t="s">
        <v>596</v>
      </c>
      <c r="U40" s="83" t="str">
        <f>HYPERLINK("https://pbs.twimg.com/media/FSc09v5aQAAY6bm.jpg")</f>
        <v>https://pbs.twimg.com/media/FSc09v5aQAAY6bm.jpg</v>
      </c>
      <c r="V40" s="83" t="str">
        <f>HYPERLINK("https://pbs.twimg.com/media/FSc09v5aQAAY6bm.jpg")</f>
        <v>https://pbs.twimg.com/media/FSc09v5aQAAY6bm.jpg</v>
      </c>
      <c r="W40" s="82">
        <v>44692.214108796295</v>
      </c>
      <c r="X40" s="87">
        <v>44692</v>
      </c>
      <c r="Y40" s="85" t="s">
        <v>615</v>
      </c>
      <c r="Z40" s="83" t="str">
        <f>HYPERLINK("https://twitter.com/fenilsavani/status/1524255057029758976")</f>
        <v>https://twitter.com/fenilsavani/status/1524255057029758976</v>
      </c>
      <c r="AA40" s="80"/>
      <c r="AB40" s="80"/>
      <c r="AC40" s="85" t="s">
        <v>669</v>
      </c>
      <c r="AD40" s="80"/>
      <c r="AE40" s="80" t="b">
        <v>0</v>
      </c>
      <c r="AF40" s="80">
        <v>0</v>
      </c>
      <c r="AG40" s="85" t="s">
        <v>267</v>
      </c>
      <c r="AH40" s="80" t="b">
        <v>0</v>
      </c>
      <c r="AI40" s="80" t="s">
        <v>268</v>
      </c>
      <c r="AJ40" s="80"/>
      <c r="AK40" s="85" t="s">
        <v>267</v>
      </c>
      <c r="AL40" s="80" t="b">
        <v>0</v>
      </c>
      <c r="AM40" s="80">
        <v>19</v>
      </c>
      <c r="AN40" s="85" t="s">
        <v>696</v>
      </c>
      <c r="AO40" s="85" t="s">
        <v>270</v>
      </c>
      <c r="AP40" s="80" t="b">
        <v>0</v>
      </c>
      <c r="AQ40" s="85" t="s">
        <v>696</v>
      </c>
      <c r="AR40" s="80" t="s">
        <v>218</v>
      </c>
      <c r="AS40" s="80">
        <v>0</v>
      </c>
      <c r="AT40" s="80">
        <v>0</v>
      </c>
      <c r="AU40" s="80"/>
      <c r="AV40" s="80"/>
      <c r="AW40" s="80"/>
      <c r="AX40" s="80"/>
      <c r="AY40" s="80"/>
      <c r="AZ40" s="80"/>
      <c r="BA40" s="80"/>
      <c r="BB40" s="80"/>
      <c r="BC40" s="80">
        <v>2</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548</v>
      </c>
      <c r="B41" s="65" t="s">
        <v>258</v>
      </c>
      <c r="C41" s="66" t="s">
        <v>513</v>
      </c>
      <c r="D41" s="67">
        <v>5</v>
      </c>
      <c r="E41" s="66"/>
      <c r="F41" s="69">
        <v>50</v>
      </c>
      <c r="G41" s="66"/>
      <c r="H41" s="70"/>
      <c r="I41" s="71"/>
      <c r="J41" s="71"/>
      <c r="K41" s="35" t="s">
        <v>65</v>
      </c>
      <c r="L41" s="72">
        <v>41</v>
      </c>
      <c r="M41" s="72"/>
      <c r="N41" s="73"/>
      <c r="O41" s="80" t="s">
        <v>264</v>
      </c>
      <c r="P41" s="82">
        <v>44692.214108796295</v>
      </c>
      <c r="Q41" s="80" t="s">
        <v>580</v>
      </c>
      <c r="R41" s="80"/>
      <c r="S41" s="80"/>
      <c r="T41" s="85" t="s">
        <v>596</v>
      </c>
      <c r="U41" s="83" t="str">
        <f>HYPERLINK("https://pbs.twimg.com/media/FSc09v5aQAAY6bm.jpg")</f>
        <v>https://pbs.twimg.com/media/FSc09v5aQAAY6bm.jpg</v>
      </c>
      <c r="V41" s="83" t="str">
        <f>HYPERLINK("https://pbs.twimg.com/media/FSc09v5aQAAY6bm.jpg")</f>
        <v>https://pbs.twimg.com/media/FSc09v5aQAAY6bm.jpg</v>
      </c>
      <c r="W41" s="82">
        <v>44692.214108796295</v>
      </c>
      <c r="X41" s="87">
        <v>44692</v>
      </c>
      <c r="Y41" s="85" t="s">
        <v>615</v>
      </c>
      <c r="Z41" s="83" t="str">
        <f>HYPERLINK("https://twitter.com/fenilsavani/status/1524255057029758976")</f>
        <v>https://twitter.com/fenilsavani/status/1524255057029758976</v>
      </c>
      <c r="AA41" s="80"/>
      <c r="AB41" s="80"/>
      <c r="AC41" s="85" t="s">
        <v>669</v>
      </c>
      <c r="AD41" s="80"/>
      <c r="AE41" s="80" t="b">
        <v>0</v>
      </c>
      <c r="AF41" s="80">
        <v>0</v>
      </c>
      <c r="AG41" s="85" t="s">
        <v>267</v>
      </c>
      <c r="AH41" s="80" t="b">
        <v>0</v>
      </c>
      <c r="AI41" s="80" t="s">
        <v>268</v>
      </c>
      <c r="AJ41" s="80"/>
      <c r="AK41" s="85" t="s">
        <v>267</v>
      </c>
      <c r="AL41" s="80" t="b">
        <v>0</v>
      </c>
      <c r="AM41" s="80">
        <v>19</v>
      </c>
      <c r="AN41" s="85" t="s">
        <v>696</v>
      </c>
      <c r="AO41" s="85" t="s">
        <v>270</v>
      </c>
      <c r="AP41" s="80" t="b">
        <v>0</v>
      </c>
      <c r="AQ41" s="85" t="s">
        <v>696</v>
      </c>
      <c r="AR41" s="80" t="s">
        <v>218</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548</v>
      </c>
      <c r="B42" s="65" t="s">
        <v>559</v>
      </c>
      <c r="C42" s="66" t="s">
        <v>514</v>
      </c>
      <c r="D42" s="67">
        <v>10</v>
      </c>
      <c r="E42" s="66"/>
      <c r="F42" s="69">
        <v>15</v>
      </c>
      <c r="G42" s="66"/>
      <c r="H42" s="70"/>
      <c r="I42" s="71"/>
      <c r="J42" s="71"/>
      <c r="K42" s="35" t="s">
        <v>65</v>
      </c>
      <c r="L42" s="72">
        <v>42</v>
      </c>
      <c r="M42" s="72"/>
      <c r="N42" s="73"/>
      <c r="O42" s="80" t="s">
        <v>263</v>
      </c>
      <c r="P42" s="82">
        <v>44692.214108796295</v>
      </c>
      <c r="Q42" s="80" t="s">
        <v>580</v>
      </c>
      <c r="R42" s="80"/>
      <c r="S42" s="80"/>
      <c r="T42" s="85" t="s">
        <v>596</v>
      </c>
      <c r="U42" s="83" t="str">
        <f>HYPERLINK("https://pbs.twimg.com/media/FSc09v5aQAAY6bm.jpg")</f>
        <v>https://pbs.twimg.com/media/FSc09v5aQAAY6bm.jpg</v>
      </c>
      <c r="V42" s="83" t="str">
        <f>HYPERLINK("https://pbs.twimg.com/media/FSc09v5aQAAY6bm.jpg")</f>
        <v>https://pbs.twimg.com/media/FSc09v5aQAAY6bm.jpg</v>
      </c>
      <c r="W42" s="82">
        <v>44692.214108796295</v>
      </c>
      <c r="X42" s="87">
        <v>44692</v>
      </c>
      <c r="Y42" s="85" t="s">
        <v>615</v>
      </c>
      <c r="Z42" s="83" t="str">
        <f>HYPERLINK("https://twitter.com/fenilsavani/status/1524255057029758976")</f>
        <v>https://twitter.com/fenilsavani/status/1524255057029758976</v>
      </c>
      <c r="AA42" s="80"/>
      <c r="AB42" s="80"/>
      <c r="AC42" s="85" t="s">
        <v>669</v>
      </c>
      <c r="AD42" s="80"/>
      <c r="AE42" s="80" t="b">
        <v>0</v>
      </c>
      <c r="AF42" s="80">
        <v>0</v>
      </c>
      <c r="AG42" s="85" t="s">
        <v>267</v>
      </c>
      <c r="AH42" s="80" t="b">
        <v>0</v>
      </c>
      <c r="AI42" s="80" t="s">
        <v>268</v>
      </c>
      <c r="AJ42" s="80"/>
      <c r="AK42" s="85" t="s">
        <v>267</v>
      </c>
      <c r="AL42" s="80" t="b">
        <v>0</v>
      </c>
      <c r="AM42" s="80">
        <v>19</v>
      </c>
      <c r="AN42" s="85" t="s">
        <v>696</v>
      </c>
      <c r="AO42" s="85" t="s">
        <v>270</v>
      </c>
      <c r="AP42" s="80" t="b">
        <v>0</v>
      </c>
      <c r="AQ42" s="85" t="s">
        <v>696</v>
      </c>
      <c r="AR42" s="80" t="s">
        <v>218</v>
      </c>
      <c r="AS42" s="80">
        <v>0</v>
      </c>
      <c r="AT42" s="80">
        <v>0</v>
      </c>
      <c r="AU42" s="80"/>
      <c r="AV42" s="80"/>
      <c r="AW42" s="80"/>
      <c r="AX42" s="80"/>
      <c r="AY42" s="80"/>
      <c r="AZ42" s="80"/>
      <c r="BA42" s="80"/>
      <c r="BB42" s="80"/>
      <c r="BC42" s="80">
        <v>2</v>
      </c>
      <c r="BD42" s="79" t="str">
        <f>REPLACE(INDEX(GroupVertices[Group],MATCH(Edges[[#This Row],[Vertex 1]],GroupVertices[Vertex],0)),1,1,"")</f>
        <v>1</v>
      </c>
      <c r="BE42" s="79" t="str">
        <f>REPLACE(INDEX(GroupVertices[Group],MATCH(Edges[[#This Row],[Vertex 2]],GroupVertices[Vertex],0)),1,1,"")</f>
        <v>2</v>
      </c>
      <c r="BF42" s="49">
        <v>0</v>
      </c>
      <c r="BG42" s="50">
        <v>0</v>
      </c>
      <c r="BH42" s="49">
        <v>5</v>
      </c>
      <c r="BI42" s="50">
        <v>12.820512820512821</v>
      </c>
      <c r="BJ42" s="49">
        <v>0</v>
      </c>
      <c r="BK42" s="50">
        <v>0</v>
      </c>
      <c r="BL42" s="49">
        <v>34</v>
      </c>
      <c r="BM42" s="50">
        <v>87.17948717948718</v>
      </c>
      <c r="BN42" s="49">
        <v>39</v>
      </c>
    </row>
    <row r="43" spans="1:66" ht="15">
      <c r="A43" s="65" t="s">
        <v>548</v>
      </c>
      <c r="B43" s="65" t="s">
        <v>519</v>
      </c>
      <c r="C43" s="66" t="s">
        <v>514</v>
      </c>
      <c r="D43" s="67">
        <v>10</v>
      </c>
      <c r="E43" s="66"/>
      <c r="F43" s="69">
        <v>15</v>
      </c>
      <c r="G43" s="66"/>
      <c r="H43" s="70"/>
      <c r="I43" s="71"/>
      <c r="J43" s="71"/>
      <c r="K43" s="35" t="s">
        <v>65</v>
      </c>
      <c r="L43" s="72">
        <v>43</v>
      </c>
      <c r="M43" s="72"/>
      <c r="N43" s="73"/>
      <c r="O43" s="80" t="s">
        <v>264</v>
      </c>
      <c r="P43" s="82">
        <v>44693.19017361111</v>
      </c>
      <c r="Q43" s="80" t="s">
        <v>581</v>
      </c>
      <c r="R43" s="80"/>
      <c r="S43" s="80"/>
      <c r="T43" s="80"/>
      <c r="U43" s="83" t="str">
        <f>HYPERLINK("https://pbs.twimg.com/ext_tw_video_thumb/1524368758437216256/pu/img/3UwSYL_0rta3dEGi.jpg")</f>
        <v>https://pbs.twimg.com/ext_tw_video_thumb/1524368758437216256/pu/img/3UwSYL_0rta3dEGi.jpg</v>
      </c>
      <c r="V43" s="83" t="str">
        <f>HYPERLINK("https://pbs.twimg.com/ext_tw_video_thumb/1524368758437216256/pu/img/3UwSYL_0rta3dEGi.jpg")</f>
        <v>https://pbs.twimg.com/ext_tw_video_thumb/1524368758437216256/pu/img/3UwSYL_0rta3dEGi.jpg</v>
      </c>
      <c r="W43" s="82">
        <v>44693.19017361111</v>
      </c>
      <c r="X43" s="87">
        <v>44693</v>
      </c>
      <c r="Y43" s="85" t="s">
        <v>616</v>
      </c>
      <c r="Z43" s="83" t="str">
        <f>HYPERLINK("https://twitter.com/fenilsavani/status/1524608769178890240")</f>
        <v>https://twitter.com/fenilsavani/status/1524608769178890240</v>
      </c>
      <c r="AA43" s="80"/>
      <c r="AB43" s="80"/>
      <c r="AC43" s="85" t="s">
        <v>670</v>
      </c>
      <c r="AD43" s="80"/>
      <c r="AE43" s="80" t="b">
        <v>0</v>
      </c>
      <c r="AF43" s="80">
        <v>0</v>
      </c>
      <c r="AG43" s="85" t="s">
        <v>267</v>
      </c>
      <c r="AH43" s="80" t="b">
        <v>0</v>
      </c>
      <c r="AI43" s="80" t="s">
        <v>268</v>
      </c>
      <c r="AJ43" s="80"/>
      <c r="AK43" s="85" t="s">
        <v>267</v>
      </c>
      <c r="AL43" s="80" t="b">
        <v>0</v>
      </c>
      <c r="AM43" s="80">
        <v>16</v>
      </c>
      <c r="AN43" s="85" t="s">
        <v>698</v>
      </c>
      <c r="AO43" s="85" t="s">
        <v>270</v>
      </c>
      <c r="AP43" s="80" t="b">
        <v>0</v>
      </c>
      <c r="AQ43" s="85" t="s">
        <v>698</v>
      </c>
      <c r="AR43" s="80" t="s">
        <v>218</v>
      </c>
      <c r="AS43" s="80">
        <v>0</v>
      </c>
      <c r="AT43" s="80">
        <v>0</v>
      </c>
      <c r="AU43" s="80"/>
      <c r="AV43" s="80"/>
      <c r="AW43" s="80"/>
      <c r="AX43" s="80"/>
      <c r="AY43" s="80"/>
      <c r="AZ43" s="80"/>
      <c r="BA43" s="80"/>
      <c r="BB43" s="80"/>
      <c r="BC43" s="80">
        <v>2</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548</v>
      </c>
      <c r="B44" s="65" t="s">
        <v>559</v>
      </c>
      <c r="C44" s="66" t="s">
        <v>514</v>
      </c>
      <c r="D44" s="67">
        <v>10</v>
      </c>
      <c r="E44" s="66"/>
      <c r="F44" s="69">
        <v>15</v>
      </c>
      <c r="G44" s="66"/>
      <c r="H44" s="70"/>
      <c r="I44" s="71"/>
      <c r="J44" s="71"/>
      <c r="K44" s="35" t="s">
        <v>65</v>
      </c>
      <c r="L44" s="72">
        <v>44</v>
      </c>
      <c r="M44" s="72"/>
      <c r="N44" s="73"/>
      <c r="O44" s="80" t="s">
        <v>263</v>
      </c>
      <c r="P44" s="82">
        <v>44693.19017361111</v>
      </c>
      <c r="Q44" s="80" t="s">
        <v>581</v>
      </c>
      <c r="R44" s="80"/>
      <c r="S44" s="80"/>
      <c r="T44" s="80"/>
      <c r="U44" s="83" t="str">
        <f>HYPERLINK("https://pbs.twimg.com/ext_tw_video_thumb/1524368758437216256/pu/img/3UwSYL_0rta3dEGi.jpg")</f>
        <v>https://pbs.twimg.com/ext_tw_video_thumb/1524368758437216256/pu/img/3UwSYL_0rta3dEGi.jpg</v>
      </c>
      <c r="V44" s="83" t="str">
        <f>HYPERLINK("https://pbs.twimg.com/ext_tw_video_thumb/1524368758437216256/pu/img/3UwSYL_0rta3dEGi.jpg")</f>
        <v>https://pbs.twimg.com/ext_tw_video_thumb/1524368758437216256/pu/img/3UwSYL_0rta3dEGi.jpg</v>
      </c>
      <c r="W44" s="82">
        <v>44693.19017361111</v>
      </c>
      <c r="X44" s="87">
        <v>44693</v>
      </c>
      <c r="Y44" s="85" t="s">
        <v>616</v>
      </c>
      <c r="Z44" s="83" t="str">
        <f>HYPERLINK("https://twitter.com/fenilsavani/status/1524608769178890240")</f>
        <v>https://twitter.com/fenilsavani/status/1524608769178890240</v>
      </c>
      <c r="AA44" s="80"/>
      <c r="AB44" s="80"/>
      <c r="AC44" s="85" t="s">
        <v>670</v>
      </c>
      <c r="AD44" s="80"/>
      <c r="AE44" s="80" t="b">
        <v>0</v>
      </c>
      <c r="AF44" s="80">
        <v>0</v>
      </c>
      <c r="AG44" s="85" t="s">
        <v>267</v>
      </c>
      <c r="AH44" s="80" t="b">
        <v>0</v>
      </c>
      <c r="AI44" s="80" t="s">
        <v>268</v>
      </c>
      <c r="AJ44" s="80"/>
      <c r="AK44" s="85" t="s">
        <v>267</v>
      </c>
      <c r="AL44" s="80" t="b">
        <v>0</v>
      </c>
      <c r="AM44" s="80">
        <v>16</v>
      </c>
      <c r="AN44" s="85" t="s">
        <v>698</v>
      </c>
      <c r="AO44" s="85" t="s">
        <v>270</v>
      </c>
      <c r="AP44" s="80" t="b">
        <v>0</v>
      </c>
      <c r="AQ44" s="85" t="s">
        <v>698</v>
      </c>
      <c r="AR44" s="80" t="s">
        <v>218</v>
      </c>
      <c r="AS44" s="80">
        <v>0</v>
      </c>
      <c r="AT44" s="80">
        <v>0</v>
      </c>
      <c r="AU44" s="80"/>
      <c r="AV44" s="80"/>
      <c r="AW44" s="80"/>
      <c r="AX44" s="80"/>
      <c r="AY44" s="80"/>
      <c r="AZ44" s="80"/>
      <c r="BA44" s="80"/>
      <c r="BB44" s="80"/>
      <c r="BC44" s="80">
        <v>2</v>
      </c>
      <c r="BD44" s="79" t="str">
        <f>REPLACE(INDEX(GroupVertices[Group],MATCH(Edges[[#This Row],[Vertex 1]],GroupVertices[Vertex],0)),1,1,"")</f>
        <v>1</v>
      </c>
      <c r="BE44" s="79" t="str">
        <f>REPLACE(INDEX(GroupVertices[Group],MATCH(Edges[[#This Row],[Vertex 2]],GroupVertices[Vertex],0)),1,1,"")</f>
        <v>2</v>
      </c>
      <c r="BF44" s="49">
        <v>0</v>
      </c>
      <c r="BG44" s="50">
        <v>0</v>
      </c>
      <c r="BH44" s="49">
        <v>2</v>
      </c>
      <c r="BI44" s="50">
        <v>4.651162790697675</v>
      </c>
      <c r="BJ44" s="49">
        <v>0</v>
      </c>
      <c r="BK44" s="50">
        <v>0</v>
      </c>
      <c r="BL44" s="49">
        <v>41</v>
      </c>
      <c r="BM44" s="50">
        <v>95.34883720930233</v>
      </c>
      <c r="BN44" s="49">
        <v>43</v>
      </c>
    </row>
    <row r="45" spans="1:66" ht="15">
      <c r="A45" s="65" t="s">
        <v>549</v>
      </c>
      <c r="B45" s="65" t="s">
        <v>519</v>
      </c>
      <c r="C45" s="66" t="s">
        <v>514</v>
      </c>
      <c r="D45" s="67">
        <v>10</v>
      </c>
      <c r="E45" s="66"/>
      <c r="F45" s="69">
        <v>15</v>
      </c>
      <c r="G45" s="66"/>
      <c r="H45" s="70"/>
      <c r="I45" s="71"/>
      <c r="J45" s="71"/>
      <c r="K45" s="35" t="s">
        <v>65</v>
      </c>
      <c r="L45" s="72">
        <v>45</v>
      </c>
      <c r="M45" s="72"/>
      <c r="N45" s="73"/>
      <c r="O45" s="80" t="s">
        <v>264</v>
      </c>
      <c r="P45" s="82">
        <v>44693.2059375</v>
      </c>
      <c r="Q45" s="80" t="s">
        <v>581</v>
      </c>
      <c r="R45" s="80"/>
      <c r="S45" s="80"/>
      <c r="T45" s="80"/>
      <c r="U45" s="83" t="str">
        <f>HYPERLINK("https://pbs.twimg.com/ext_tw_video_thumb/1524368758437216256/pu/img/3UwSYL_0rta3dEGi.jpg")</f>
        <v>https://pbs.twimg.com/ext_tw_video_thumb/1524368758437216256/pu/img/3UwSYL_0rta3dEGi.jpg</v>
      </c>
      <c r="V45" s="83" t="str">
        <f>HYPERLINK("https://pbs.twimg.com/ext_tw_video_thumb/1524368758437216256/pu/img/3UwSYL_0rta3dEGi.jpg")</f>
        <v>https://pbs.twimg.com/ext_tw_video_thumb/1524368758437216256/pu/img/3UwSYL_0rta3dEGi.jpg</v>
      </c>
      <c r="W45" s="82">
        <v>44693.2059375</v>
      </c>
      <c r="X45" s="87">
        <v>44693</v>
      </c>
      <c r="Y45" s="85" t="s">
        <v>617</v>
      </c>
      <c r="Z45" s="83" t="str">
        <f>HYPERLINK("https://twitter.com/reenapu64276812/status/1524614483087290368")</f>
        <v>https://twitter.com/reenapu64276812/status/1524614483087290368</v>
      </c>
      <c r="AA45" s="80"/>
      <c r="AB45" s="80"/>
      <c r="AC45" s="85" t="s">
        <v>671</v>
      </c>
      <c r="AD45" s="80"/>
      <c r="AE45" s="80" t="b">
        <v>0</v>
      </c>
      <c r="AF45" s="80">
        <v>0</v>
      </c>
      <c r="AG45" s="85" t="s">
        <v>267</v>
      </c>
      <c r="AH45" s="80" t="b">
        <v>0</v>
      </c>
      <c r="AI45" s="80" t="s">
        <v>268</v>
      </c>
      <c r="AJ45" s="80"/>
      <c r="AK45" s="85" t="s">
        <v>267</v>
      </c>
      <c r="AL45" s="80" t="b">
        <v>0</v>
      </c>
      <c r="AM45" s="80">
        <v>16</v>
      </c>
      <c r="AN45" s="85" t="s">
        <v>698</v>
      </c>
      <c r="AO45" s="85" t="s">
        <v>271</v>
      </c>
      <c r="AP45" s="80" t="b">
        <v>0</v>
      </c>
      <c r="AQ45" s="85" t="s">
        <v>698</v>
      </c>
      <c r="AR45" s="80" t="s">
        <v>218</v>
      </c>
      <c r="AS45" s="80">
        <v>0</v>
      </c>
      <c r="AT45" s="80">
        <v>0</v>
      </c>
      <c r="AU45" s="80"/>
      <c r="AV45" s="80"/>
      <c r="AW45" s="80"/>
      <c r="AX45" s="80"/>
      <c r="AY45" s="80"/>
      <c r="AZ45" s="80"/>
      <c r="BA45" s="80"/>
      <c r="BB45" s="80"/>
      <c r="BC45" s="80">
        <v>2</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549</v>
      </c>
      <c r="B46" s="65" t="s">
        <v>559</v>
      </c>
      <c r="C46" s="66" t="s">
        <v>514</v>
      </c>
      <c r="D46" s="67">
        <v>10</v>
      </c>
      <c r="E46" s="66"/>
      <c r="F46" s="69">
        <v>15</v>
      </c>
      <c r="G46" s="66"/>
      <c r="H46" s="70"/>
      <c r="I46" s="71"/>
      <c r="J46" s="71"/>
      <c r="K46" s="35" t="s">
        <v>65</v>
      </c>
      <c r="L46" s="72">
        <v>46</v>
      </c>
      <c r="M46" s="72"/>
      <c r="N46" s="73"/>
      <c r="O46" s="80" t="s">
        <v>263</v>
      </c>
      <c r="P46" s="82">
        <v>44693.2059375</v>
      </c>
      <c r="Q46" s="80" t="s">
        <v>581</v>
      </c>
      <c r="R46" s="80"/>
      <c r="S46" s="80"/>
      <c r="T46" s="80"/>
      <c r="U46" s="83" t="str">
        <f>HYPERLINK("https://pbs.twimg.com/ext_tw_video_thumb/1524368758437216256/pu/img/3UwSYL_0rta3dEGi.jpg")</f>
        <v>https://pbs.twimg.com/ext_tw_video_thumb/1524368758437216256/pu/img/3UwSYL_0rta3dEGi.jpg</v>
      </c>
      <c r="V46" s="83" t="str">
        <f>HYPERLINK("https://pbs.twimg.com/ext_tw_video_thumb/1524368758437216256/pu/img/3UwSYL_0rta3dEGi.jpg")</f>
        <v>https://pbs.twimg.com/ext_tw_video_thumb/1524368758437216256/pu/img/3UwSYL_0rta3dEGi.jpg</v>
      </c>
      <c r="W46" s="82">
        <v>44693.2059375</v>
      </c>
      <c r="X46" s="87">
        <v>44693</v>
      </c>
      <c r="Y46" s="85" t="s">
        <v>617</v>
      </c>
      <c r="Z46" s="83" t="str">
        <f>HYPERLINK("https://twitter.com/reenapu64276812/status/1524614483087290368")</f>
        <v>https://twitter.com/reenapu64276812/status/1524614483087290368</v>
      </c>
      <c r="AA46" s="80"/>
      <c r="AB46" s="80"/>
      <c r="AC46" s="85" t="s">
        <v>671</v>
      </c>
      <c r="AD46" s="80"/>
      <c r="AE46" s="80" t="b">
        <v>0</v>
      </c>
      <c r="AF46" s="80">
        <v>0</v>
      </c>
      <c r="AG46" s="85" t="s">
        <v>267</v>
      </c>
      <c r="AH46" s="80" t="b">
        <v>0</v>
      </c>
      <c r="AI46" s="80" t="s">
        <v>268</v>
      </c>
      <c r="AJ46" s="80"/>
      <c r="AK46" s="85" t="s">
        <v>267</v>
      </c>
      <c r="AL46" s="80" t="b">
        <v>0</v>
      </c>
      <c r="AM46" s="80">
        <v>16</v>
      </c>
      <c r="AN46" s="85" t="s">
        <v>698</v>
      </c>
      <c r="AO46" s="85" t="s">
        <v>271</v>
      </c>
      <c r="AP46" s="80" t="b">
        <v>0</v>
      </c>
      <c r="AQ46" s="85" t="s">
        <v>698</v>
      </c>
      <c r="AR46" s="80" t="s">
        <v>218</v>
      </c>
      <c r="AS46" s="80">
        <v>0</v>
      </c>
      <c r="AT46" s="80">
        <v>0</v>
      </c>
      <c r="AU46" s="80"/>
      <c r="AV46" s="80"/>
      <c r="AW46" s="80"/>
      <c r="AX46" s="80"/>
      <c r="AY46" s="80"/>
      <c r="AZ46" s="80"/>
      <c r="BA46" s="80"/>
      <c r="BB46" s="80"/>
      <c r="BC46" s="80">
        <v>2</v>
      </c>
      <c r="BD46" s="79" t="str">
        <f>REPLACE(INDEX(GroupVertices[Group],MATCH(Edges[[#This Row],[Vertex 1]],GroupVertices[Vertex],0)),1,1,"")</f>
        <v>1</v>
      </c>
      <c r="BE46" s="79" t="str">
        <f>REPLACE(INDEX(GroupVertices[Group],MATCH(Edges[[#This Row],[Vertex 2]],GroupVertices[Vertex],0)),1,1,"")</f>
        <v>2</v>
      </c>
      <c r="BF46" s="49">
        <v>0</v>
      </c>
      <c r="BG46" s="50">
        <v>0</v>
      </c>
      <c r="BH46" s="49">
        <v>2</v>
      </c>
      <c r="BI46" s="50">
        <v>4.651162790697675</v>
      </c>
      <c r="BJ46" s="49">
        <v>0</v>
      </c>
      <c r="BK46" s="50">
        <v>0</v>
      </c>
      <c r="BL46" s="49">
        <v>41</v>
      </c>
      <c r="BM46" s="50">
        <v>95.34883720930233</v>
      </c>
      <c r="BN46" s="49">
        <v>43</v>
      </c>
    </row>
    <row r="47" spans="1:66" ht="15">
      <c r="A47" s="65" t="s">
        <v>549</v>
      </c>
      <c r="B47" s="65" t="s">
        <v>519</v>
      </c>
      <c r="C47" s="66" t="s">
        <v>514</v>
      </c>
      <c r="D47" s="67">
        <v>10</v>
      </c>
      <c r="E47" s="66"/>
      <c r="F47" s="69">
        <v>15</v>
      </c>
      <c r="G47" s="66"/>
      <c r="H47" s="70"/>
      <c r="I47" s="71"/>
      <c r="J47" s="71"/>
      <c r="K47" s="35" t="s">
        <v>65</v>
      </c>
      <c r="L47" s="72">
        <v>47</v>
      </c>
      <c r="M47" s="72"/>
      <c r="N47" s="73"/>
      <c r="O47" s="80" t="s">
        <v>264</v>
      </c>
      <c r="P47" s="82">
        <v>44693.20613425926</v>
      </c>
      <c r="Q47" s="80" t="s">
        <v>580</v>
      </c>
      <c r="R47" s="80"/>
      <c r="S47" s="80"/>
      <c r="T47" s="85" t="s">
        <v>596</v>
      </c>
      <c r="U47" s="83" t="str">
        <f>HYPERLINK("https://pbs.twimg.com/media/FSc09v5aQAAY6bm.jpg")</f>
        <v>https://pbs.twimg.com/media/FSc09v5aQAAY6bm.jpg</v>
      </c>
      <c r="V47" s="83" t="str">
        <f>HYPERLINK("https://pbs.twimg.com/media/FSc09v5aQAAY6bm.jpg")</f>
        <v>https://pbs.twimg.com/media/FSc09v5aQAAY6bm.jpg</v>
      </c>
      <c r="W47" s="82">
        <v>44693.20613425926</v>
      </c>
      <c r="X47" s="87">
        <v>44693</v>
      </c>
      <c r="Y47" s="85" t="s">
        <v>618</v>
      </c>
      <c r="Z47" s="83" t="str">
        <f>HYPERLINK("https://twitter.com/reenapu64276812/status/1524614554621161478")</f>
        <v>https://twitter.com/reenapu64276812/status/1524614554621161478</v>
      </c>
      <c r="AA47" s="80"/>
      <c r="AB47" s="80"/>
      <c r="AC47" s="85" t="s">
        <v>672</v>
      </c>
      <c r="AD47" s="80"/>
      <c r="AE47" s="80" t="b">
        <v>0</v>
      </c>
      <c r="AF47" s="80">
        <v>0</v>
      </c>
      <c r="AG47" s="85" t="s">
        <v>267</v>
      </c>
      <c r="AH47" s="80" t="b">
        <v>0</v>
      </c>
      <c r="AI47" s="80" t="s">
        <v>268</v>
      </c>
      <c r="AJ47" s="80"/>
      <c r="AK47" s="85" t="s">
        <v>267</v>
      </c>
      <c r="AL47" s="80" t="b">
        <v>0</v>
      </c>
      <c r="AM47" s="80">
        <v>19</v>
      </c>
      <c r="AN47" s="85" t="s">
        <v>696</v>
      </c>
      <c r="AO47" s="85" t="s">
        <v>271</v>
      </c>
      <c r="AP47" s="80" t="b">
        <v>0</v>
      </c>
      <c r="AQ47" s="85" t="s">
        <v>696</v>
      </c>
      <c r="AR47" s="80" t="s">
        <v>218</v>
      </c>
      <c r="AS47" s="80">
        <v>0</v>
      </c>
      <c r="AT47" s="80">
        <v>0</v>
      </c>
      <c r="AU47" s="80"/>
      <c r="AV47" s="80"/>
      <c r="AW47" s="80"/>
      <c r="AX47" s="80"/>
      <c r="AY47" s="80"/>
      <c r="AZ47" s="80"/>
      <c r="BA47" s="80"/>
      <c r="BB47" s="80"/>
      <c r="BC47" s="80">
        <v>2</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549</v>
      </c>
      <c r="B48" s="65" t="s">
        <v>258</v>
      </c>
      <c r="C48" s="66" t="s">
        <v>513</v>
      </c>
      <c r="D48" s="67">
        <v>5</v>
      </c>
      <c r="E48" s="66"/>
      <c r="F48" s="69">
        <v>50</v>
      </c>
      <c r="G48" s="66"/>
      <c r="H48" s="70"/>
      <c r="I48" s="71"/>
      <c r="J48" s="71"/>
      <c r="K48" s="35" t="s">
        <v>65</v>
      </c>
      <c r="L48" s="72">
        <v>48</v>
      </c>
      <c r="M48" s="72"/>
      <c r="N48" s="73"/>
      <c r="O48" s="80" t="s">
        <v>264</v>
      </c>
      <c r="P48" s="82">
        <v>44693.20613425926</v>
      </c>
      <c r="Q48" s="80" t="s">
        <v>580</v>
      </c>
      <c r="R48" s="80"/>
      <c r="S48" s="80"/>
      <c r="T48" s="85" t="s">
        <v>596</v>
      </c>
      <c r="U48" s="83" t="str">
        <f>HYPERLINK("https://pbs.twimg.com/media/FSc09v5aQAAY6bm.jpg")</f>
        <v>https://pbs.twimg.com/media/FSc09v5aQAAY6bm.jpg</v>
      </c>
      <c r="V48" s="83" t="str">
        <f>HYPERLINK("https://pbs.twimg.com/media/FSc09v5aQAAY6bm.jpg")</f>
        <v>https://pbs.twimg.com/media/FSc09v5aQAAY6bm.jpg</v>
      </c>
      <c r="W48" s="82">
        <v>44693.20613425926</v>
      </c>
      <c r="X48" s="87">
        <v>44693</v>
      </c>
      <c r="Y48" s="85" t="s">
        <v>618</v>
      </c>
      <c r="Z48" s="83" t="str">
        <f>HYPERLINK("https://twitter.com/reenapu64276812/status/1524614554621161478")</f>
        <v>https://twitter.com/reenapu64276812/status/1524614554621161478</v>
      </c>
      <c r="AA48" s="80"/>
      <c r="AB48" s="80"/>
      <c r="AC48" s="85" t="s">
        <v>672</v>
      </c>
      <c r="AD48" s="80"/>
      <c r="AE48" s="80" t="b">
        <v>0</v>
      </c>
      <c r="AF48" s="80">
        <v>0</v>
      </c>
      <c r="AG48" s="85" t="s">
        <v>267</v>
      </c>
      <c r="AH48" s="80" t="b">
        <v>0</v>
      </c>
      <c r="AI48" s="80" t="s">
        <v>268</v>
      </c>
      <c r="AJ48" s="80"/>
      <c r="AK48" s="85" t="s">
        <v>267</v>
      </c>
      <c r="AL48" s="80" t="b">
        <v>0</v>
      </c>
      <c r="AM48" s="80">
        <v>19</v>
      </c>
      <c r="AN48" s="85" t="s">
        <v>696</v>
      </c>
      <c r="AO48" s="85" t="s">
        <v>271</v>
      </c>
      <c r="AP48" s="80" t="b">
        <v>0</v>
      </c>
      <c r="AQ48" s="85" t="s">
        <v>696</v>
      </c>
      <c r="AR48" s="80" t="s">
        <v>218</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549</v>
      </c>
      <c r="B49" s="65" t="s">
        <v>559</v>
      </c>
      <c r="C49" s="66" t="s">
        <v>514</v>
      </c>
      <c r="D49" s="67">
        <v>10</v>
      </c>
      <c r="E49" s="66"/>
      <c r="F49" s="69">
        <v>15</v>
      </c>
      <c r="G49" s="66"/>
      <c r="H49" s="70"/>
      <c r="I49" s="71"/>
      <c r="J49" s="71"/>
      <c r="K49" s="35" t="s">
        <v>65</v>
      </c>
      <c r="L49" s="72">
        <v>49</v>
      </c>
      <c r="M49" s="72"/>
      <c r="N49" s="73"/>
      <c r="O49" s="80" t="s">
        <v>263</v>
      </c>
      <c r="P49" s="82">
        <v>44693.20613425926</v>
      </c>
      <c r="Q49" s="80" t="s">
        <v>580</v>
      </c>
      <c r="R49" s="80"/>
      <c r="S49" s="80"/>
      <c r="T49" s="85" t="s">
        <v>596</v>
      </c>
      <c r="U49" s="83" t="str">
        <f>HYPERLINK("https://pbs.twimg.com/media/FSc09v5aQAAY6bm.jpg")</f>
        <v>https://pbs.twimg.com/media/FSc09v5aQAAY6bm.jpg</v>
      </c>
      <c r="V49" s="83" t="str">
        <f>HYPERLINK("https://pbs.twimg.com/media/FSc09v5aQAAY6bm.jpg")</f>
        <v>https://pbs.twimg.com/media/FSc09v5aQAAY6bm.jpg</v>
      </c>
      <c r="W49" s="82">
        <v>44693.20613425926</v>
      </c>
      <c r="X49" s="87">
        <v>44693</v>
      </c>
      <c r="Y49" s="85" t="s">
        <v>618</v>
      </c>
      <c r="Z49" s="83" t="str">
        <f>HYPERLINK("https://twitter.com/reenapu64276812/status/1524614554621161478")</f>
        <v>https://twitter.com/reenapu64276812/status/1524614554621161478</v>
      </c>
      <c r="AA49" s="80"/>
      <c r="AB49" s="80"/>
      <c r="AC49" s="85" t="s">
        <v>672</v>
      </c>
      <c r="AD49" s="80"/>
      <c r="AE49" s="80" t="b">
        <v>0</v>
      </c>
      <c r="AF49" s="80">
        <v>0</v>
      </c>
      <c r="AG49" s="85" t="s">
        <v>267</v>
      </c>
      <c r="AH49" s="80" t="b">
        <v>0</v>
      </c>
      <c r="AI49" s="80" t="s">
        <v>268</v>
      </c>
      <c r="AJ49" s="80"/>
      <c r="AK49" s="85" t="s">
        <v>267</v>
      </c>
      <c r="AL49" s="80" t="b">
        <v>0</v>
      </c>
      <c r="AM49" s="80">
        <v>19</v>
      </c>
      <c r="AN49" s="85" t="s">
        <v>696</v>
      </c>
      <c r="AO49" s="85" t="s">
        <v>271</v>
      </c>
      <c r="AP49" s="80" t="b">
        <v>0</v>
      </c>
      <c r="AQ49" s="85" t="s">
        <v>696</v>
      </c>
      <c r="AR49" s="80" t="s">
        <v>218</v>
      </c>
      <c r="AS49" s="80">
        <v>0</v>
      </c>
      <c r="AT49" s="80">
        <v>0</v>
      </c>
      <c r="AU49" s="80"/>
      <c r="AV49" s="80"/>
      <c r="AW49" s="80"/>
      <c r="AX49" s="80"/>
      <c r="AY49" s="80"/>
      <c r="AZ49" s="80"/>
      <c r="BA49" s="80"/>
      <c r="BB49" s="80"/>
      <c r="BC49" s="80">
        <v>2</v>
      </c>
      <c r="BD49" s="79" t="str">
        <f>REPLACE(INDEX(GroupVertices[Group],MATCH(Edges[[#This Row],[Vertex 1]],GroupVertices[Vertex],0)),1,1,"")</f>
        <v>1</v>
      </c>
      <c r="BE49" s="79" t="str">
        <f>REPLACE(INDEX(GroupVertices[Group],MATCH(Edges[[#This Row],[Vertex 2]],GroupVertices[Vertex],0)),1,1,"")</f>
        <v>2</v>
      </c>
      <c r="BF49" s="49">
        <v>0</v>
      </c>
      <c r="BG49" s="50">
        <v>0</v>
      </c>
      <c r="BH49" s="49">
        <v>5</v>
      </c>
      <c r="BI49" s="50">
        <v>12.820512820512821</v>
      </c>
      <c r="BJ49" s="49">
        <v>0</v>
      </c>
      <c r="BK49" s="50">
        <v>0</v>
      </c>
      <c r="BL49" s="49">
        <v>34</v>
      </c>
      <c r="BM49" s="50">
        <v>87.17948717948718</v>
      </c>
      <c r="BN49" s="49">
        <v>39</v>
      </c>
    </row>
    <row r="50" spans="1:66" ht="15">
      <c r="A50" s="65" t="s">
        <v>550</v>
      </c>
      <c r="B50" s="65" t="s">
        <v>519</v>
      </c>
      <c r="C50" s="66" t="s">
        <v>514</v>
      </c>
      <c r="D50" s="67">
        <v>10</v>
      </c>
      <c r="E50" s="66"/>
      <c r="F50" s="69">
        <v>15</v>
      </c>
      <c r="G50" s="66"/>
      <c r="H50" s="70"/>
      <c r="I50" s="71"/>
      <c r="J50" s="71"/>
      <c r="K50" s="35" t="s">
        <v>65</v>
      </c>
      <c r="L50" s="72">
        <v>50</v>
      </c>
      <c r="M50" s="72"/>
      <c r="N50" s="73"/>
      <c r="O50" s="80" t="s">
        <v>264</v>
      </c>
      <c r="P50" s="82">
        <v>44693.232824074075</v>
      </c>
      <c r="Q50" s="80" t="s">
        <v>580</v>
      </c>
      <c r="R50" s="80"/>
      <c r="S50" s="80"/>
      <c r="T50" s="85" t="s">
        <v>596</v>
      </c>
      <c r="U50" s="83" t="str">
        <f>HYPERLINK("https://pbs.twimg.com/media/FSc09v5aQAAY6bm.jpg")</f>
        <v>https://pbs.twimg.com/media/FSc09v5aQAAY6bm.jpg</v>
      </c>
      <c r="V50" s="83" t="str">
        <f>HYPERLINK("https://pbs.twimg.com/media/FSc09v5aQAAY6bm.jpg")</f>
        <v>https://pbs.twimg.com/media/FSc09v5aQAAY6bm.jpg</v>
      </c>
      <c r="W50" s="82">
        <v>44693.232824074075</v>
      </c>
      <c r="X50" s="87">
        <v>44693</v>
      </c>
      <c r="Y50" s="85" t="s">
        <v>619</v>
      </c>
      <c r="Z50" s="83" t="str">
        <f>HYPERLINK("https://twitter.com/kannumix/status/1524624226463801344")</f>
        <v>https://twitter.com/kannumix/status/1524624226463801344</v>
      </c>
      <c r="AA50" s="80"/>
      <c r="AB50" s="80"/>
      <c r="AC50" s="85" t="s">
        <v>673</v>
      </c>
      <c r="AD50" s="80"/>
      <c r="AE50" s="80" t="b">
        <v>0</v>
      </c>
      <c r="AF50" s="80">
        <v>0</v>
      </c>
      <c r="AG50" s="85" t="s">
        <v>267</v>
      </c>
      <c r="AH50" s="80" t="b">
        <v>0</v>
      </c>
      <c r="AI50" s="80" t="s">
        <v>268</v>
      </c>
      <c r="AJ50" s="80"/>
      <c r="AK50" s="85" t="s">
        <v>267</v>
      </c>
      <c r="AL50" s="80" t="b">
        <v>0</v>
      </c>
      <c r="AM50" s="80">
        <v>19</v>
      </c>
      <c r="AN50" s="85" t="s">
        <v>696</v>
      </c>
      <c r="AO50" s="85" t="s">
        <v>272</v>
      </c>
      <c r="AP50" s="80" t="b">
        <v>0</v>
      </c>
      <c r="AQ50" s="85" t="s">
        <v>696</v>
      </c>
      <c r="AR50" s="80" t="s">
        <v>218</v>
      </c>
      <c r="AS50" s="80">
        <v>0</v>
      </c>
      <c r="AT50" s="80">
        <v>0</v>
      </c>
      <c r="AU50" s="80"/>
      <c r="AV50" s="80"/>
      <c r="AW50" s="80"/>
      <c r="AX50" s="80"/>
      <c r="AY50" s="80"/>
      <c r="AZ50" s="80"/>
      <c r="BA50" s="80"/>
      <c r="BB50" s="80"/>
      <c r="BC50" s="80">
        <v>2</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550</v>
      </c>
      <c r="B51" s="65" t="s">
        <v>258</v>
      </c>
      <c r="C51" s="66" t="s">
        <v>513</v>
      </c>
      <c r="D51" s="67">
        <v>5</v>
      </c>
      <c r="E51" s="66"/>
      <c r="F51" s="69">
        <v>50</v>
      </c>
      <c r="G51" s="66"/>
      <c r="H51" s="70"/>
      <c r="I51" s="71"/>
      <c r="J51" s="71"/>
      <c r="K51" s="35" t="s">
        <v>65</v>
      </c>
      <c r="L51" s="72">
        <v>51</v>
      </c>
      <c r="M51" s="72"/>
      <c r="N51" s="73"/>
      <c r="O51" s="80" t="s">
        <v>264</v>
      </c>
      <c r="P51" s="82">
        <v>44693.232824074075</v>
      </c>
      <c r="Q51" s="80" t="s">
        <v>580</v>
      </c>
      <c r="R51" s="80"/>
      <c r="S51" s="80"/>
      <c r="T51" s="85" t="s">
        <v>596</v>
      </c>
      <c r="U51" s="83" t="str">
        <f>HYPERLINK("https://pbs.twimg.com/media/FSc09v5aQAAY6bm.jpg")</f>
        <v>https://pbs.twimg.com/media/FSc09v5aQAAY6bm.jpg</v>
      </c>
      <c r="V51" s="83" t="str">
        <f>HYPERLINK("https://pbs.twimg.com/media/FSc09v5aQAAY6bm.jpg")</f>
        <v>https://pbs.twimg.com/media/FSc09v5aQAAY6bm.jpg</v>
      </c>
      <c r="W51" s="82">
        <v>44693.232824074075</v>
      </c>
      <c r="X51" s="87">
        <v>44693</v>
      </c>
      <c r="Y51" s="85" t="s">
        <v>619</v>
      </c>
      <c r="Z51" s="83" t="str">
        <f>HYPERLINK("https://twitter.com/kannumix/status/1524624226463801344")</f>
        <v>https://twitter.com/kannumix/status/1524624226463801344</v>
      </c>
      <c r="AA51" s="80"/>
      <c r="AB51" s="80"/>
      <c r="AC51" s="85" t="s">
        <v>673</v>
      </c>
      <c r="AD51" s="80"/>
      <c r="AE51" s="80" t="b">
        <v>0</v>
      </c>
      <c r="AF51" s="80">
        <v>0</v>
      </c>
      <c r="AG51" s="85" t="s">
        <v>267</v>
      </c>
      <c r="AH51" s="80" t="b">
        <v>0</v>
      </c>
      <c r="AI51" s="80" t="s">
        <v>268</v>
      </c>
      <c r="AJ51" s="80"/>
      <c r="AK51" s="85" t="s">
        <v>267</v>
      </c>
      <c r="AL51" s="80" t="b">
        <v>0</v>
      </c>
      <c r="AM51" s="80">
        <v>19</v>
      </c>
      <c r="AN51" s="85" t="s">
        <v>696</v>
      </c>
      <c r="AO51" s="85" t="s">
        <v>272</v>
      </c>
      <c r="AP51" s="80" t="b">
        <v>0</v>
      </c>
      <c r="AQ51" s="85" t="s">
        <v>696</v>
      </c>
      <c r="AR51" s="80" t="s">
        <v>218</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550</v>
      </c>
      <c r="B52" s="65" t="s">
        <v>559</v>
      </c>
      <c r="C52" s="66" t="s">
        <v>514</v>
      </c>
      <c r="D52" s="67">
        <v>10</v>
      </c>
      <c r="E52" s="66"/>
      <c r="F52" s="69">
        <v>15</v>
      </c>
      <c r="G52" s="66"/>
      <c r="H52" s="70"/>
      <c r="I52" s="71"/>
      <c r="J52" s="71"/>
      <c r="K52" s="35" t="s">
        <v>65</v>
      </c>
      <c r="L52" s="72">
        <v>52</v>
      </c>
      <c r="M52" s="72"/>
      <c r="N52" s="73"/>
      <c r="O52" s="80" t="s">
        <v>263</v>
      </c>
      <c r="P52" s="82">
        <v>44693.232824074075</v>
      </c>
      <c r="Q52" s="80" t="s">
        <v>580</v>
      </c>
      <c r="R52" s="80"/>
      <c r="S52" s="80"/>
      <c r="T52" s="85" t="s">
        <v>596</v>
      </c>
      <c r="U52" s="83" t="str">
        <f>HYPERLINK("https://pbs.twimg.com/media/FSc09v5aQAAY6bm.jpg")</f>
        <v>https://pbs.twimg.com/media/FSc09v5aQAAY6bm.jpg</v>
      </c>
      <c r="V52" s="83" t="str">
        <f>HYPERLINK("https://pbs.twimg.com/media/FSc09v5aQAAY6bm.jpg")</f>
        <v>https://pbs.twimg.com/media/FSc09v5aQAAY6bm.jpg</v>
      </c>
      <c r="W52" s="82">
        <v>44693.232824074075</v>
      </c>
      <c r="X52" s="87">
        <v>44693</v>
      </c>
      <c r="Y52" s="85" t="s">
        <v>619</v>
      </c>
      <c r="Z52" s="83" t="str">
        <f>HYPERLINK("https://twitter.com/kannumix/status/1524624226463801344")</f>
        <v>https://twitter.com/kannumix/status/1524624226463801344</v>
      </c>
      <c r="AA52" s="80"/>
      <c r="AB52" s="80"/>
      <c r="AC52" s="85" t="s">
        <v>673</v>
      </c>
      <c r="AD52" s="80"/>
      <c r="AE52" s="80" t="b">
        <v>0</v>
      </c>
      <c r="AF52" s="80">
        <v>0</v>
      </c>
      <c r="AG52" s="85" t="s">
        <v>267</v>
      </c>
      <c r="AH52" s="80" t="b">
        <v>0</v>
      </c>
      <c r="AI52" s="80" t="s">
        <v>268</v>
      </c>
      <c r="AJ52" s="80"/>
      <c r="AK52" s="85" t="s">
        <v>267</v>
      </c>
      <c r="AL52" s="80" t="b">
        <v>0</v>
      </c>
      <c r="AM52" s="80">
        <v>19</v>
      </c>
      <c r="AN52" s="85" t="s">
        <v>696</v>
      </c>
      <c r="AO52" s="85" t="s">
        <v>272</v>
      </c>
      <c r="AP52" s="80" t="b">
        <v>0</v>
      </c>
      <c r="AQ52" s="85" t="s">
        <v>696</v>
      </c>
      <c r="AR52" s="80" t="s">
        <v>218</v>
      </c>
      <c r="AS52" s="80">
        <v>0</v>
      </c>
      <c r="AT52" s="80">
        <v>0</v>
      </c>
      <c r="AU52" s="80"/>
      <c r="AV52" s="80"/>
      <c r="AW52" s="80"/>
      <c r="AX52" s="80"/>
      <c r="AY52" s="80"/>
      <c r="AZ52" s="80"/>
      <c r="BA52" s="80"/>
      <c r="BB52" s="80"/>
      <c r="BC52" s="80">
        <v>2</v>
      </c>
      <c r="BD52" s="79" t="str">
        <f>REPLACE(INDEX(GroupVertices[Group],MATCH(Edges[[#This Row],[Vertex 1]],GroupVertices[Vertex],0)),1,1,"")</f>
        <v>1</v>
      </c>
      <c r="BE52" s="79" t="str">
        <f>REPLACE(INDEX(GroupVertices[Group],MATCH(Edges[[#This Row],[Vertex 2]],GroupVertices[Vertex],0)),1,1,"")</f>
        <v>2</v>
      </c>
      <c r="BF52" s="49">
        <v>0</v>
      </c>
      <c r="BG52" s="50">
        <v>0</v>
      </c>
      <c r="BH52" s="49">
        <v>5</v>
      </c>
      <c r="BI52" s="50">
        <v>12.820512820512821</v>
      </c>
      <c r="BJ52" s="49">
        <v>0</v>
      </c>
      <c r="BK52" s="50">
        <v>0</v>
      </c>
      <c r="BL52" s="49">
        <v>34</v>
      </c>
      <c r="BM52" s="50">
        <v>87.17948717948718</v>
      </c>
      <c r="BN52" s="49">
        <v>39</v>
      </c>
    </row>
    <row r="53" spans="1:66" ht="15">
      <c r="A53" s="65" t="s">
        <v>550</v>
      </c>
      <c r="B53" s="65" t="s">
        <v>519</v>
      </c>
      <c r="C53" s="66" t="s">
        <v>514</v>
      </c>
      <c r="D53" s="67">
        <v>10</v>
      </c>
      <c r="E53" s="66"/>
      <c r="F53" s="69">
        <v>15</v>
      </c>
      <c r="G53" s="66"/>
      <c r="H53" s="70"/>
      <c r="I53" s="71"/>
      <c r="J53" s="71"/>
      <c r="K53" s="35" t="s">
        <v>65</v>
      </c>
      <c r="L53" s="72">
        <v>53</v>
      </c>
      <c r="M53" s="72"/>
      <c r="N53" s="73"/>
      <c r="O53" s="80" t="s">
        <v>264</v>
      </c>
      <c r="P53" s="82">
        <v>44693.232881944445</v>
      </c>
      <c r="Q53" s="80" t="s">
        <v>581</v>
      </c>
      <c r="R53" s="80"/>
      <c r="S53" s="80"/>
      <c r="T53" s="80"/>
      <c r="U53" s="83" t="str">
        <f>HYPERLINK("https://pbs.twimg.com/ext_tw_video_thumb/1524368758437216256/pu/img/3UwSYL_0rta3dEGi.jpg")</f>
        <v>https://pbs.twimg.com/ext_tw_video_thumb/1524368758437216256/pu/img/3UwSYL_0rta3dEGi.jpg</v>
      </c>
      <c r="V53" s="83" t="str">
        <f>HYPERLINK("https://pbs.twimg.com/ext_tw_video_thumb/1524368758437216256/pu/img/3UwSYL_0rta3dEGi.jpg")</f>
        <v>https://pbs.twimg.com/ext_tw_video_thumb/1524368758437216256/pu/img/3UwSYL_0rta3dEGi.jpg</v>
      </c>
      <c r="W53" s="82">
        <v>44693.232881944445</v>
      </c>
      <c r="X53" s="87">
        <v>44693</v>
      </c>
      <c r="Y53" s="85" t="s">
        <v>620</v>
      </c>
      <c r="Z53" s="83" t="str">
        <f>HYPERLINK("https://twitter.com/kannumix/status/1524624246126759936")</f>
        <v>https://twitter.com/kannumix/status/1524624246126759936</v>
      </c>
      <c r="AA53" s="80"/>
      <c r="AB53" s="80"/>
      <c r="AC53" s="85" t="s">
        <v>674</v>
      </c>
      <c r="AD53" s="80"/>
      <c r="AE53" s="80" t="b">
        <v>0</v>
      </c>
      <c r="AF53" s="80">
        <v>0</v>
      </c>
      <c r="AG53" s="85" t="s">
        <v>267</v>
      </c>
      <c r="AH53" s="80" t="b">
        <v>0</v>
      </c>
      <c r="AI53" s="80" t="s">
        <v>268</v>
      </c>
      <c r="AJ53" s="80"/>
      <c r="AK53" s="85" t="s">
        <v>267</v>
      </c>
      <c r="AL53" s="80" t="b">
        <v>0</v>
      </c>
      <c r="AM53" s="80">
        <v>16</v>
      </c>
      <c r="AN53" s="85" t="s">
        <v>698</v>
      </c>
      <c r="AO53" s="85" t="s">
        <v>272</v>
      </c>
      <c r="AP53" s="80" t="b">
        <v>0</v>
      </c>
      <c r="AQ53" s="85" t="s">
        <v>698</v>
      </c>
      <c r="AR53" s="80" t="s">
        <v>218</v>
      </c>
      <c r="AS53" s="80">
        <v>0</v>
      </c>
      <c r="AT53" s="80">
        <v>0</v>
      </c>
      <c r="AU53" s="80"/>
      <c r="AV53" s="80"/>
      <c r="AW53" s="80"/>
      <c r="AX53" s="80"/>
      <c r="AY53" s="80"/>
      <c r="AZ53" s="80"/>
      <c r="BA53" s="80"/>
      <c r="BB53" s="80"/>
      <c r="BC53" s="80">
        <v>2</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550</v>
      </c>
      <c r="B54" s="65" t="s">
        <v>559</v>
      </c>
      <c r="C54" s="66" t="s">
        <v>514</v>
      </c>
      <c r="D54" s="67">
        <v>10</v>
      </c>
      <c r="E54" s="66"/>
      <c r="F54" s="69">
        <v>15</v>
      </c>
      <c r="G54" s="66"/>
      <c r="H54" s="70"/>
      <c r="I54" s="71"/>
      <c r="J54" s="71"/>
      <c r="K54" s="35" t="s">
        <v>65</v>
      </c>
      <c r="L54" s="72">
        <v>54</v>
      </c>
      <c r="M54" s="72"/>
      <c r="N54" s="73"/>
      <c r="O54" s="80" t="s">
        <v>263</v>
      </c>
      <c r="P54" s="82">
        <v>44693.232881944445</v>
      </c>
      <c r="Q54" s="80" t="s">
        <v>581</v>
      </c>
      <c r="R54" s="80"/>
      <c r="S54" s="80"/>
      <c r="T54" s="80"/>
      <c r="U54" s="83" t="str">
        <f>HYPERLINK("https://pbs.twimg.com/ext_tw_video_thumb/1524368758437216256/pu/img/3UwSYL_0rta3dEGi.jpg")</f>
        <v>https://pbs.twimg.com/ext_tw_video_thumb/1524368758437216256/pu/img/3UwSYL_0rta3dEGi.jpg</v>
      </c>
      <c r="V54" s="83" t="str">
        <f>HYPERLINK("https://pbs.twimg.com/ext_tw_video_thumb/1524368758437216256/pu/img/3UwSYL_0rta3dEGi.jpg")</f>
        <v>https://pbs.twimg.com/ext_tw_video_thumb/1524368758437216256/pu/img/3UwSYL_0rta3dEGi.jpg</v>
      </c>
      <c r="W54" s="82">
        <v>44693.232881944445</v>
      </c>
      <c r="X54" s="87">
        <v>44693</v>
      </c>
      <c r="Y54" s="85" t="s">
        <v>620</v>
      </c>
      <c r="Z54" s="83" t="str">
        <f>HYPERLINK("https://twitter.com/kannumix/status/1524624246126759936")</f>
        <v>https://twitter.com/kannumix/status/1524624246126759936</v>
      </c>
      <c r="AA54" s="80"/>
      <c r="AB54" s="80"/>
      <c r="AC54" s="85" t="s">
        <v>674</v>
      </c>
      <c r="AD54" s="80"/>
      <c r="AE54" s="80" t="b">
        <v>0</v>
      </c>
      <c r="AF54" s="80">
        <v>0</v>
      </c>
      <c r="AG54" s="85" t="s">
        <v>267</v>
      </c>
      <c r="AH54" s="80" t="b">
        <v>0</v>
      </c>
      <c r="AI54" s="80" t="s">
        <v>268</v>
      </c>
      <c r="AJ54" s="80"/>
      <c r="AK54" s="85" t="s">
        <v>267</v>
      </c>
      <c r="AL54" s="80" t="b">
        <v>0</v>
      </c>
      <c r="AM54" s="80">
        <v>16</v>
      </c>
      <c r="AN54" s="85" t="s">
        <v>698</v>
      </c>
      <c r="AO54" s="85" t="s">
        <v>272</v>
      </c>
      <c r="AP54" s="80" t="b">
        <v>0</v>
      </c>
      <c r="AQ54" s="85" t="s">
        <v>698</v>
      </c>
      <c r="AR54" s="80" t="s">
        <v>218</v>
      </c>
      <c r="AS54" s="80">
        <v>0</v>
      </c>
      <c r="AT54" s="80">
        <v>0</v>
      </c>
      <c r="AU54" s="80"/>
      <c r="AV54" s="80"/>
      <c r="AW54" s="80"/>
      <c r="AX54" s="80"/>
      <c r="AY54" s="80"/>
      <c r="AZ54" s="80"/>
      <c r="BA54" s="80"/>
      <c r="BB54" s="80"/>
      <c r="BC54" s="80">
        <v>2</v>
      </c>
      <c r="BD54" s="79" t="str">
        <f>REPLACE(INDEX(GroupVertices[Group],MATCH(Edges[[#This Row],[Vertex 1]],GroupVertices[Vertex],0)),1,1,"")</f>
        <v>1</v>
      </c>
      <c r="BE54" s="79" t="str">
        <f>REPLACE(INDEX(GroupVertices[Group],MATCH(Edges[[#This Row],[Vertex 2]],GroupVertices[Vertex],0)),1,1,"")</f>
        <v>2</v>
      </c>
      <c r="BF54" s="49">
        <v>0</v>
      </c>
      <c r="BG54" s="50">
        <v>0</v>
      </c>
      <c r="BH54" s="49">
        <v>2</v>
      </c>
      <c r="BI54" s="50">
        <v>4.651162790697675</v>
      </c>
      <c r="BJ54" s="49">
        <v>0</v>
      </c>
      <c r="BK54" s="50">
        <v>0</v>
      </c>
      <c r="BL54" s="49">
        <v>41</v>
      </c>
      <c r="BM54" s="50">
        <v>95.34883720930233</v>
      </c>
      <c r="BN54" s="49">
        <v>43</v>
      </c>
    </row>
    <row r="55" spans="1:66" ht="15">
      <c r="A55" s="65" t="s">
        <v>551</v>
      </c>
      <c r="B55" s="65" t="s">
        <v>519</v>
      </c>
      <c r="C55" s="66" t="s">
        <v>513</v>
      </c>
      <c r="D55" s="67">
        <v>5</v>
      </c>
      <c r="E55" s="66"/>
      <c r="F55" s="69">
        <v>50</v>
      </c>
      <c r="G55" s="66"/>
      <c r="H55" s="70"/>
      <c r="I55" s="71"/>
      <c r="J55" s="71"/>
      <c r="K55" s="35" t="s">
        <v>65</v>
      </c>
      <c r="L55" s="72">
        <v>55</v>
      </c>
      <c r="M55" s="72"/>
      <c r="N55" s="73"/>
      <c r="O55" s="80" t="s">
        <v>264</v>
      </c>
      <c r="P55" s="82">
        <v>44693.36383101852</v>
      </c>
      <c r="Q55" s="80" t="s">
        <v>581</v>
      </c>
      <c r="R55" s="80"/>
      <c r="S55" s="80"/>
      <c r="T55" s="80"/>
      <c r="U55" s="83" t="str">
        <f>HYPERLINK("https://pbs.twimg.com/ext_tw_video_thumb/1524368758437216256/pu/img/3UwSYL_0rta3dEGi.jpg")</f>
        <v>https://pbs.twimg.com/ext_tw_video_thumb/1524368758437216256/pu/img/3UwSYL_0rta3dEGi.jpg</v>
      </c>
      <c r="V55" s="83" t="str">
        <f>HYPERLINK("https://pbs.twimg.com/ext_tw_video_thumb/1524368758437216256/pu/img/3UwSYL_0rta3dEGi.jpg")</f>
        <v>https://pbs.twimg.com/ext_tw_video_thumb/1524368758437216256/pu/img/3UwSYL_0rta3dEGi.jpg</v>
      </c>
      <c r="W55" s="82">
        <v>44693.36383101852</v>
      </c>
      <c r="X55" s="87">
        <v>44693</v>
      </c>
      <c r="Y55" s="85" t="s">
        <v>621</v>
      </c>
      <c r="Z55" s="83" t="str">
        <f>HYPERLINK("https://twitter.com/vlhtt/status/1524671700838797312")</f>
        <v>https://twitter.com/vlhtt/status/1524671700838797312</v>
      </c>
      <c r="AA55" s="80"/>
      <c r="AB55" s="80"/>
      <c r="AC55" s="85" t="s">
        <v>675</v>
      </c>
      <c r="AD55" s="80"/>
      <c r="AE55" s="80" t="b">
        <v>0</v>
      </c>
      <c r="AF55" s="80">
        <v>0</v>
      </c>
      <c r="AG55" s="85" t="s">
        <v>267</v>
      </c>
      <c r="AH55" s="80" t="b">
        <v>0</v>
      </c>
      <c r="AI55" s="80" t="s">
        <v>268</v>
      </c>
      <c r="AJ55" s="80"/>
      <c r="AK55" s="85" t="s">
        <v>267</v>
      </c>
      <c r="AL55" s="80" t="b">
        <v>0</v>
      </c>
      <c r="AM55" s="80">
        <v>16</v>
      </c>
      <c r="AN55" s="85" t="s">
        <v>698</v>
      </c>
      <c r="AO55" s="85" t="s">
        <v>271</v>
      </c>
      <c r="AP55" s="80" t="b">
        <v>0</v>
      </c>
      <c r="AQ55" s="85" t="s">
        <v>698</v>
      </c>
      <c r="AR55" s="80" t="s">
        <v>218</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551</v>
      </c>
      <c r="B56" s="65" t="s">
        <v>559</v>
      </c>
      <c r="C56" s="66" t="s">
        <v>513</v>
      </c>
      <c r="D56" s="67">
        <v>5</v>
      </c>
      <c r="E56" s="66"/>
      <c r="F56" s="69">
        <v>50</v>
      </c>
      <c r="G56" s="66"/>
      <c r="H56" s="70"/>
      <c r="I56" s="71"/>
      <c r="J56" s="71"/>
      <c r="K56" s="35" t="s">
        <v>65</v>
      </c>
      <c r="L56" s="72">
        <v>56</v>
      </c>
      <c r="M56" s="72"/>
      <c r="N56" s="73"/>
      <c r="O56" s="80" t="s">
        <v>263</v>
      </c>
      <c r="P56" s="82">
        <v>44693.36383101852</v>
      </c>
      <c r="Q56" s="80" t="s">
        <v>581</v>
      </c>
      <c r="R56" s="80"/>
      <c r="S56" s="80"/>
      <c r="T56" s="80"/>
      <c r="U56" s="83" t="str">
        <f>HYPERLINK("https://pbs.twimg.com/ext_tw_video_thumb/1524368758437216256/pu/img/3UwSYL_0rta3dEGi.jpg")</f>
        <v>https://pbs.twimg.com/ext_tw_video_thumb/1524368758437216256/pu/img/3UwSYL_0rta3dEGi.jpg</v>
      </c>
      <c r="V56" s="83" t="str">
        <f>HYPERLINK("https://pbs.twimg.com/ext_tw_video_thumb/1524368758437216256/pu/img/3UwSYL_0rta3dEGi.jpg")</f>
        <v>https://pbs.twimg.com/ext_tw_video_thumb/1524368758437216256/pu/img/3UwSYL_0rta3dEGi.jpg</v>
      </c>
      <c r="W56" s="82">
        <v>44693.36383101852</v>
      </c>
      <c r="X56" s="87">
        <v>44693</v>
      </c>
      <c r="Y56" s="85" t="s">
        <v>621</v>
      </c>
      <c r="Z56" s="83" t="str">
        <f>HYPERLINK("https://twitter.com/vlhtt/status/1524671700838797312")</f>
        <v>https://twitter.com/vlhtt/status/1524671700838797312</v>
      </c>
      <c r="AA56" s="80"/>
      <c r="AB56" s="80"/>
      <c r="AC56" s="85" t="s">
        <v>675</v>
      </c>
      <c r="AD56" s="80"/>
      <c r="AE56" s="80" t="b">
        <v>0</v>
      </c>
      <c r="AF56" s="80">
        <v>0</v>
      </c>
      <c r="AG56" s="85" t="s">
        <v>267</v>
      </c>
      <c r="AH56" s="80" t="b">
        <v>0</v>
      </c>
      <c r="AI56" s="80" t="s">
        <v>268</v>
      </c>
      <c r="AJ56" s="80"/>
      <c r="AK56" s="85" t="s">
        <v>267</v>
      </c>
      <c r="AL56" s="80" t="b">
        <v>0</v>
      </c>
      <c r="AM56" s="80">
        <v>16</v>
      </c>
      <c r="AN56" s="85" t="s">
        <v>698</v>
      </c>
      <c r="AO56" s="85" t="s">
        <v>271</v>
      </c>
      <c r="AP56" s="80" t="b">
        <v>0</v>
      </c>
      <c r="AQ56" s="85" t="s">
        <v>698</v>
      </c>
      <c r="AR56" s="80" t="s">
        <v>218</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2</v>
      </c>
      <c r="BF56" s="49">
        <v>0</v>
      </c>
      <c r="BG56" s="50">
        <v>0</v>
      </c>
      <c r="BH56" s="49">
        <v>2</v>
      </c>
      <c r="BI56" s="50">
        <v>4.651162790697675</v>
      </c>
      <c r="BJ56" s="49">
        <v>0</v>
      </c>
      <c r="BK56" s="50">
        <v>0</v>
      </c>
      <c r="BL56" s="49">
        <v>41</v>
      </c>
      <c r="BM56" s="50">
        <v>95.34883720930233</v>
      </c>
      <c r="BN56" s="49">
        <v>43</v>
      </c>
    </row>
    <row r="57" spans="1:66" ht="15">
      <c r="A57" s="65" t="s">
        <v>552</v>
      </c>
      <c r="B57" s="65" t="s">
        <v>519</v>
      </c>
      <c r="C57" s="66" t="s">
        <v>513</v>
      </c>
      <c r="D57" s="67">
        <v>5</v>
      </c>
      <c r="E57" s="66"/>
      <c r="F57" s="69">
        <v>50</v>
      </c>
      <c r="G57" s="66"/>
      <c r="H57" s="70"/>
      <c r="I57" s="71"/>
      <c r="J57" s="71"/>
      <c r="K57" s="35" t="s">
        <v>65</v>
      </c>
      <c r="L57" s="72">
        <v>57</v>
      </c>
      <c r="M57" s="72"/>
      <c r="N57" s="73"/>
      <c r="O57" s="80" t="s">
        <v>264</v>
      </c>
      <c r="P57" s="82">
        <v>44693.61670138889</v>
      </c>
      <c r="Q57" s="80" t="s">
        <v>581</v>
      </c>
      <c r="R57" s="80"/>
      <c r="S57" s="80"/>
      <c r="T57" s="80"/>
      <c r="U57" s="83" t="str">
        <f>HYPERLINK("https://pbs.twimg.com/ext_tw_video_thumb/1524368758437216256/pu/img/3UwSYL_0rta3dEGi.jpg")</f>
        <v>https://pbs.twimg.com/ext_tw_video_thumb/1524368758437216256/pu/img/3UwSYL_0rta3dEGi.jpg</v>
      </c>
      <c r="V57" s="83" t="str">
        <f>HYPERLINK("https://pbs.twimg.com/ext_tw_video_thumb/1524368758437216256/pu/img/3UwSYL_0rta3dEGi.jpg")</f>
        <v>https://pbs.twimg.com/ext_tw_video_thumb/1524368758437216256/pu/img/3UwSYL_0rta3dEGi.jpg</v>
      </c>
      <c r="W57" s="82">
        <v>44693.61670138889</v>
      </c>
      <c r="X57" s="87">
        <v>44693</v>
      </c>
      <c r="Y57" s="85" t="s">
        <v>622</v>
      </c>
      <c r="Z57" s="83" t="str">
        <f>HYPERLINK("https://twitter.com/manidee33889398/status/1524763337711828992")</f>
        <v>https://twitter.com/manidee33889398/status/1524763337711828992</v>
      </c>
      <c r="AA57" s="80"/>
      <c r="AB57" s="80"/>
      <c r="AC57" s="85" t="s">
        <v>676</v>
      </c>
      <c r="AD57" s="80"/>
      <c r="AE57" s="80" t="b">
        <v>0</v>
      </c>
      <c r="AF57" s="80">
        <v>0</v>
      </c>
      <c r="AG57" s="85" t="s">
        <v>267</v>
      </c>
      <c r="AH57" s="80" t="b">
        <v>0</v>
      </c>
      <c r="AI57" s="80" t="s">
        <v>268</v>
      </c>
      <c r="AJ57" s="80"/>
      <c r="AK57" s="85" t="s">
        <v>267</v>
      </c>
      <c r="AL57" s="80" t="b">
        <v>0</v>
      </c>
      <c r="AM57" s="80">
        <v>16</v>
      </c>
      <c r="AN57" s="85" t="s">
        <v>698</v>
      </c>
      <c r="AO57" s="85" t="s">
        <v>271</v>
      </c>
      <c r="AP57" s="80" t="b">
        <v>0</v>
      </c>
      <c r="AQ57" s="85" t="s">
        <v>698</v>
      </c>
      <c r="AR57" s="80" t="s">
        <v>218</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552</v>
      </c>
      <c r="B58" s="65" t="s">
        <v>559</v>
      </c>
      <c r="C58" s="66" t="s">
        <v>513</v>
      </c>
      <c r="D58" s="67">
        <v>5</v>
      </c>
      <c r="E58" s="66"/>
      <c r="F58" s="69">
        <v>50</v>
      </c>
      <c r="G58" s="66"/>
      <c r="H58" s="70"/>
      <c r="I58" s="71"/>
      <c r="J58" s="71"/>
      <c r="K58" s="35" t="s">
        <v>65</v>
      </c>
      <c r="L58" s="72">
        <v>58</v>
      </c>
      <c r="M58" s="72"/>
      <c r="N58" s="73"/>
      <c r="O58" s="80" t="s">
        <v>263</v>
      </c>
      <c r="P58" s="82">
        <v>44693.61670138889</v>
      </c>
      <c r="Q58" s="80" t="s">
        <v>581</v>
      </c>
      <c r="R58" s="80"/>
      <c r="S58" s="80"/>
      <c r="T58" s="80"/>
      <c r="U58" s="83" t="str">
        <f>HYPERLINK("https://pbs.twimg.com/ext_tw_video_thumb/1524368758437216256/pu/img/3UwSYL_0rta3dEGi.jpg")</f>
        <v>https://pbs.twimg.com/ext_tw_video_thumb/1524368758437216256/pu/img/3UwSYL_0rta3dEGi.jpg</v>
      </c>
      <c r="V58" s="83" t="str">
        <f>HYPERLINK("https://pbs.twimg.com/ext_tw_video_thumb/1524368758437216256/pu/img/3UwSYL_0rta3dEGi.jpg")</f>
        <v>https://pbs.twimg.com/ext_tw_video_thumb/1524368758437216256/pu/img/3UwSYL_0rta3dEGi.jpg</v>
      </c>
      <c r="W58" s="82">
        <v>44693.61670138889</v>
      </c>
      <c r="X58" s="87">
        <v>44693</v>
      </c>
      <c r="Y58" s="85" t="s">
        <v>622</v>
      </c>
      <c r="Z58" s="83" t="str">
        <f>HYPERLINK("https://twitter.com/manidee33889398/status/1524763337711828992")</f>
        <v>https://twitter.com/manidee33889398/status/1524763337711828992</v>
      </c>
      <c r="AA58" s="80"/>
      <c r="AB58" s="80"/>
      <c r="AC58" s="85" t="s">
        <v>676</v>
      </c>
      <c r="AD58" s="80"/>
      <c r="AE58" s="80" t="b">
        <v>0</v>
      </c>
      <c r="AF58" s="80">
        <v>0</v>
      </c>
      <c r="AG58" s="85" t="s">
        <v>267</v>
      </c>
      <c r="AH58" s="80" t="b">
        <v>0</v>
      </c>
      <c r="AI58" s="80" t="s">
        <v>268</v>
      </c>
      <c r="AJ58" s="80"/>
      <c r="AK58" s="85" t="s">
        <v>267</v>
      </c>
      <c r="AL58" s="80" t="b">
        <v>0</v>
      </c>
      <c r="AM58" s="80">
        <v>16</v>
      </c>
      <c r="AN58" s="85" t="s">
        <v>698</v>
      </c>
      <c r="AO58" s="85" t="s">
        <v>271</v>
      </c>
      <c r="AP58" s="80" t="b">
        <v>0</v>
      </c>
      <c r="AQ58" s="85" t="s">
        <v>698</v>
      </c>
      <c r="AR58" s="80" t="s">
        <v>218</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2</v>
      </c>
      <c r="BF58" s="49">
        <v>0</v>
      </c>
      <c r="BG58" s="50">
        <v>0</v>
      </c>
      <c r="BH58" s="49">
        <v>2</v>
      </c>
      <c r="BI58" s="50">
        <v>4.651162790697675</v>
      </c>
      <c r="BJ58" s="49">
        <v>0</v>
      </c>
      <c r="BK58" s="50">
        <v>0</v>
      </c>
      <c r="BL58" s="49">
        <v>41</v>
      </c>
      <c r="BM58" s="50">
        <v>95.34883720930233</v>
      </c>
      <c r="BN58" s="49">
        <v>43</v>
      </c>
    </row>
    <row r="59" spans="1:66" ht="15">
      <c r="A59" s="65" t="s">
        <v>553</v>
      </c>
      <c r="B59" s="65" t="s">
        <v>519</v>
      </c>
      <c r="C59" s="66" t="s">
        <v>513</v>
      </c>
      <c r="D59" s="67">
        <v>5</v>
      </c>
      <c r="E59" s="66"/>
      <c r="F59" s="69">
        <v>50</v>
      </c>
      <c r="G59" s="66"/>
      <c r="H59" s="70"/>
      <c r="I59" s="71"/>
      <c r="J59" s="71"/>
      <c r="K59" s="35" t="s">
        <v>65</v>
      </c>
      <c r="L59" s="72">
        <v>59</v>
      </c>
      <c r="M59" s="72"/>
      <c r="N59" s="73"/>
      <c r="O59" s="80" t="s">
        <v>264</v>
      </c>
      <c r="P59" s="82">
        <v>44694.13422453704</v>
      </c>
      <c r="Q59" s="80" t="s">
        <v>581</v>
      </c>
      <c r="R59" s="80"/>
      <c r="S59" s="80"/>
      <c r="T59" s="80"/>
      <c r="U59" s="83" t="str">
        <f>HYPERLINK("https://pbs.twimg.com/ext_tw_video_thumb/1524368758437216256/pu/img/3UwSYL_0rta3dEGi.jpg")</f>
        <v>https://pbs.twimg.com/ext_tw_video_thumb/1524368758437216256/pu/img/3UwSYL_0rta3dEGi.jpg</v>
      </c>
      <c r="V59" s="83" t="str">
        <f>HYPERLINK("https://pbs.twimg.com/ext_tw_video_thumb/1524368758437216256/pu/img/3UwSYL_0rta3dEGi.jpg")</f>
        <v>https://pbs.twimg.com/ext_tw_video_thumb/1524368758437216256/pu/img/3UwSYL_0rta3dEGi.jpg</v>
      </c>
      <c r="W59" s="82">
        <v>44694.13422453704</v>
      </c>
      <c r="X59" s="87">
        <v>44694</v>
      </c>
      <c r="Y59" s="85" t="s">
        <v>623</v>
      </c>
      <c r="Z59" s="83" t="str">
        <f>HYPERLINK("https://twitter.com/pen2vivek/status/1524950883259547648")</f>
        <v>https://twitter.com/pen2vivek/status/1524950883259547648</v>
      </c>
      <c r="AA59" s="80"/>
      <c r="AB59" s="80"/>
      <c r="AC59" s="85" t="s">
        <v>677</v>
      </c>
      <c r="AD59" s="80"/>
      <c r="AE59" s="80" t="b">
        <v>0</v>
      </c>
      <c r="AF59" s="80">
        <v>0</v>
      </c>
      <c r="AG59" s="85" t="s">
        <v>267</v>
      </c>
      <c r="AH59" s="80" t="b">
        <v>0</v>
      </c>
      <c r="AI59" s="80" t="s">
        <v>268</v>
      </c>
      <c r="AJ59" s="80"/>
      <c r="AK59" s="85" t="s">
        <v>267</v>
      </c>
      <c r="AL59" s="80" t="b">
        <v>0</v>
      </c>
      <c r="AM59" s="80">
        <v>16</v>
      </c>
      <c r="AN59" s="85" t="s">
        <v>698</v>
      </c>
      <c r="AO59" s="85" t="s">
        <v>271</v>
      </c>
      <c r="AP59" s="80" t="b">
        <v>0</v>
      </c>
      <c r="AQ59" s="85" t="s">
        <v>698</v>
      </c>
      <c r="AR59" s="80" t="s">
        <v>218</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553</v>
      </c>
      <c r="B60" s="65" t="s">
        <v>559</v>
      </c>
      <c r="C60" s="66" t="s">
        <v>513</v>
      </c>
      <c r="D60" s="67">
        <v>5</v>
      </c>
      <c r="E60" s="66"/>
      <c r="F60" s="69">
        <v>50</v>
      </c>
      <c r="G60" s="66"/>
      <c r="H60" s="70"/>
      <c r="I60" s="71"/>
      <c r="J60" s="71"/>
      <c r="K60" s="35" t="s">
        <v>65</v>
      </c>
      <c r="L60" s="72">
        <v>60</v>
      </c>
      <c r="M60" s="72"/>
      <c r="N60" s="73"/>
      <c r="O60" s="80" t="s">
        <v>263</v>
      </c>
      <c r="P60" s="82">
        <v>44694.13422453704</v>
      </c>
      <c r="Q60" s="80" t="s">
        <v>581</v>
      </c>
      <c r="R60" s="80"/>
      <c r="S60" s="80"/>
      <c r="T60" s="80"/>
      <c r="U60" s="83" t="str">
        <f>HYPERLINK("https://pbs.twimg.com/ext_tw_video_thumb/1524368758437216256/pu/img/3UwSYL_0rta3dEGi.jpg")</f>
        <v>https://pbs.twimg.com/ext_tw_video_thumb/1524368758437216256/pu/img/3UwSYL_0rta3dEGi.jpg</v>
      </c>
      <c r="V60" s="83" t="str">
        <f>HYPERLINK("https://pbs.twimg.com/ext_tw_video_thumb/1524368758437216256/pu/img/3UwSYL_0rta3dEGi.jpg")</f>
        <v>https://pbs.twimg.com/ext_tw_video_thumb/1524368758437216256/pu/img/3UwSYL_0rta3dEGi.jpg</v>
      </c>
      <c r="W60" s="82">
        <v>44694.13422453704</v>
      </c>
      <c r="X60" s="87">
        <v>44694</v>
      </c>
      <c r="Y60" s="85" t="s">
        <v>623</v>
      </c>
      <c r="Z60" s="83" t="str">
        <f>HYPERLINK("https://twitter.com/pen2vivek/status/1524950883259547648")</f>
        <v>https://twitter.com/pen2vivek/status/1524950883259547648</v>
      </c>
      <c r="AA60" s="80"/>
      <c r="AB60" s="80"/>
      <c r="AC60" s="85" t="s">
        <v>677</v>
      </c>
      <c r="AD60" s="80"/>
      <c r="AE60" s="80" t="b">
        <v>0</v>
      </c>
      <c r="AF60" s="80">
        <v>0</v>
      </c>
      <c r="AG60" s="85" t="s">
        <v>267</v>
      </c>
      <c r="AH60" s="80" t="b">
        <v>0</v>
      </c>
      <c r="AI60" s="80" t="s">
        <v>268</v>
      </c>
      <c r="AJ60" s="80"/>
      <c r="AK60" s="85" t="s">
        <v>267</v>
      </c>
      <c r="AL60" s="80" t="b">
        <v>0</v>
      </c>
      <c r="AM60" s="80">
        <v>16</v>
      </c>
      <c r="AN60" s="85" t="s">
        <v>698</v>
      </c>
      <c r="AO60" s="85" t="s">
        <v>271</v>
      </c>
      <c r="AP60" s="80" t="b">
        <v>0</v>
      </c>
      <c r="AQ60" s="85" t="s">
        <v>698</v>
      </c>
      <c r="AR60" s="80" t="s">
        <v>218</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2</v>
      </c>
      <c r="BF60" s="49">
        <v>0</v>
      </c>
      <c r="BG60" s="50">
        <v>0</v>
      </c>
      <c r="BH60" s="49">
        <v>2</v>
      </c>
      <c r="BI60" s="50">
        <v>4.651162790697675</v>
      </c>
      <c r="BJ60" s="49">
        <v>0</v>
      </c>
      <c r="BK60" s="50">
        <v>0</v>
      </c>
      <c r="BL60" s="49">
        <v>41</v>
      </c>
      <c r="BM60" s="50">
        <v>95.34883720930233</v>
      </c>
      <c r="BN60" s="49">
        <v>43</v>
      </c>
    </row>
    <row r="61" spans="1:66" ht="15">
      <c r="A61" s="65" t="s">
        <v>554</v>
      </c>
      <c r="B61" s="65" t="s">
        <v>519</v>
      </c>
      <c r="C61" s="66" t="s">
        <v>514</v>
      </c>
      <c r="D61" s="67">
        <v>10</v>
      </c>
      <c r="E61" s="66"/>
      <c r="F61" s="69">
        <v>15</v>
      </c>
      <c r="G61" s="66"/>
      <c r="H61" s="70"/>
      <c r="I61" s="71"/>
      <c r="J61" s="71"/>
      <c r="K61" s="35" t="s">
        <v>65</v>
      </c>
      <c r="L61" s="72">
        <v>61</v>
      </c>
      <c r="M61" s="72"/>
      <c r="N61" s="73"/>
      <c r="O61" s="80" t="s">
        <v>264</v>
      </c>
      <c r="P61" s="82">
        <v>44692.47765046296</v>
      </c>
      <c r="Q61" s="80" t="s">
        <v>580</v>
      </c>
      <c r="R61" s="80"/>
      <c r="S61" s="80"/>
      <c r="T61" s="85" t="s">
        <v>596</v>
      </c>
      <c r="U61" s="83" t="str">
        <f>HYPERLINK("https://pbs.twimg.com/media/FSc09v5aQAAY6bm.jpg")</f>
        <v>https://pbs.twimg.com/media/FSc09v5aQAAY6bm.jpg</v>
      </c>
      <c r="V61" s="83" t="str">
        <f>HYPERLINK("https://pbs.twimg.com/media/FSc09v5aQAAY6bm.jpg")</f>
        <v>https://pbs.twimg.com/media/FSc09v5aQAAY6bm.jpg</v>
      </c>
      <c r="W61" s="82">
        <v>44692.47765046296</v>
      </c>
      <c r="X61" s="87">
        <v>44692</v>
      </c>
      <c r="Y61" s="85" t="s">
        <v>624</v>
      </c>
      <c r="Z61" s="83" t="str">
        <f>HYPERLINK("https://twitter.com/jatinde45666597/status/1524350561193463808")</f>
        <v>https://twitter.com/jatinde45666597/status/1524350561193463808</v>
      </c>
      <c r="AA61" s="80"/>
      <c r="AB61" s="80"/>
      <c r="AC61" s="85" t="s">
        <v>678</v>
      </c>
      <c r="AD61" s="80"/>
      <c r="AE61" s="80" t="b">
        <v>0</v>
      </c>
      <c r="AF61" s="80">
        <v>0</v>
      </c>
      <c r="AG61" s="85" t="s">
        <v>267</v>
      </c>
      <c r="AH61" s="80" t="b">
        <v>0</v>
      </c>
      <c r="AI61" s="80" t="s">
        <v>268</v>
      </c>
      <c r="AJ61" s="80"/>
      <c r="AK61" s="85" t="s">
        <v>267</v>
      </c>
      <c r="AL61" s="80" t="b">
        <v>0</v>
      </c>
      <c r="AM61" s="80">
        <v>19</v>
      </c>
      <c r="AN61" s="85" t="s">
        <v>696</v>
      </c>
      <c r="AO61" s="85" t="s">
        <v>271</v>
      </c>
      <c r="AP61" s="80" t="b">
        <v>0</v>
      </c>
      <c r="AQ61" s="85" t="s">
        <v>696</v>
      </c>
      <c r="AR61" s="80" t="s">
        <v>218</v>
      </c>
      <c r="AS61" s="80">
        <v>0</v>
      </c>
      <c r="AT61" s="80">
        <v>0</v>
      </c>
      <c r="AU61" s="80"/>
      <c r="AV61" s="80"/>
      <c r="AW61" s="80"/>
      <c r="AX61" s="80"/>
      <c r="AY61" s="80"/>
      <c r="AZ61" s="80"/>
      <c r="BA61" s="80"/>
      <c r="BB61" s="80"/>
      <c r="BC61" s="80">
        <v>2</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554</v>
      </c>
      <c r="B62" s="65" t="s">
        <v>258</v>
      </c>
      <c r="C62" s="66" t="s">
        <v>513</v>
      </c>
      <c r="D62" s="67">
        <v>5</v>
      </c>
      <c r="E62" s="66"/>
      <c r="F62" s="69">
        <v>50</v>
      </c>
      <c r="G62" s="66"/>
      <c r="H62" s="70"/>
      <c r="I62" s="71"/>
      <c r="J62" s="71"/>
      <c r="K62" s="35" t="s">
        <v>65</v>
      </c>
      <c r="L62" s="72">
        <v>62</v>
      </c>
      <c r="M62" s="72"/>
      <c r="N62" s="73"/>
      <c r="O62" s="80" t="s">
        <v>264</v>
      </c>
      <c r="P62" s="82">
        <v>44692.47765046296</v>
      </c>
      <c r="Q62" s="80" t="s">
        <v>580</v>
      </c>
      <c r="R62" s="80"/>
      <c r="S62" s="80"/>
      <c r="T62" s="85" t="s">
        <v>596</v>
      </c>
      <c r="U62" s="83" t="str">
        <f>HYPERLINK("https://pbs.twimg.com/media/FSc09v5aQAAY6bm.jpg")</f>
        <v>https://pbs.twimg.com/media/FSc09v5aQAAY6bm.jpg</v>
      </c>
      <c r="V62" s="83" t="str">
        <f>HYPERLINK("https://pbs.twimg.com/media/FSc09v5aQAAY6bm.jpg")</f>
        <v>https://pbs.twimg.com/media/FSc09v5aQAAY6bm.jpg</v>
      </c>
      <c r="W62" s="82">
        <v>44692.47765046296</v>
      </c>
      <c r="X62" s="87">
        <v>44692</v>
      </c>
      <c r="Y62" s="85" t="s">
        <v>624</v>
      </c>
      <c r="Z62" s="83" t="str">
        <f>HYPERLINK("https://twitter.com/jatinde45666597/status/1524350561193463808")</f>
        <v>https://twitter.com/jatinde45666597/status/1524350561193463808</v>
      </c>
      <c r="AA62" s="80"/>
      <c r="AB62" s="80"/>
      <c r="AC62" s="85" t="s">
        <v>678</v>
      </c>
      <c r="AD62" s="80"/>
      <c r="AE62" s="80" t="b">
        <v>0</v>
      </c>
      <c r="AF62" s="80">
        <v>0</v>
      </c>
      <c r="AG62" s="85" t="s">
        <v>267</v>
      </c>
      <c r="AH62" s="80" t="b">
        <v>0</v>
      </c>
      <c r="AI62" s="80" t="s">
        <v>268</v>
      </c>
      <c r="AJ62" s="80"/>
      <c r="AK62" s="85" t="s">
        <v>267</v>
      </c>
      <c r="AL62" s="80" t="b">
        <v>0</v>
      </c>
      <c r="AM62" s="80">
        <v>19</v>
      </c>
      <c r="AN62" s="85" t="s">
        <v>696</v>
      </c>
      <c r="AO62" s="85" t="s">
        <v>271</v>
      </c>
      <c r="AP62" s="80" t="b">
        <v>0</v>
      </c>
      <c r="AQ62" s="85" t="s">
        <v>696</v>
      </c>
      <c r="AR62" s="80" t="s">
        <v>218</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554</v>
      </c>
      <c r="B63" s="65" t="s">
        <v>559</v>
      </c>
      <c r="C63" s="66" t="s">
        <v>514</v>
      </c>
      <c r="D63" s="67">
        <v>10</v>
      </c>
      <c r="E63" s="66"/>
      <c r="F63" s="69">
        <v>15</v>
      </c>
      <c r="G63" s="66"/>
      <c r="H63" s="70"/>
      <c r="I63" s="71"/>
      <c r="J63" s="71"/>
      <c r="K63" s="35" t="s">
        <v>65</v>
      </c>
      <c r="L63" s="72">
        <v>63</v>
      </c>
      <c r="M63" s="72"/>
      <c r="N63" s="73"/>
      <c r="O63" s="80" t="s">
        <v>263</v>
      </c>
      <c r="P63" s="82">
        <v>44692.47765046296</v>
      </c>
      <c r="Q63" s="80" t="s">
        <v>580</v>
      </c>
      <c r="R63" s="80"/>
      <c r="S63" s="80"/>
      <c r="T63" s="85" t="s">
        <v>596</v>
      </c>
      <c r="U63" s="83" t="str">
        <f>HYPERLINK("https://pbs.twimg.com/media/FSc09v5aQAAY6bm.jpg")</f>
        <v>https://pbs.twimg.com/media/FSc09v5aQAAY6bm.jpg</v>
      </c>
      <c r="V63" s="83" t="str">
        <f>HYPERLINK("https://pbs.twimg.com/media/FSc09v5aQAAY6bm.jpg")</f>
        <v>https://pbs.twimg.com/media/FSc09v5aQAAY6bm.jpg</v>
      </c>
      <c r="W63" s="82">
        <v>44692.47765046296</v>
      </c>
      <c r="X63" s="87">
        <v>44692</v>
      </c>
      <c r="Y63" s="85" t="s">
        <v>624</v>
      </c>
      <c r="Z63" s="83" t="str">
        <f>HYPERLINK("https://twitter.com/jatinde45666597/status/1524350561193463808")</f>
        <v>https://twitter.com/jatinde45666597/status/1524350561193463808</v>
      </c>
      <c r="AA63" s="80"/>
      <c r="AB63" s="80"/>
      <c r="AC63" s="85" t="s">
        <v>678</v>
      </c>
      <c r="AD63" s="80"/>
      <c r="AE63" s="80" t="b">
        <v>0</v>
      </c>
      <c r="AF63" s="80">
        <v>0</v>
      </c>
      <c r="AG63" s="85" t="s">
        <v>267</v>
      </c>
      <c r="AH63" s="80" t="b">
        <v>0</v>
      </c>
      <c r="AI63" s="80" t="s">
        <v>268</v>
      </c>
      <c r="AJ63" s="80"/>
      <c r="AK63" s="85" t="s">
        <v>267</v>
      </c>
      <c r="AL63" s="80" t="b">
        <v>0</v>
      </c>
      <c r="AM63" s="80">
        <v>19</v>
      </c>
      <c r="AN63" s="85" t="s">
        <v>696</v>
      </c>
      <c r="AO63" s="85" t="s">
        <v>271</v>
      </c>
      <c r="AP63" s="80" t="b">
        <v>0</v>
      </c>
      <c r="AQ63" s="85" t="s">
        <v>696</v>
      </c>
      <c r="AR63" s="80" t="s">
        <v>218</v>
      </c>
      <c r="AS63" s="80">
        <v>0</v>
      </c>
      <c r="AT63" s="80">
        <v>0</v>
      </c>
      <c r="AU63" s="80"/>
      <c r="AV63" s="80"/>
      <c r="AW63" s="80"/>
      <c r="AX63" s="80"/>
      <c r="AY63" s="80"/>
      <c r="AZ63" s="80"/>
      <c r="BA63" s="80"/>
      <c r="BB63" s="80"/>
      <c r="BC63" s="80">
        <v>2</v>
      </c>
      <c r="BD63" s="79" t="str">
        <f>REPLACE(INDEX(GroupVertices[Group],MATCH(Edges[[#This Row],[Vertex 1]],GroupVertices[Vertex],0)),1,1,"")</f>
        <v>1</v>
      </c>
      <c r="BE63" s="79" t="str">
        <f>REPLACE(INDEX(GroupVertices[Group],MATCH(Edges[[#This Row],[Vertex 2]],GroupVertices[Vertex],0)),1,1,"")</f>
        <v>2</v>
      </c>
      <c r="BF63" s="49">
        <v>0</v>
      </c>
      <c r="BG63" s="50">
        <v>0</v>
      </c>
      <c r="BH63" s="49">
        <v>5</v>
      </c>
      <c r="BI63" s="50">
        <v>12.820512820512821</v>
      </c>
      <c r="BJ63" s="49">
        <v>0</v>
      </c>
      <c r="BK63" s="50">
        <v>0</v>
      </c>
      <c r="BL63" s="49">
        <v>34</v>
      </c>
      <c r="BM63" s="50">
        <v>87.17948717948718</v>
      </c>
      <c r="BN63" s="49">
        <v>39</v>
      </c>
    </row>
    <row r="64" spans="1:66" ht="15">
      <c r="A64" s="65" t="s">
        <v>554</v>
      </c>
      <c r="B64" s="65" t="s">
        <v>519</v>
      </c>
      <c r="C64" s="66" t="s">
        <v>514</v>
      </c>
      <c r="D64" s="67">
        <v>10</v>
      </c>
      <c r="E64" s="66"/>
      <c r="F64" s="69">
        <v>15</v>
      </c>
      <c r="G64" s="66"/>
      <c r="H64" s="70"/>
      <c r="I64" s="71"/>
      <c r="J64" s="71"/>
      <c r="K64" s="35" t="s">
        <v>65</v>
      </c>
      <c r="L64" s="72">
        <v>64</v>
      </c>
      <c r="M64" s="72"/>
      <c r="N64" s="73"/>
      <c r="O64" s="80" t="s">
        <v>264</v>
      </c>
      <c r="P64" s="82">
        <v>44694.29017361111</v>
      </c>
      <c r="Q64" s="80" t="s">
        <v>581</v>
      </c>
      <c r="R64" s="80"/>
      <c r="S64" s="80"/>
      <c r="T64" s="80"/>
      <c r="U64" s="83" t="str">
        <f>HYPERLINK("https://pbs.twimg.com/ext_tw_video_thumb/1524368758437216256/pu/img/3UwSYL_0rta3dEGi.jpg")</f>
        <v>https://pbs.twimg.com/ext_tw_video_thumb/1524368758437216256/pu/img/3UwSYL_0rta3dEGi.jpg</v>
      </c>
      <c r="V64" s="83" t="str">
        <f>HYPERLINK("https://pbs.twimg.com/ext_tw_video_thumb/1524368758437216256/pu/img/3UwSYL_0rta3dEGi.jpg")</f>
        <v>https://pbs.twimg.com/ext_tw_video_thumb/1524368758437216256/pu/img/3UwSYL_0rta3dEGi.jpg</v>
      </c>
      <c r="W64" s="82">
        <v>44694.29017361111</v>
      </c>
      <c r="X64" s="87">
        <v>44694</v>
      </c>
      <c r="Y64" s="85" t="s">
        <v>625</v>
      </c>
      <c r="Z64" s="83" t="str">
        <f>HYPERLINK("https://twitter.com/jatinde45666597/status/1525007396992536577")</f>
        <v>https://twitter.com/jatinde45666597/status/1525007396992536577</v>
      </c>
      <c r="AA64" s="80"/>
      <c r="AB64" s="80"/>
      <c r="AC64" s="85" t="s">
        <v>679</v>
      </c>
      <c r="AD64" s="80"/>
      <c r="AE64" s="80" t="b">
        <v>0</v>
      </c>
      <c r="AF64" s="80">
        <v>0</v>
      </c>
      <c r="AG64" s="85" t="s">
        <v>267</v>
      </c>
      <c r="AH64" s="80" t="b">
        <v>0</v>
      </c>
      <c r="AI64" s="80" t="s">
        <v>268</v>
      </c>
      <c r="AJ64" s="80"/>
      <c r="AK64" s="85" t="s">
        <v>267</v>
      </c>
      <c r="AL64" s="80" t="b">
        <v>0</v>
      </c>
      <c r="AM64" s="80">
        <v>16</v>
      </c>
      <c r="AN64" s="85" t="s">
        <v>698</v>
      </c>
      <c r="AO64" s="85" t="s">
        <v>271</v>
      </c>
      <c r="AP64" s="80" t="b">
        <v>0</v>
      </c>
      <c r="AQ64" s="85" t="s">
        <v>698</v>
      </c>
      <c r="AR64" s="80" t="s">
        <v>218</v>
      </c>
      <c r="AS64" s="80">
        <v>0</v>
      </c>
      <c r="AT64" s="80">
        <v>0</v>
      </c>
      <c r="AU64" s="80"/>
      <c r="AV64" s="80"/>
      <c r="AW64" s="80"/>
      <c r="AX64" s="80"/>
      <c r="AY64" s="80"/>
      <c r="AZ64" s="80"/>
      <c r="BA64" s="80"/>
      <c r="BB64" s="80"/>
      <c r="BC64" s="80">
        <v>2</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554</v>
      </c>
      <c r="B65" s="65" t="s">
        <v>559</v>
      </c>
      <c r="C65" s="66" t="s">
        <v>514</v>
      </c>
      <c r="D65" s="67">
        <v>10</v>
      </c>
      <c r="E65" s="66"/>
      <c r="F65" s="69">
        <v>15</v>
      </c>
      <c r="G65" s="66"/>
      <c r="H65" s="70"/>
      <c r="I65" s="71"/>
      <c r="J65" s="71"/>
      <c r="K65" s="35" t="s">
        <v>65</v>
      </c>
      <c r="L65" s="72">
        <v>65</v>
      </c>
      <c r="M65" s="72"/>
      <c r="N65" s="73"/>
      <c r="O65" s="80" t="s">
        <v>263</v>
      </c>
      <c r="P65" s="82">
        <v>44694.29017361111</v>
      </c>
      <c r="Q65" s="80" t="s">
        <v>581</v>
      </c>
      <c r="R65" s="80"/>
      <c r="S65" s="80"/>
      <c r="T65" s="80"/>
      <c r="U65" s="83" t="str">
        <f>HYPERLINK("https://pbs.twimg.com/ext_tw_video_thumb/1524368758437216256/pu/img/3UwSYL_0rta3dEGi.jpg")</f>
        <v>https://pbs.twimg.com/ext_tw_video_thumb/1524368758437216256/pu/img/3UwSYL_0rta3dEGi.jpg</v>
      </c>
      <c r="V65" s="83" t="str">
        <f>HYPERLINK("https://pbs.twimg.com/ext_tw_video_thumb/1524368758437216256/pu/img/3UwSYL_0rta3dEGi.jpg")</f>
        <v>https://pbs.twimg.com/ext_tw_video_thumb/1524368758437216256/pu/img/3UwSYL_0rta3dEGi.jpg</v>
      </c>
      <c r="W65" s="82">
        <v>44694.29017361111</v>
      </c>
      <c r="X65" s="87">
        <v>44694</v>
      </c>
      <c r="Y65" s="85" t="s">
        <v>625</v>
      </c>
      <c r="Z65" s="83" t="str">
        <f>HYPERLINK("https://twitter.com/jatinde45666597/status/1525007396992536577")</f>
        <v>https://twitter.com/jatinde45666597/status/1525007396992536577</v>
      </c>
      <c r="AA65" s="80"/>
      <c r="AB65" s="80"/>
      <c r="AC65" s="85" t="s">
        <v>679</v>
      </c>
      <c r="AD65" s="80"/>
      <c r="AE65" s="80" t="b">
        <v>0</v>
      </c>
      <c r="AF65" s="80">
        <v>0</v>
      </c>
      <c r="AG65" s="85" t="s">
        <v>267</v>
      </c>
      <c r="AH65" s="80" t="b">
        <v>0</v>
      </c>
      <c r="AI65" s="80" t="s">
        <v>268</v>
      </c>
      <c r="AJ65" s="80"/>
      <c r="AK65" s="85" t="s">
        <v>267</v>
      </c>
      <c r="AL65" s="80" t="b">
        <v>0</v>
      </c>
      <c r="AM65" s="80">
        <v>16</v>
      </c>
      <c r="AN65" s="85" t="s">
        <v>698</v>
      </c>
      <c r="AO65" s="85" t="s">
        <v>271</v>
      </c>
      <c r="AP65" s="80" t="b">
        <v>0</v>
      </c>
      <c r="AQ65" s="85" t="s">
        <v>698</v>
      </c>
      <c r="AR65" s="80" t="s">
        <v>218</v>
      </c>
      <c r="AS65" s="80">
        <v>0</v>
      </c>
      <c r="AT65" s="80">
        <v>0</v>
      </c>
      <c r="AU65" s="80"/>
      <c r="AV65" s="80"/>
      <c r="AW65" s="80"/>
      <c r="AX65" s="80"/>
      <c r="AY65" s="80"/>
      <c r="AZ65" s="80"/>
      <c r="BA65" s="80"/>
      <c r="BB65" s="80"/>
      <c r="BC65" s="80">
        <v>2</v>
      </c>
      <c r="BD65" s="79" t="str">
        <f>REPLACE(INDEX(GroupVertices[Group],MATCH(Edges[[#This Row],[Vertex 1]],GroupVertices[Vertex],0)),1,1,"")</f>
        <v>1</v>
      </c>
      <c r="BE65" s="79" t="str">
        <f>REPLACE(INDEX(GroupVertices[Group],MATCH(Edges[[#This Row],[Vertex 2]],GroupVertices[Vertex],0)),1,1,"")</f>
        <v>2</v>
      </c>
      <c r="BF65" s="49">
        <v>0</v>
      </c>
      <c r="BG65" s="50">
        <v>0</v>
      </c>
      <c r="BH65" s="49">
        <v>2</v>
      </c>
      <c r="BI65" s="50">
        <v>4.651162790697675</v>
      </c>
      <c r="BJ65" s="49">
        <v>0</v>
      </c>
      <c r="BK65" s="50">
        <v>0</v>
      </c>
      <c r="BL65" s="49">
        <v>41</v>
      </c>
      <c r="BM65" s="50">
        <v>95.34883720930233</v>
      </c>
      <c r="BN65" s="49">
        <v>43</v>
      </c>
    </row>
    <row r="66" spans="1:66" ht="15">
      <c r="A66" s="65" t="s">
        <v>555</v>
      </c>
      <c r="B66" s="65" t="s">
        <v>519</v>
      </c>
      <c r="C66" s="66" t="s">
        <v>514</v>
      </c>
      <c r="D66" s="67">
        <v>10</v>
      </c>
      <c r="E66" s="66"/>
      <c r="F66" s="69">
        <v>15</v>
      </c>
      <c r="G66" s="66"/>
      <c r="H66" s="70"/>
      <c r="I66" s="71"/>
      <c r="J66" s="71"/>
      <c r="K66" s="35" t="s">
        <v>65</v>
      </c>
      <c r="L66" s="72">
        <v>66</v>
      </c>
      <c r="M66" s="72"/>
      <c r="N66" s="73"/>
      <c r="O66" s="80" t="s">
        <v>264</v>
      </c>
      <c r="P66" s="82">
        <v>44692.491273148145</v>
      </c>
      <c r="Q66" s="80" t="s">
        <v>580</v>
      </c>
      <c r="R66" s="80"/>
      <c r="S66" s="80"/>
      <c r="T66" s="85" t="s">
        <v>596</v>
      </c>
      <c r="U66" s="83" t="str">
        <f>HYPERLINK("https://pbs.twimg.com/media/FSc09v5aQAAY6bm.jpg")</f>
        <v>https://pbs.twimg.com/media/FSc09v5aQAAY6bm.jpg</v>
      </c>
      <c r="V66" s="83" t="str">
        <f>HYPERLINK("https://pbs.twimg.com/media/FSc09v5aQAAY6bm.jpg")</f>
        <v>https://pbs.twimg.com/media/FSc09v5aQAAY6bm.jpg</v>
      </c>
      <c r="W66" s="82">
        <v>44692.491273148145</v>
      </c>
      <c r="X66" s="87">
        <v>44692</v>
      </c>
      <c r="Y66" s="85" t="s">
        <v>626</v>
      </c>
      <c r="Z66" s="83" t="str">
        <f>HYPERLINK("https://twitter.com/hardikp59369014/status/1524355496316391424")</f>
        <v>https://twitter.com/hardikp59369014/status/1524355496316391424</v>
      </c>
      <c r="AA66" s="80"/>
      <c r="AB66" s="80"/>
      <c r="AC66" s="85" t="s">
        <v>680</v>
      </c>
      <c r="AD66" s="80"/>
      <c r="AE66" s="80" t="b">
        <v>0</v>
      </c>
      <c r="AF66" s="80">
        <v>0</v>
      </c>
      <c r="AG66" s="85" t="s">
        <v>267</v>
      </c>
      <c r="AH66" s="80" t="b">
        <v>0</v>
      </c>
      <c r="AI66" s="80" t="s">
        <v>268</v>
      </c>
      <c r="AJ66" s="80"/>
      <c r="AK66" s="85" t="s">
        <v>267</v>
      </c>
      <c r="AL66" s="80" t="b">
        <v>0</v>
      </c>
      <c r="AM66" s="80">
        <v>19</v>
      </c>
      <c r="AN66" s="85" t="s">
        <v>696</v>
      </c>
      <c r="AO66" s="85" t="s">
        <v>272</v>
      </c>
      <c r="AP66" s="80" t="b">
        <v>0</v>
      </c>
      <c r="AQ66" s="85" t="s">
        <v>696</v>
      </c>
      <c r="AR66" s="80" t="s">
        <v>218</v>
      </c>
      <c r="AS66" s="80">
        <v>0</v>
      </c>
      <c r="AT66" s="80">
        <v>0</v>
      </c>
      <c r="AU66" s="80"/>
      <c r="AV66" s="80"/>
      <c r="AW66" s="80"/>
      <c r="AX66" s="80"/>
      <c r="AY66" s="80"/>
      <c r="AZ66" s="80"/>
      <c r="BA66" s="80"/>
      <c r="BB66" s="80"/>
      <c r="BC66" s="80">
        <v>2</v>
      </c>
      <c r="BD66" s="79" t="str">
        <f>REPLACE(INDEX(GroupVertices[Group],MATCH(Edges[[#This Row],[Vertex 1]],GroupVertices[Vertex],0)),1,1,"")</f>
        <v>4</v>
      </c>
      <c r="BE66" s="79" t="str">
        <f>REPLACE(INDEX(GroupVertices[Group],MATCH(Edges[[#This Row],[Vertex 2]],GroupVertices[Vertex],0)),1,1,"")</f>
        <v>1</v>
      </c>
      <c r="BF66" s="49"/>
      <c r="BG66" s="50"/>
      <c r="BH66" s="49"/>
      <c r="BI66" s="50"/>
      <c r="BJ66" s="49"/>
      <c r="BK66" s="50"/>
      <c r="BL66" s="49"/>
      <c r="BM66" s="50"/>
      <c r="BN66" s="49"/>
    </row>
    <row r="67" spans="1:66" ht="15">
      <c r="A67" s="65" t="s">
        <v>555</v>
      </c>
      <c r="B67" s="65" t="s">
        <v>258</v>
      </c>
      <c r="C67" s="66" t="s">
        <v>513</v>
      </c>
      <c r="D67" s="67">
        <v>5</v>
      </c>
      <c r="E67" s="66"/>
      <c r="F67" s="69">
        <v>50</v>
      </c>
      <c r="G67" s="66"/>
      <c r="H67" s="70"/>
      <c r="I67" s="71"/>
      <c r="J67" s="71"/>
      <c r="K67" s="35" t="s">
        <v>65</v>
      </c>
      <c r="L67" s="72">
        <v>67</v>
      </c>
      <c r="M67" s="72"/>
      <c r="N67" s="73"/>
      <c r="O67" s="80" t="s">
        <v>264</v>
      </c>
      <c r="P67" s="82">
        <v>44692.491273148145</v>
      </c>
      <c r="Q67" s="80" t="s">
        <v>580</v>
      </c>
      <c r="R67" s="80"/>
      <c r="S67" s="80"/>
      <c r="T67" s="85" t="s">
        <v>596</v>
      </c>
      <c r="U67" s="83" t="str">
        <f>HYPERLINK("https://pbs.twimg.com/media/FSc09v5aQAAY6bm.jpg")</f>
        <v>https://pbs.twimg.com/media/FSc09v5aQAAY6bm.jpg</v>
      </c>
      <c r="V67" s="83" t="str">
        <f>HYPERLINK("https://pbs.twimg.com/media/FSc09v5aQAAY6bm.jpg")</f>
        <v>https://pbs.twimg.com/media/FSc09v5aQAAY6bm.jpg</v>
      </c>
      <c r="W67" s="82">
        <v>44692.491273148145</v>
      </c>
      <c r="X67" s="87">
        <v>44692</v>
      </c>
      <c r="Y67" s="85" t="s">
        <v>626</v>
      </c>
      <c r="Z67" s="83" t="str">
        <f>HYPERLINK("https://twitter.com/hardikp59369014/status/1524355496316391424")</f>
        <v>https://twitter.com/hardikp59369014/status/1524355496316391424</v>
      </c>
      <c r="AA67" s="80"/>
      <c r="AB67" s="80"/>
      <c r="AC67" s="85" t="s">
        <v>680</v>
      </c>
      <c r="AD67" s="80"/>
      <c r="AE67" s="80" t="b">
        <v>0</v>
      </c>
      <c r="AF67" s="80">
        <v>0</v>
      </c>
      <c r="AG67" s="85" t="s">
        <v>267</v>
      </c>
      <c r="AH67" s="80" t="b">
        <v>0</v>
      </c>
      <c r="AI67" s="80" t="s">
        <v>268</v>
      </c>
      <c r="AJ67" s="80"/>
      <c r="AK67" s="85" t="s">
        <v>267</v>
      </c>
      <c r="AL67" s="80" t="b">
        <v>0</v>
      </c>
      <c r="AM67" s="80">
        <v>19</v>
      </c>
      <c r="AN67" s="85" t="s">
        <v>696</v>
      </c>
      <c r="AO67" s="85" t="s">
        <v>272</v>
      </c>
      <c r="AP67" s="80" t="b">
        <v>0</v>
      </c>
      <c r="AQ67" s="85" t="s">
        <v>696</v>
      </c>
      <c r="AR67" s="80" t="s">
        <v>218</v>
      </c>
      <c r="AS67" s="80">
        <v>0</v>
      </c>
      <c r="AT67" s="80">
        <v>0</v>
      </c>
      <c r="AU67" s="80"/>
      <c r="AV67" s="80"/>
      <c r="AW67" s="80"/>
      <c r="AX67" s="80"/>
      <c r="AY67" s="80"/>
      <c r="AZ67" s="80"/>
      <c r="BA67" s="80"/>
      <c r="BB67" s="80"/>
      <c r="BC67" s="80">
        <v>1</v>
      </c>
      <c r="BD67" s="79" t="str">
        <f>REPLACE(INDEX(GroupVertices[Group],MATCH(Edges[[#This Row],[Vertex 1]],GroupVertices[Vertex],0)),1,1,"")</f>
        <v>4</v>
      </c>
      <c r="BE67" s="79" t="str">
        <f>REPLACE(INDEX(GroupVertices[Group],MATCH(Edges[[#This Row],[Vertex 2]],GroupVertices[Vertex],0)),1,1,"")</f>
        <v>1</v>
      </c>
      <c r="BF67" s="49"/>
      <c r="BG67" s="50"/>
      <c r="BH67" s="49"/>
      <c r="BI67" s="50"/>
      <c r="BJ67" s="49"/>
      <c r="BK67" s="50"/>
      <c r="BL67" s="49"/>
      <c r="BM67" s="50"/>
      <c r="BN67" s="49"/>
    </row>
    <row r="68" spans="1:66" ht="15">
      <c r="A68" s="65" t="s">
        <v>555</v>
      </c>
      <c r="B68" s="65" t="s">
        <v>559</v>
      </c>
      <c r="C68" s="66" t="s">
        <v>514</v>
      </c>
      <c r="D68" s="67">
        <v>10</v>
      </c>
      <c r="E68" s="66"/>
      <c r="F68" s="69">
        <v>15</v>
      </c>
      <c r="G68" s="66"/>
      <c r="H68" s="70"/>
      <c r="I68" s="71"/>
      <c r="J68" s="71"/>
      <c r="K68" s="35" t="s">
        <v>65</v>
      </c>
      <c r="L68" s="72">
        <v>68</v>
      </c>
      <c r="M68" s="72"/>
      <c r="N68" s="73"/>
      <c r="O68" s="80" t="s">
        <v>263</v>
      </c>
      <c r="P68" s="82">
        <v>44692.491273148145</v>
      </c>
      <c r="Q68" s="80" t="s">
        <v>580</v>
      </c>
      <c r="R68" s="80"/>
      <c r="S68" s="80"/>
      <c r="T68" s="85" t="s">
        <v>596</v>
      </c>
      <c r="U68" s="83" t="str">
        <f>HYPERLINK("https://pbs.twimg.com/media/FSc09v5aQAAY6bm.jpg")</f>
        <v>https://pbs.twimg.com/media/FSc09v5aQAAY6bm.jpg</v>
      </c>
      <c r="V68" s="83" t="str">
        <f>HYPERLINK("https://pbs.twimg.com/media/FSc09v5aQAAY6bm.jpg")</f>
        <v>https://pbs.twimg.com/media/FSc09v5aQAAY6bm.jpg</v>
      </c>
      <c r="W68" s="82">
        <v>44692.491273148145</v>
      </c>
      <c r="X68" s="87">
        <v>44692</v>
      </c>
      <c r="Y68" s="85" t="s">
        <v>626</v>
      </c>
      <c r="Z68" s="83" t="str">
        <f>HYPERLINK("https://twitter.com/hardikp59369014/status/1524355496316391424")</f>
        <v>https://twitter.com/hardikp59369014/status/1524355496316391424</v>
      </c>
      <c r="AA68" s="80"/>
      <c r="AB68" s="80"/>
      <c r="AC68" s="85" t="s">
        <v>680</v>
      </c>
      <c r="AD68" s="80"/>
      <c r="AE68" s="80" t="b">
        <v>0</v>
      </c>
      <c r="AF68" s="80">
        <v>0</v>
      </c>
      <c r="AG68" s="85" t="s">
        <v>267</v>
      </c>
      <c r="AH68" s="80" t="b">
        <v>0</v>
      </c>
      <c r="AI68" s="80" t="s">
        <v>268</v>
      </c>
      <c r="AJ68" s="80"/>
      <c r="AK68" s="85" t="s">
        <v>267</v>
      </c>
      <c r="AL68" s="80" t="b">
        <v>0</v>
      </c>
      <c r="AM68" s="80">
        <v>19</v>
      </c>
      <c r="AN68" s="85" t="s">
        <v>696</v>
      </c>
      <c r="AO68" s="85" t="s">
        <v>272</v>
      </c>
      <c r="AP68" s="80" t="b">
        <v>0</v>
      </c>
      <c r="AQ68" s="85" t="s">
        <v>696</v>
      </c>
      <c r="AR68" s="80" t="s">
        <v>218</v>
      </c>
      <c r="AS68" s="80">
        <v>0</v>
      </c>
      <c r="AT68" s="80">
        <v>0</v>
      </c>
      <c r="AU68" s="80"/>
      <c r="AV68" s="80"/>
      <c r="AW68" s="80"/>
      <c r="AX68" s="80"/>
      <c r="AY68" s="80"/>
      <c r="AZ68" s="80"/>
      <c r="BA68" s="80"/>
      <c r="BB68" s="80"/>
      <c r="BC68" s="80">
        <v>3</v>
      </c>
      <c r="BD68" s="79" t="str">
        <f>REPLACE(INDEX(GroupVertices[Group],MATCH(Edges[[#This Row],[Vertex 1]],GroupVertices[Vertex],0)),1,1,"")</f>
        <v>4</v>
      </c>
      <c r="BE68" s="79" t="str">
        <f>REPLACE(INDEX(GroupVertices[Group],MATCH(Edges[[#This Row],[Vertex 2]],GroupVertices[Vertex],0)),1,1,"")</f>
        <v>2</v>
      </c>
      <c r="BF68" s="49">
        <v>0</v>
      </c>
      <c r="BG68" s="50">
        <v>0</v>
      </c>
      <c r="BH68" s="49">
        <v>5</v>
      </c>
      <c r="BI68" s="50">
        <v>12.820512820512821</v>
      </c>
      <c r="BJ68" s="49">
        <v>0</v>
      </c>
      <c r="BK68" s="50">
        <v>0</v>
      </c>
      <c r="BL68" s="49">
        <v>34</v>
      </c>
      <c r="BM68" s="50">
        <v>87.17948717948718</v>
      </c>
      <c r="BN68" s="49">
        <v>39</v>
      </c>
    </row>
    <row r="69" spans="1:66" ht="15">
      <c r="A69" s="65" t="s">
        <v>555</v>
      </c>
      <c r="B69" s="65" t="s">
        <v>519</v>
      </c>
      <c r="C69" s="66" t="s">
        <v>514</v>
      </c>
      <c r="D69" s="67">
        <v>10</v>
      </c>
      <c r="E69" s="66"/>
      <c r="F69" s="69">
        <v>15</v>
      </c>
      <c r="G69" s="66"/>
      <c r="H69" s="70"/>
      <c r="I69" s="71"/>
      <c r="J69" s="71"/>
      <c r="K69" s="35" t="s">
        <v>65</v>
      </c>
      <c r="L69" s="72">
        <v>69</v>
      </c>
      <c r="M69" s="72"/>
      <c r="N69" s="73"/>
      <c r="O69" s="80" t="s">
        <v>264</v>
      </c>
      <c r="P69" s="82">
        <v>44693.17371527778</v>
      </c>
      <c r="Q69" s="80" t="s">
        <v>581</v>
      </c>
      <c r="R69" s="80"/>
      <c r="S69" s="80"/>
      <c r="T69" s="80"/>
      <c r="U69" s="83" t="str">
        <f>HYPERLINK("https://pbs.twimg.com/ext_tw_video_thumb/1524368758437216256/pu/img/3UwSYL_0rta3dEGi.jpg")</f>
        <v>https://pbs.twimg.com/ext_tw_video_thumb/1524368758437216256/pu/img/3UwSYL_0rta3dEGi.jpg</v>
      </c>
      <c r="V69" s="83" t="str">
        <f>HYPERLINK("https://pbs.twimg.com/ext_tw_video_thumb/1524368758437216256/pu/img/3UwSYL_0rta3dEGi.jpg")</f>
        <v>https://pbs.twimg.com/ext_tw_video_thumb/1524368758437216256/pu/img/3UwSYL_0rta3dEGi.jpg</v>
      </c>
      <c r="W69" s="82">
        <v>44693.17371527778</v>
      </c>
      <c r="X69" s="87">
        <v>44693</v>
      </c>
      <c r="Y69" s="85" t="s">
        <v>627</v>
      </c>
      <c r="Z69" s="83" t="str">
        <f>HYPERLINK("https://twitter.com/hardikp59369014/status/1524602805578649600")</f>
        <v>https://twitter.com/hardikp59369014/status/1524602805578649600</v>
      </c>
      <c r="AA69" s="80"/>
      <c r="AB69" s="80"/>
      <c r="AC69" s="85" t="s">
        <v>681</v>
      </c>
      <c r="AD69" s="80"/>
      <c r="AE69" s="80" t="b">
        <v>0</v>
      </c>
      <c r="AF69" s="80">
        <v>0</v>
      </c>
      <c r="AG69" s="85" t="s">
        <v>267</v>
      </c>
      <c r="AH69" s="80" t="b">
        <v>0</v>
      </c>
      <c r="AI69" s="80" t="s">
        <v>268</v>
      </c>
      <c r="AJ69" s="80"/>
      <c r="AK69" s="85" t="s">
        <v>267</v>
      </c>
      <c r="AL69" s="80" t="b">
        <v>0</v>
      </c>
      <c r="AM69" s="80">
        <v>16</v>
      </c>
      <c r="AN69" s="85" t="s">
        <v>698</v>
      </c>
      <c r="AO69" s="85" t="s">
        <v>272</v>
      </c>
      <c r="AP69" s="80" t="b">
        <v>0</v>
      </c>
      <c r="AQ69" s="85" t="s">
        <v>698</v>
      </c>
      <c r="AR69" s="80" t="s">
        <v>218</v>
      </c>
      <c r="AS69" s="80">
        <v>0</v>
      </c>
      <c r="AT69" s="80">
        <v>0</v>
      </c>
      <c r="AU69" s="80"/>
      <c r="AV69" s="80"/>
      <c r="AW69" s="80"/>
      <c r="AX69" s="80"/>
      <c r="AY69" s="80"/>
      <c r="AZ69" s="80"/>
      <c r="BA69" s="80"/>
      <c r="BB69" s="80"/>
      <c r="BC69" s="80">
        <v>2</v>
      </c>
      <c r="BD69" s="79" t="str">
        <f>REPLACE(INDEX(GroupVertices[Group],MATCH(Edges[[#This Row],[Vertex 1]],GroupVertices[Vertex],0)),1,1,"")</f>
        <v>4</v>
      </c>
      <c r="BE69" s="79" t="str">
        <f>REPLACE(INDEX(GroupVertices[Group],MATCH(Edges[[#This Row],[Vertex 2]],GroupVertices[Vertex],0)),1,1,"")</f>
        <v>1</v>
      </c>
      <c r="BF69" s="49"/>
      <c r="BG69" s="50"/>
      <c r="BH69" s="49"/>
      <c r="BI69" s="50"/>
      <c r="BJ69" s="49"/>
      <c r="BK69" s="50"/>
      <c r="BL69" s="49"/>
      <c r="BM69" s="50"/>
      <c r="BN69" s="49"/>
    </row>
    <row r="70" spans="1:66" ht="15">
      <c r="A70" s="65" t="s">
        <v>555</v>
      </c>
      <c r="B70" s="65" t="s">
        <v>559</v>
      </c>
      <c r="C70" s="66" t="s">
        <v>514</v>
      </c>
      <c r="D70" s="67">
        <v>10</v>
      </c>
      <c r="E70" s="66"/>
      <c r="F70" s="69">
        <v>15</v>
      </c>
      <c r="G70" s="66"/>
      <c r="H70" s="70"/>
      <c r="I70" s="71"/>
      <c r="J70" s="71"/>
      <c r="K70" s="35" t="s">
        <v>65</v>
      </c>
      <c r="L70" s="72">
        <v>70</v>
      </c>
      <c r="M70" s="72"/>
      <c r="N70" s="73"/>
      <c r="O70" s="80" t="s">
        <v>263</v>
      </c>
      <c r="P70" s="82">
        <v>44693.17371527778</v>
      </c>
      <c r="Q70" s="80" t="s">
        <v>581</v>
      </c>
      <c r="R70" s="80"/>
      <c r="S70" s="80"/>
      <c r="T70" s="80"/>
      <c r="U70" s="83" t="str">
        <f>HYPERLINK("https://pbs.twimg.com/ext_tw_video_thumb/1524368758437216256/pu/img/3UwSYL_0rta3dEGi.jpg")</f>
        <v>https://pbs.twimg.com/ext_tw_video_thumb/1524368758437216256/pu/img/3UwSYL_0rta3dEGi.jpg</v>
      </c>
      <c r="V70" s="83" t="str">
        <f>HYPERLINK("https://pbs.twimg.com/ext_tw_video_thumb/1524368758437216256/pu/img/3UwSYL_0rta3dEGi.jpg")</f>
        <v>https://pbs.twimg.com/ext_tw_video_thumb/1524368758437216256/pu/img/3UwSYL_0rta3dEGi.jpg</v>
      </c>
      <c r="W70" s="82">
        <v>44693.17371527778</v>
      </c>
      <c r="X70" s="87">
        <v>44693</v>
      </c>
      <c r="Y70" s="85" t="s">
        <v>627</v>
      </c>
      <c r="Z70" s="83" t="str">
        <f>HYPERLINK("https://twitter.com/hardikp59369014/status/1524602805578649600")</f>
        <v>https://twitter.com/hardikp59369014/status/1524602805578649600</v>
      </c>
      <c r="AA70" s="80"/>
      <c r="AB70" s="80"/>
      <c r="AC70" s="85" t="s">
        <v>681</v>
      </c>
      <c r="AD70" s="80"/>
      <c r="AE70" s="80" t="b">
        <v>0</v>
      </c>
      <c r="AF70" s="80">
        <v>0</v>
      </c>
      <c r="AG70" s="85" t="s">
        <v>267</v>
      </c>
      <c r="AH70" s="80" t="b">
        <v>0</v>
      </c>
      <c r="AI70" s="80" t="s">
        <v>268</v>
      </c>
      <c r="AJ70" s="80"/>
      <c r="AK70" s="85" t="s">
        <v>267</v>
      </c>
      <c r="AL70" s="80" t="b">
        <v>0</v>
      </c>
      <c r="AM70" s="80">
        <v>16</v>
      </c>
      <c r="AN70" s="85" t="s">
        <v>698</v>
      </c>
      <c r="AO70" s="85" t="s">
        <v>272</v>
      </c>
      <c r="AP70" s="80" t="b">
        <v>0</v>
      </c>
      <c r="AQ70" s="85" t="s">
        <v>698</v>
      </c>
      <c r="AR70" s="80" t="s">
        <v>218</v>
      </c>
      <c r="AS70" s="80">
        <v>0</v>
      </c>
      <c r="AT70" s="80">
        <v>0</v>
      </c>
      <c r="AU70" s="80"/>
      <c r="AV70" s="80"/>
      <c r="AW70" s="80"/>
      <c r="AX70" s="80"/>
      <c r="AY70" s="80"/>
      <c r="AZ70" s="80"/>
      <c r="BA70" s="80"/>
      <c r="BB70" s="80"/>
      <c r="BC70" s="80">
        <v>3</v>
      </c>
      <c r="BD70" s="79" t="str">
        <f>REPLACE(INDEX(GroupVertices[Group],MATCH(Edges[[#This Row],[Vertex 1]],GroupVertices[Vertex],0)),1,1,"")</f>
        <v>4</v>
      </c>
      <c r="BE70" s="79" t="str">
        <f>REPLACE(INDEX(GroupVertices[Group],MATCH(Edges[[#This Row],[Vertex 2]],GroupVertices[Vertex],0)),1,1,"")</f>
        <v>2</v>
      </c>
      <c r="BF70" s="49">
        <v>0</v>
      </c>
      <c r="BG70" s="50">
        <v>0</v>
      </c>
      <c r="BH70" s="49">
        <v>2</v>
      </c>
      <c r="BI70" s="50">
        <v>4.651162790697675</v>
      </c>
      <c r="BJ70" s="49">
        <v>0</v>
      </c>
      <c r="BK70" s="50">
        <v>0</v>
      </c>
      <c r="BL70" s="49">
        <v>41</v>
      </c>
      <c r="BM70" s="50">
        <v>95.34883720930233</v>
      </c>
      <c r="BN70" s="49">
        <v>43</v>
      </c>
    </row>
    <row r="71" spans="1:66" ht="15">
      <c r="A71" s="65" t="s">
        <v>555</v>
      </c>
      <c r="B71" s="65" t="s">
        <v>520</v>
      </c>
      <c r="C71" s="66" t="s">
        <v>513</v>
      </c>
      <c r="D71" s="67">
        <v>5</v>
      </c>
      <c r="E71" s="66"/>
      <c r="F71" s="69">
        <v>50</v>
      </c>
      <c r="G71" s="66"/>
      <c r="H71" s="70"/>
      <c r="I71" s="71"/>
      <c r="J71" s="71"/>
      <c r="K71" s="35" t="s">
        <v>65</v>
      </c>
      <c r="L71" s="72">
        <v>71</v>
      </c>
      <c r="M71" s="72"/>
      <c r="N71" s="73"/>
      <c r="O71" s="80" t="s">
        <v>261</v>
      </c>
      <c r="P71" s="82">
        <v>44693.35543981481</v>
      </c>
      <c r="Q71" s="80" t="s">
        <v>582</v>
      </c>
      <c r="R71" s="80"/>
      <c r="S71" s="80"/>
      <c r="T71" s="80"/>
      <c r="U71" s="80"/>
      <c r="V71" s="83" t="str">
        <f>HYPERLINK("https://pbs.twimg.com/profile_images/1092876231463165952/gkmTL7e8_normal.jpg")</f>
        <v>https://pbs.twimg.com/profile_images/1092876231463165952/gkmTL7e8_normal.jpg</v>
      </c>
      <c r="W71" s="82">
        <v>44693.35543981481</v>
      </c>
      <c r="X71" s="87">
        <v>44693</v>
      </c>
      <c r="Y71" s="85" t="s">
        <v>628</v>
      </c>
      <c r="Z71" s="83" t="str">
        <f>HYPERLINK("https://twitter.com/hardikp59369014/status/1524668661138882566")</f>
        <v>https://twitter.com/hardikp59369014/status/1524668661138882566</v>
      </c>
      <c r="AA71" s="80"/>
      <c r="AB71" s="80"/>
      <c r="AC71" s="85" t="s">
        <v>682</v>
      </c>
      <c r="AD71" s="85" t="s">
        <v>692</v>
      </c>
      <c r="AE71" s="80" t="b">
        <v>0</v>
      </c>
      <c r="AF71" s="80">
        <v>1</v>
      </c>
      <c r="AG71" s="85" t="s">
        <v>709</v>
      </c>
      <c r="AH71" s="80" t="b">
        <v>0</v>
      </c>
      <c r="AI71" s="80" t="s">
        <v>268</v>
      </c>
      <c r="AJ71" s="80"/>
      <c r="AK71" s="85" t="s">
        <v>267</v>
      </c>
      <c r="AL71" s="80" t="b">
        <v>0</v>
      </c>
      <c r="AM71" s="80">
        <v>1</v>
      </c>
      <c r="AN71" s="85" t="s">
        <v>267</v>
      </c>
      <c r="AO71" s="85" t="s">
        <v>272</v>
      </c>
      <c r="AP71" s="80" t="b">
        <v>0</v>
      </c>
      <c r="AQ71" s="85" t="s">
        <v>692</v>
      </c>
      <c r="AR71" s="80" t="s">
        <v>218</v>
      </c>
      <c r="AS71" s="80">
        <v>0</v>
      </c>
      <c r="AT71" s="80">
        <v>0</v>
      </c>
      <c r="AU71" s="80"/>
      <c r="AV71" s="80"/>
      <c r="AW71" s="80"/>
      <c r="AX71" s="80"/>
      <c r="AY71" s="80"/>
      <c r="AZ71" s="80"/>
      <c r="BA71" s="80"/>
      <c r="BB71" s="80"/>
      <c r="BC71" s="80">
        <v>1</v>
      </c>
      <c r="BD71" s="79" t="str">
        <f>REPLACE(INDEX(GroupVertices[Group],MATCH(Edges[[#This Row],[Vertex 1]],GroupVertices[Vertex],0)),1,1,"")</f>
        <v>4</v>
      </c>
      <c r="BE71" s="79" t="str">
        <f>REPLACE(INDEX(GroupVertices[Group],MATCH(Edges[[#This Row],[Vertex 2]],GroupVertices[Vertex],0)),1,1,"")</f>
        <v>4</v>
      </c>
      <c r="BF71" s="49">
        <v>0</v>
      </c>
      <c r="BG71" s="50">
        <v>0</v>
      </c>
      <c r="BH71" s="49">
        <v>1</v>
      </c>
      <c r="BI71" s="50">
        <v>25</v>
      </c>
      <c r="BJ71" s="49">
        <v>0</v>
      </c>
      <c r="BK71" s="50">
        <v>0</v>
      </c>
      <c r="BL71" s="49">
        <v>3</v>
      </c>
      <c r="BM71" s="50">
        <v>75</v>
      </c>
      <c r="BN71" s="49">
        <v>4</v>
      </c>
    </row>
    <row r="72" spans="1:66" ht="15">
      <c r="A72" s="65" t="s">
        <v>555</v>
      </c>
      <c r="B72" s="65" t="s">
        <v>559</v>
      </c>
      <c r="C72" s="66" t="s">
        <v>514</v>
      </c>
      <c r="D72" s="67">
        <v>10</v>
      </c>
      <c r="E72" s="66"/>
      <c r="F72" s="69">
        <v>15</v>
      </c>
      <c r="G72" s="66"/>
      <c r="H72" s="70"/>
      <c r="I72" s="71"/>
      <c r="J72" s="71"/>
      <c r="K72" s="35" t="s">
        <v>65</v>
      </c>
      <c r="L72" s="72">
        <v>72</v>
      </c>
      <c r="M72" s="72"/>
      <c r="N72" s="73"/>
      <c r="O72" s="80" t="s">
        <v>262</v>
      </c>
      <c r="P72" s="82">
        <v>44693.35543981481</v>
      </c>
      <c r="Q72" s="80" t="s">
        <v>582</v>
      </c>
      <c r="R72" s="80"/>
      <c r="S72" s="80"/>
      <c r="T72" s="80"/>
      <c r="U72" s="80"/>
      <c r="V72" s="83" t="str">
        <f>HYPERLINK("https://pbs.twimg.com/profile_images/1092876231463165952/gkmTL7e8_normal.jpg")</f>
        <v>https://pbs.twimg.com/profile_images/1092876231463165952/gkmTL7e8_normal.jpg</v>
      </c>
      <c r="W72" s="82">
        <v>44693.35543981481</v>
      </c>
      <c r="X72" s="87">
        <v>44693</v>
      </c>
      <c r="Y72" s="85" t="s">
        <v>628</v>
      </c>
      <c r="Z72" s="83" t="str">
        <f>HYPERLINK("https://twitter.com/hardikp59369014/status/1524668661138882566")</f>
        <v>https://twitter.com/hardikp59369014/status/1524668661138882566</v>
      </c>
      <c r="AA72" s="80"/>
      <c r="AB72" s="80"/>
      <c r="AC72" s="85" t="s">
        <v>682</v>
      </c>
      <c r="AD72" s="85" t="s">
        <v>692</v>
      </c>
      <c r="AE72" s="80" t="b">
        <v>0</v>
      </c>
      <c r="AF72" s="80">
        <v>1</v>
      </c>
      <c r="AG72" s="85" t="s">
        <v>709</v>
      </c>
      <c r="AH72" s="80" t="b">
        <v>0</v>
      </c>
      <c r="AI72" s="80" t="s">
        <v>268</v>
      </c>
      <c r="AJ72" s="80"/>
      <c r="AK72" s="85" t="s">
        <v>267</v>
      </c>
      <c r="AL72" s="80" t="b">
        <v>0</v>
      </c>
      <c r="AM72" s="80">
        <v>1</v>
      </c>
      <c r="AN72" s="85" t="s">
        <v>267</v>
      </c>
      <c r="AO72" s="85" t="s">
        <v>272</v>
      </c>
      <c r="AP72" s="80" t="b">
        <v>0</v>
      </c>
      <c r="AQ72" s="85" t="s">
        <v>692</v>
      </c>
      <c r="AR72" s="80" t="s">
        <v>218</v>
      </c>
      <c r="AS72" s="80">
        <v>0</v>
      </c>
      <c r="AT72" s="80">
        <v>0</v>
      </c>
      <c r="AU72" s="80"/>
      <c r="AV72" s="80"/>
      <c r="AW72" s="80"/>
      <c r="AX72" s="80"/>
      <c r="AY72" s="80"/>
      <c r="AZ72" s="80"/>
      <c r="BA72" s="80"/>
      <c r="BB72" s="80"/>
      <c r="BC72" s="80">
        <v>3</v>
      </c>
      <c r="BD72" s="79" t="str">
        <f>REPLACE(INDEX(GroupVertices[Group],MATCH(Edges[[#This Row],[Vertex 1]],GroupVertices[Vertex],0)),1,1,"")</f>
        <v>4</v>
      </c>
      <c r="BE72" s="79" t="str">
        <f>REPLACE(INDEX(GroupVertices[Group],MATCH(Edges[[#This Row],[Vertex 2]],GroupVertices[Vertex],0)),1,1,"")</f>
        <v>2</v>
      </c>
      <c r="BF72" s="49"/>
      <c r="BG72" s="50"/>
      <c r="BH72" s="49"/>
      <c r="BI72" s="50"/>
      <c r="BJ72" s="49"/>
      <c r="BK72" s="50"/>
      <c r="BL72" s="49"/>
      <c r="BM72" s="50"/>
      <c r="BN72" s="49"/>
    </row>
    <row r="73" spans="1:66" ht="15">
      <c r="A73" s="65" t="s">
        <v>556</v>
      </c>
      <c r="B73" s="65" t="s">
        <v>555</v>
      </c>
      <c r="C73" s="66" t="s">
        <v>513</v>
      </c>
      <c r="D73" s="67">
        <v>5</v>
      </c>
      <c r="E73" s="66"/>
      <c r="F73" s="69">
        <v>50</v>
      </c>
      <c r="G73" s="66"/>
      <c r="H73" s="70"/>
      <c r="I73" s="71"/>
      <c r="J73" s="71"/>
      <c r="K73" s="35" t="s">
        <v>65</v>
      </c>
      <c r="L73" s="72">
        <v>73</v>
      </c>
      <c r="M73" s="72"/>
      <c r="N73" s="73"/>
      <c r="O73" s="80" t="s">
        <v>263</v>
      </c>
      <c r="P73" s="82">
        <v>44694.375185185185</v>
      </c>
      <c r="Q73" s="80" t="s">
        <v>582</v>
      </c>
      <c r="R73" s="80"/>
      <c r="S73" s="80"/>
      <c r="T73" s="80"/>
      <c r="U73" s="80"/>
      <c r="V73" s="83" t="str">
        <f>HYPERLINK("https://pbs.twimg.com/profile_images/1357227655876272128/3dpMLIyf_normal.jpg")</f>
        <v>https://pbs.twimg.com/profile_images/1357227655876272128/3dpMLIyf_normal.jpg</v>
      </c>
      <c r="W73" s="82">
        <v>44694.375185185185</v>
      </c>
      <c r="X73" s="87">
        <v>44694</v>
      </c>
      <c r="Y73" s="85" t="s">
        <v>629</v>
      </c>
      <c r="Z73" s="83" t="str">
        <f>HYPERLINK("https://twitter.com/bumrahgarry/status/1525038206667870209")</f>
        <v>https://twitter.com/bumrahgarry/status/1525038206667870209</v>
      </c>
      <c r="AA73" s="80"/>
      <c r="AB73" s="80"/>
      <c r="AC73" s="85" t="s">
        <v>683</v>
      </c>
      <c r="AD73" s="80"/>
      <c r="AE73" s="80" t="b">
        <v>0</v>
      </c>
      <c r="AF73" s="80">
        <v>0</v>
      </c>
      <c r="AG73" s="85" t="s">
        <v>267</v>
      </c>
      <c r="AH73" s="80" t="b">
        <v>0</v>
      </c>
      <c r="AI73" s="80" t="s">
        <v>268</v>
      </c>
      <c r="AJ73" s="80"/>
      <c r="AK73" s="85" t="s">
        <v>267</v>
      </c>
      <c r="AL73" s="80" t="b">
        <v>0</v>
      </c>
      <c r="AM73" s="80">
        <v>1</v>
      </c>
      <c r="AN73" s="85" t="s">
        <v>682</v>
      </c>
      <c r="AO73" s="85" t="s">
        <v>271</v>
      </c>
      <c r="AP73" s="80" t="b">
        <v>0</v>
      </c>
      <c r="AQ73" s="85" t="s">
        <v>682</v>
      </c>
      <c r="AR73" s="80" t="s">
        <v>218</v>
      </c>
      <c r="AS73" s="80">
        <v>0</v>
      </c>
      <c r="AT73" s="80">
        <v>0</v>
      </c>
      <c r="AU73" s="80"/>
      <c r="AV73" s="80"/>
      <c r="AW73" s="80"/>
      <c r="AX73" s="80"/>
      <c r="AY73" s="80"/>
      <c r="AZ73" s="80"/>
      <c r="BA73" s="80"/>
      <c r="BB73" s="80"/>
      <c r="BC73" s="80">
        <v>1</v>
      </c>
      <c r="BD73" s="79" t="str">
        <f>REPLACE(INDEX(GroupVertices[Group],MATCH(Edges[[#This Row],[Vertex 1]],GroupVertices[Vertex],0)),1,1,"")</f>
        <v>4</v>
      </c>
      <c r="BE73" s="79" t="str">
        <f>REPLACE(INDEX(GroupVertices[Group],MATCH(Edges[[#This Row],[Vertex 2]],GroupVertices[Vertex],0)),1,1,"")</f>
        <v>4</v>
      </c>
      <c r="BF73" s="49"/>
      <c r="BG73" s="50"/>
      <c r="BH73" s="49"/>
      <c r="BI73" s="50"/>
      <c r="BJ73" s="49"/>
      <c r="BK73" s="50"/>
      <c r="BL73" s="49"/>
      <c r="BM73" s="50"/>
      <c r="BN73" s="49"/>
    </row>
    <row r="74" spans="1:66" ht="15">
      <c r="A74" s="65" t="s">
        <v>556</v>
      </c>
      <c r="B74" s="65" t="s">
        <v>520</v>
      </c>
      <c r="C74" s="66" t="s">
        <v>513</v>
      </c>
      <c r="D74" s="67">
        <v>5</v>
      </c>
      <c r="E74" s="66"/>
      <c r="F74" s="69">
        <v>50</v>
      </c>
      <c r="G74" s="66"/>
      <c r="H74" s="70"/>
      <c r="I74" s="71"/>
      <c r="J74" s="71"/>
      <c r="K74" s="35" t="s">
        <v>65</v>
      </c>
      <c r="L74" s="72">
        <v>74</v>
      </c>
      <c r="M74" s="72"/>
      <c r="N74" s="73"/>
      <c r="O74" s="80" t="s">
        <v>264</v>
      </c>
      <c r="P74" s="82">
        <v>44694.375185185185</v>
      </c>
      <c r="Q74" s="80" t="s">
        <v>582</v>
      </c>
      <c r="R74" s="80"/>
      <c r="S74" s="80"/>
      <c r="T74" s="80"/>
      <c r="U74" s="80"/>
      <c r="V74" s="83" t="str">
        <f>HYPERLINK("https://pbs.twimg.com/profile_images/1357227655876272128/3dpMLIyf_normal.jpg")</f>
        <v>https://pbs.twimg.com/profile_images/1357227655876272128/3dpMLIyf_normal.jpg</v>
      </c>
      <c r="W74" s="82">
        <v>44694.375185185185</v>
      </c>
      <c r="X74" s="87">
        <v>44694</v>
      </c>
      <c r="Y74" s="85" t="s">
        <v>629</v>
      </c>
      <c r="Z74" s="83" t="str">
        <f>HYPERLINK("https://twitter.com/bumrahgarry/status/1525038206667870209")</f>
        <v>https://twitter.com/bumrahgarry/status/1525038206667870209</v>
      </c>
      <c r="AA74" s="80"/>
      <c r="AB74" s="80"/>
      <c r="AC74" s="85" t="s">
        <v>683</v>
      </c>
      <c r="AD74" s="80"/>
      <c r="AE74" s="80" t="b">
        <v>0</v>
      </c>
      <c r="AF74" s="80">
        <v>0</v>
      </c>
      <c r="AG74" s="85" t="s">
        <v>267</v>
      </c>
      <c r="AH74" s="80" t="b">
        <v>0</v>
      </c>
      <c r="AI74" s="80" t="s">
        <v>268</v>
      </c>
      <c r="AJ74" s="80"/>
      <c r="AK74" s="85" t="s">
        <v>267</v>
      </c>
      <c r="AL74" s="80" t="b">
        <v>0</v>
      </c>
      <c r="AM74" s="80">
        <v>1</v>
      </c>
      <c r="AN74" s="85" t="s">
        <v>682</v>
      </c>
      <c r="AO74" s="85" t="s">
        <v>271</v>
      </c>
      <c r="AP74" s="80" t="b">
        <v>0</v>
      </c>
      <c r="AQ74" s="85" t="s">
        <v>682</v>
      </c>
      <c r="AR74" s="80" t="s">
        <v>218</v>
      </c>
      <c r="AS74" s="80">
        <v>0</v>
      </c>
      <c r="AT74" s="80">
        <v>0</v>
      </c>
      <c r="AU74" s="80"/>
      <c r="AV74" s="80"/>
      <c r="AW74" s="80"/>
      <c r="AX74" s="80"/>
      <c r="AY74" s="80"/>
      <c r="AZ74" s="80"/>
      <c r="BA74" s="80"/>
      <c r="BB74" s="80"/>
      <c r="BC74" s="80">
        <v>1</v>
      </c>
      <c r="BD74" s="79" t="str">
        <f>REPLACE(INDEX(GroupVertices[Group],MATCH(Edges[[#This Row],[Vertex 1]],GroupVertices[Vertex],0)),1,1,"")</f>
        <v>4</v>
      </c>
      <c r="BE74" s="79" t="str">
        <f>REPLACE(INDEX(GroupVertices[Group],MATCH(Edges[[#This Row],[Vertex 2]],GroupVertices[Vertex],0)),1,1,"")</f>
        <v>4</v>
      </c>
      <c r="BF74" s="49"/>
      <c r="BG74" s="50"/>
      <c r="BH74" s="49"/>
      <c r="BI74" s="50"/>
      <c r="BJ74" s="49"/>
      <c r="BK74" s="50"/>
      <c r="BL74" s="49"/>
      <c r="BM74" s="50"/>
      <c r="BN74" s="49"/>
    </row>
    <row r="75" spans="1:66" ht="15">
      <c r="A75" s="65" t="s">
        <v>556</v>
      </c>
      <c r="B75" s="65" t="s">
        <v>559</v>
      </c>
      <c r="C75" s="66" t="s">
        <v>513</v>
      </c>
      <c r="D75" s="67">
        <v>5</v>
      </c>
      <c r="E75" s="66"/>
      <c r="F75" s="69">
        <v>50</v>
      </c>
      <c r="G75" s="66"/>
      <c r="H75" s="70"/>
      <c r="I75" s="71"/>
      <c r="J75" s="71"/>
      <c r="K75" s="35" t="s">
        <v>65</v>
      </c>
      <c r="L75" s="72">
        <v>75</v>
      </c>
      <c r="M75" s="72"/>
      <c r="N75" s="73"/>
      <c r="O75" s="80" t="s">
        <v>262</v>
      </c>
      <c r="P75" s="82">
        <v>44694.375185185185</v>
      </c>
      <c r="Q75" s="80" t="s">
        <v>582</v>
      </c>
      <c r="R75" s="80"/>
      <c r="S75" s="80"/>
      <c r="T75" s="80"/>
      <c r="U75" s="80"/>
      <c r="V75" s="83" t="str">
        <f>HYPERLINK("https://pbs.twimg.com/profile_images/1357227655876272128/3dpMLIyf_normal.jpg")</f>
        <v>https://pbs.twimg.com/profile_images/1357227655876272128/3dpMLIyf_normal.jpg</v>
      </c>
      <c r="W75" s="82">
        <v>44694.375185185185</v>
      </c>
      <c r="X75" s="87">
        <v>44694</v>
      </c>
      <c r="Y75" s="85" t="s">
        <v>629</v>
      </c>
      <c r="Z75" s="83" t="str">
        <f>HYPERLINK("https://twitter.com/bumrahgarry/status/1525038206667870209")</f>
        <v>https://twitter.com/bumrahgarry/status/1525038206667870209</v>
      </c>
      <c r="AA75" s="80"/>
      <c r="AB75" s="80"/>
      <c r="AC75" s="85" t="s">
        <v>683</v>
      </c>
      <c r="AD75" s="80"/>
      <c r="AE75" s="80" t="b">
        <v>0</v>
      </c>
      <c r="AF75" s="80">
        <v>0</v>
      </c>
      <c r="AG75" s="85" t="s">
        <v>267</v>
      </c>
      <c r="AH75" s="80" t="b">
        <v>0</v>
      </c>
      <c r="AI75" s="80" t="s">
        <v>268</v>
      </c>
      <c r="AJ75" s="80"/>
      <c r="AK75" s="85" t="s">
        <v>267</v>
      </c>
      <c r="AL75" s="80" t="b">
        <v>0</v>
      </c>
      <c r="AM75" s="80">
        <v>1</v>
      </c>
      <c r="AN75" s="85" t="s">
        <v>682</v>
      </c>
      <c r="AO75" s="85" t="s">
        <v>271</v>
      </c>
      <c r="AP75" s="80" t="b">
        <v>0</v>
      </c>
      <c r="AQ75" s="85" t="s">
        <v>682</v>
      </c>
      <c r="AR75" s="80" t="s">
        <v>218</v>
      </c>
      <c r="AS75" s="80">
        <v>0</v>
      </c>
      <c r="AT75" s="80">
        <v>0</v>
      </c>
      <c r="AU75" s="80"/>
      <c r="AV75" s="80"/>
      <c r="AW75" s="80"/>
      <c r="AX75" s="80"/>
      <c r="AY75" s="80"/>
      <c r="AZ75" s="80"/>
      <c r="BA75" s="80"/>
      <c r="BB75" s="80"/>
      <c r="BC75" s="80">
        <v>1</v>
      </c>
      <c r="BD75" s="79" t="str">
        <f>REPLACE(INDEX(GroupVertices[Group],MATCH(Edges[[#This Row],[Vertex 1]],GroupVertices[Vertex],0)),1,1,"")</f>
        <v>4</v>
      </c>
      <c r="BE75" s="79" t="str">
        <f>REPLACE(INDEX(GroupVertices[Group],MATCH(Edges[[#This Row],[Vertex 2]],GroupVertices[Vertex],0)),1,1,"")</f>
        <v>2</v>
      </c>
      <c r="BF75" s="49">
        <v>0</v>
      </c>
      <c r="BG75" s="50">
        <v>0</v>
      </c>
      <c r="BH75" s="49">
        <v>1</v>
      </c>
      <c r="BI75" s="50">
        <v>25</v>
      </c>
      <c r="BJ75" s="49">
        <v>0</v>
      </c>
      <c r="BK75" s="50">
        <v>0</v>
      </c>
      <c r="BL75" s="49">
        <v>3</v>
      </c>
      <c r="BM75" s="50">
        <v>75</v>
      </c>
      <c r="BN75" s="49">
        <v>4</v>
      </c>
    </row>
    <row r="76" spans="1:66" ht="15">
      <c r="A76" s="65" t="s">
        <v>557</v>
      </c>
      <c r="B76" s="65" t="s">
        <v>519</v>
      </c>
      <c r="C76" s="66" t="s">
        <v>514</v>
      </c>
      <c r="D76" s="67">
        <v>10</v>
      </c>
      <c r="E76" s="66"/>
      <c r="F76" s="69">
        <v>15</v>
      </c>
      <c r="G76" s="66"/>
      <c r="H76" s="70"/>
      <c r="I76" s="71"/>
      <c r="J76" s="71"/>
      <c r="K76" s="35" t="s">
        <v>65</v>
      </c>
      <c r="L76" s="72">
        <v>76</v>
      </c>
      <c r="M76" s="72"/>
      <c r="N76" s="73"/>
      <c r="O76" s="80" t="s">
        <v>264</v>
      </c>
      <c r="P76" s="82">
        <v>44692.19731481482</v>
      </c>
      <c r="Q76" s="80" t="s">
        <v>580</v>
      </c>
      <c r="R76" s="80"/>
      <c r="S76" s="80"/>
      <c r="T76" s="85" t="s">
        <v>596</v>
      </c>
      <c r="U76" s="83" t="str">
        <f>HYPERLINK("https://pbs.twimg.com/media/FSc09v5aQAAY6bm.jpg")</f>
        <v>https://pbs.twimg.com/media/FSc09v5aQAAY6bm.jpg</v>
      </c>
      <c r="V76" s="83" t="str">
        <f>HYPERLINK("https://pbs.twimg.com/media/FSc09v5aQAAY6bm.jpg")</f>
        <v>https://pbs.twimg.com/media/FSc09v5aQAAY6bm.jpg</v>
      </c>
      <c r="W76" s="82">
        <v>44692.19731481482</v>
      </c>
      <c r="X76" s="87">
        <v>44692</v>
      </c>
      <c r="Y76" s="85" t="s">
        <v>630</v>
      </c>
      <c r="Z76" s="83" t="str">
        <f>HYPERLINK("https://twitter.com/kulbir51059784/status/1524248969043673088")</f>
        <v>https://twitter.com/kulbir51059784/status/1524248969043673088</v>
      </c>
      <c r="AA76" s="80"/>
      <c r="AB76" s="80"/>
      <c r="AC76" s="85" t="s">
        <v>684</v>
      </c>
      <c r="AD76" s="80"/>
      <c r="AE76" s="80" t="b">
        <v>0</v>
      </c>
      <c r="AF76" s="80">
        <v>0</v>
      </c>
      <c r="AG76" s="85" t="s">
        <v>267</v>
      </c>
      <c r="AH76" s="80" t="b">
        <v>0</v>
      </c>
      <c r="AI76" s="80" t="s">
        <v>268</v>
      </c>
      <c r="AJ76" s="80"/>
      <c r="AK76" s="85" t="s">
        <v>267</v>
      </c>
      <c r="AL76" s="80" t="b">
        <v>0</v>
      </c>
      <c r="AM76" s="80">
        <v>19</v>
      </c>
      <c r="AN76" s="85" t="s">
        <v>696</v>
      </c>
      <c r="AO76" s="85" t="s">
        <v>272</v>
      </c>
      <c r="AP76" s="80" t="b">
        <v>0</v>
      </c>
      <c r="AQ76" s="85" t="s">
        <v>696</v>
      </c>
      <c r="AR76" s="80" t="s">
        <v>218</v>
      </c>
      <c r="AS76" s="80">
        <v>0</v>
      </c>
      <c r="AT76" s="80">
        <v>0</v>
      </c>
      <c r="AU76" s="80"/>
      <c r="AV76" s="80"/>
      <c r="AW76" s="80"/>
      <c r="AX76" s="80"/>
      <c r="AY76" s="80"/>
      <c r="AZ76" s="80"/>
      <c r="BA76" s="80"/>
      <c r="BB76" s="80"/>
      <c r="BC76" s="80">
        <v>2</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557</v>
      </c>
      <c r="B77" s="65" t="s">
        <v>258</v>
      </c>
      <c r="C77" s="66" t="s">
        <v>513</v>
      </c>
      <c r="D77" s="67">
        <v>5</v>
      </c>
      <c r="E77" s="66"/>
      <c r="F77" s="69">
        <v>50</v>
      </c>
      <c r="G77" s="66"/>
      <c r="H77" s="70"/>
      <c r="I77" s="71"/>
      <c r="J77" s="71"/>
      <c r="K77" s="35" t="s">
        <v>65</v>
      </c>
      <c r="L77" s="72">
        <v>77</v>
      </c>
      <c r="M77" s="72"/>
      <c r="N77" s="73"/>
      <c r="O77" s="80" t="s">
        <v>264</v>
      </c>
      <c r="P77" s="82">
        <v>44692.19731481482</v>
      </c>
      <c r="Q77" s="80" t="s">
        <v>580</v>
      </c>
      <c r="R77" s="80"/>
      <c r="S77" s="80"/>
      <c r="T77" s="85" t="s">
        <v>596</v>
      </c>
      <c r="U77" s="83" t="str">
        <f>HYPERLINK("https://pbs.twimg.com/media/FSc09v5aQAAY6bm.jpg")</f>
        <v>https://pbs.twimg.com/media/FSc09v5aQAAY6bm.jpg</v>
      </c>
      <c r="V77" s="83" t="str">
        <f>HYPERLINK("https://pbs.twimg.com/media/FSc09v5aQAAY6bm.jpg")</f>
        <v>https://pbs.twimg.com/media/FSc09v5aQAAY6bm.jpg</v>
      </c>
      <c r="W77" s="82">
        <v>44692.19731481482</v>
      </c>
      <c r="X77" s="87">
        <v>44692</v>
      </c>
      <c r="Y77" s="85" t="s">
        <v>630</v>
      </c>
      <c r="Z77" s="83" t="str">
        <f>HYPERLINK("https://twitter.com/kulbir51059784/status/1524248969043673088")</f>
        <v>https://twitter.com/kulbir51059784/status/1524248969043673088</v>
      </c>
      <c r="AA77" s="80"/>
      <c r="AB77" s="80"/>
      <c r="AC77" s="85" t="s">
        <v>684</v>
      </c>
      <c r="AD77" s="80"/>
      <c r="AE77" s="80" t="b">
        <v>0</v>
      </c>
      <c r="AF77" s="80">
        <v>0</v>
      </c>
      <c r="AG77" s="85" t="s">
        <v>267</v>
      </c>
      <c r="AH77" s="80" t="b">
        <v>0</v>
      </c>
      <c r="AI77" s="80" t="s">
        <v>268</v>
      </c>
      <c r="AJ77" s="80"/>
      <c r="AK77" s="85" t="s">
        <v>267</v>
      </c>
      <c r="AL77" s="80" t="b">
        <v>0</v>
      </c>
      <c r="AM77" s="80">
        <v>19</v>
      </c>
      <c r="AN77" s="85" t="s">
        <v>696</v>
      </c>
      <c r="AO77" s="85" t="s">
        <v>272</v>
      </c>
      <c r="AP77" s="80" t="b">
        <v>0</v>
      </c>
      <c r="AQ77" s="85" t="s">
        <v>696</v>
      </c>
      <c r="AR77" s="80" t="s">
        <v>218</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557</v>
      </c>
      <c r="B78" s="65" t="s">
        <v>559</v>
      </c>
      <c r="C78" s="66" t="s">
        <v>514</v>
      </c>
      <c r="D78" s="67">
        <v>10</v>
      </c>
      <c r="E78" s="66"/>
      <c r="F78" s="69">
        <v>15</v>
      </c>
      <c r="G78" s="66"/>
      <c r="H78" s="70"/>
      <c r="I78" s="71"/>
      <c r="J78" s="71"/>
      <c r="K78" s="35" t="s">
        <v>65</v>
      </c>
      <c r="L78" s="72">
        <v>78</v>
      </c>
      <c r="M78" s="72"/>
      <c r="N78" s="73"/>
      <c r="O78" s="80" t="s">
        <v>263</v>
      </c>
      <c r="P78" s="82">
        <v>44692.19731481482</v>
      </c>
      <c r="Q78" s="80" t="s">
        <v>580</v>
      </c>
      <c r="R78" s="80"/>
      <c r="S78" s="80"/>
      <c r="T78" s="85" t="s">
        <v>596</v>
      </c>
      <c r="U78" s="83" t="str">
        <f>HYPERLINK("https://pbs.twimg.com/media/FSc09v5aQAAY6bm.jpg")</f>
        <v>https://pbs.twimg.com/media/FSc09v5aQAAY6bm.jpg</v>
      </c>
      <c r="V78" s="83" t="str">
        <f>HYPERLINK("https://pbs.twimg.com/media/FSc09v5aQAAY6bm.jpg")</f>
        <v>https://pbs.twimg.com/media/FSc09v5aQAAY6bm.jpg</v>
      </c>
      <c r="W78" s="82">
        <v>44692.19731481482</v>
      </c>
      <c r="X78" s="87">
        <v>44692</v>
      </c>
      <c r="Y78" s="85" t="s">
        <v>630</v>
      </c>
      <c r="Z78" s="83" t="str">
        <f>HYPERLINK("https://twitter.com/kulbir51059784/status/1524248969043673088")</f>
        <v>https://twitter.com/kulbir51059784/status/1524248969043673088</v>
      </c>
      <c r="AA78" s="80"/>
      <c r="AB78" s="80"/>
      <c r="AC78" s="85" t="s">
        <v>684</v>
      </c>
      <c r="AD78" s="80"/>
      <c r="AE78" s="80" t="b">
        <v>0</v>
      </c>
      <c r="AF78" s="80">
        <v>0</v>
      </c>
      <c r="AG78" s="85" t="s">
        <v>267</v>
      </c>
      <c r="AH78" s="80" t="b">
        <v>0</v>
      </c>
      <c r="AI78" s="80" t="s">
        <v>268</v>
      </c>
      <c r="AJ78" s="80"/>
      <c r="AK78" s="85" t="s">
        <v>267</v>
      </c>
      <c r="AL78" s="80" t="b">
        <v>0</v>
      </c>
      <c r="AM78" s="80">
        <v>19</v>
      </c>
      <c r="AN78" s="85" t="s">
        <v>696</v>
      </c>
      <c r="AO78" s="85" t="s">
        <v>272</v>
      </c>
      <c r="AP78" s="80" t="b">
        <v>0</v>
      </c>
      <c r="AQ78" s="85" t="s">
        <v>696</v>
      </c>
      <c r="AR78" s="80" t="s">
        <v>218</v>
      </c>
      <c r="AS78" s="80">
        <v>0</v>
      </c>
      <c r="AT78" s="80">
        <v>0</v>
      </c>
      <c r="AU78" s="80"/>
      <c r="AV78" s="80"/>
      <c r="AW78" s="80"/>
      <c r="AX78" s="80"/>
      <c r="AY78" s="80"/>
      <c r="AZ78" s="80"/>
      <c r="BA78" s="80"/>
      <c r="BB78" s="80"/>
      <c r="BC78" s="80">
        <v>4</v>
      </c>
      <c r="BD78" s="79" t="str">
        <f>REPLACE(INDEX(GroupVertices[Group],MATCH(Edges[[#This Row],[Vertex 1]],GroupVertices[Vertex],0)),1,1,"")</f>
        <v>1</v>
      </c>
      <c r="BE78" s="79" t="str">
        <f>REPLACE(INDEX(GroupVertices[Group],MATCH(Edges[[#This Row],[Vertex 2]],GroupVertices[Vertex],0)),1,1,"")</f>
        <v>2</v>
      </c>
      <c r="BF78" s="49">
        <v>0</v>
      </c>
      <c r="BG78" s="50">
        <v>0</v>
      </c>
      <c r="BH78" s="49">
        <v>5</v>
      </c>
      <c r="BI78" s="50">
        <v>12.820512820512821</v>
      </c>
      <c r="BJ78" s="49">
        <v>0</v>
      </c>
      <c r="BK78" s="50">
        <v>0</v>
      </c>
      <c r="BL78" s="49">
        <v>34</v>
      </c>
      <c r="BM78" s="50">
        <v>87.17948717948718</v>
      </c>
      <c r="BN78" s="49">
        <v>39</v>
      </c>
    </row>
    <row r="79" spans="1:66" ht="15">
      <c r="A79" s="65" t="s">
        <v>557</v>
      </c>
      <c r="B79" s="65" t="s">
        <v>519</v>
      </c>
      <c r="C79" s="66" t="s">
        <v>514</v>
      </c>
      <c r="D79" s="67">
        <v>10</v>
      </c>
      <c r="E79" s="66"/>
      <c r="F79" s="69">
        <v>15</v>
      </c>
      <c r="G79" s="66"/>
      <c r="H79" s="70"/>
      <c r="I79" s="71"/>
      <c r="J79" s="71"/>
      <c r="K79" s="35" t="s">
        <v>65</v>
      </c>
      <c r="L79" s="72">
        <v>79</v>
      </c>
      <c r="M79" s="72"/>
      <c r="N79" s="73"/>
      <c r="O79" s="80" t="s">
        <v>264</v>
      </c>
      <c r="P79" s="82">
        <v>44692.5359837963</v>
      </c>
      <c r="Q79" s="80" t="s">
        <v>581</v>
      </c>
      <c r="R79" s="80"/>
      <c r="S79" s="80"/>
      <c r="T79" s="80"/>
      <c r="U79" s="83" t="str">
        <f>HYPERLINK("https://pbs.twimg.com/ext_tw_video_thumb/1524368758437216256/pu/img/3UwSYL_0rta3dEGi.jpg")</f>
        <v>https://pbs.twimg.com/ext_tw_video_thumb/1524368758437216256/pu/img/3UwSYL_0rta3dEGi.jpg</v>
      </c>
      <c r="V79" s="83" t="str">
        <f>HYPERLINK("https://pbs.twimg.com/ext_tw_video_thumb/1524368758437216256/pu/img/3UwSYL_0rta3dEGi.jpg")</f>
        <v>https://pbs.twimg.com/ext_tw_video_thumb/1524368758437216256/pu/img/3UwSYL_0rta3dEGi.jpg</v>
      </c>
      <c r="W79" s="82">
        <v>44692.5359837963</v>
      </c>
      <c r="X79" s="87">
        <v>44692</v>
      </c>
      <c r="Y79" s="85" t="s">
        <v>631</v>
      </c>
      <c r="Z79" s="83" t="str">
        <f>HYPERLINK("https://twitter.com/kulbir51059784/status/1524371701240598528")</f>
        <v>https://twitter.com/kulbir51059784/status/1524371701240598528</v>
      </c>
      <c r="AA79" s="80"/>
      <c r="AB79" s="80"/>
      <c r="AC79" s="85" t="s">
        <v>685</v>
      </c>
      <c r="AD79" s="80"/>
      <c r="AE79" s="80" t="b">
        <v>0</v>
      </c>
      <c r="AF79" s="80">
        <v>0</v>
      </c>
      <c r="AG79" s="85" t="s">
        <v>267</v>
      </c>
      <c r="AH79" s="80" t="b">
        <v>0</v>
      </c>
      <c r="AI79" s="80" t="s">
        <v>268</v>
      </c>
      <c r="AJ79" s="80"/>
      <c r="AK79" s="85" t="s">
        <v>267</v>
      </c>
      <c r="AL79" s="80" t="b">
        <v>0</v>
      </c>
      <c r="AM79" s="80">
        <v>16</v>
      </c>
      <c r="AN79" s="85" t="s">
        <v>698</v>
      </c>
      <c r="AO79" s="85" t="s">
        <v>272</v>
      </c>
      <c r="AP79" s="80" t="b">
        <v>0</v>
      </c>
      <c r="AQ79" s="85" t="s">
        <v>698</v>
      </c>
      <c r="AR79" s="80" t="s">
        <v>218</v>
      </c>
      <c r="AS79" s="80">
        <v>0</v>
      </c>
      <c r="AT79" s="80">
        <v>0</v>
      </c>
      <c r="AU79" s="80"/>
      <c r="AV79" s="80"/>
      <c r="AW79" s="80"/>
      <c r="AX79" s="80"/>
      <c r="AY79" s="80"/>
      <c r="AZ79" s="80"/>
      <c r="BA79" s="80"/>
      <c r="BB79" s="80"/>
      <c r="BC79" s="80">
        <v>2</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557</v>
      </c>
      <c r="B80" s="65" t="s">
        <v>559</v>
      </c>
      <c r="C80" s="66" t="s">
        <v>514</v>
      </c>
      <c r="D80" s="67">
        <v>10</v>
      </c>
      <c r="E80" s="66"/>
      <c r="F80" s="69">
        <v>15</v>
      </c>
      <c r="G80" s="66"/>
      <c r="H80" s="70"/>
      <c r="I80" s="71"/>
      <c r="J80" s="71"/>
      <c r="K80" s="35" t="s">
        <v>65</v>
      </c>
      <c r="L80" s="72">
        <v>80</v>
      </c>
      <c r="M80" s="72"/>
      <c r="N80" s="73"/>
      <c r="O80" s="80" t="s">
        <v>263</v>
      </c>
      <c r="P80" s="82">
        <v>44692.5359837963</v>
      </c>
      <c r="Q80" s="80" t="s">
        <v>581</v>
      </c>
      <c r="R80" s="80"/>
      <c r="S80" s="80"/>
      <c r="T80" s="80"/>
      <c r="U80" s="83" t="str">
        <f>HYPERLINK("https://pbs.twimg.com/ext_tw_video_thumb/1524368758437216256/pu/img/3UwSYL_0rta3dEGi.jpg")</f>
        <v>https://pbs.twimg.com/ext_tw_video_thumb/1524368758437216256/pu/img/3UwSYL_0rta3dEGi.jpg</v>
      </c>
      <c r="V80" s="83" t="str">
        <f>HYPERLINK("https://pbs.twimg.com/ext_tw_video_thumb/1524368758437216256/pu/img/3UwSYL_0rta3dEGi.jpg")</f>
        <v>https://pbs.twimg.com/ext_tw_video_thumb/1524368758437216256/pu/img/3UwSYL_0rta3dEGi.jpg</v>
      </c>
      <c r="W80" s="82">
        <v>44692.5359837963</v>
      </c>
      <c r="X80" s="87">
        <v>44692</v>
      </c>
      <c r="Y80" s="85" t="s">
        <v>631</v>
      </c>
      <c r="Z80" s="83" t="str">
        <f>HYPERLINK("https://twitter.com/kulbir51059784/status/1524371701240598528")</f>
        <v>https://twitter.com/kulbir51059784/status/1524371701240598528</v>
      </c>
      <c r="AA80" s="80"/>
      <c r="AB80" s="80"/>
      <c r="AC80" s="85" t="s">
        <v>685</v>
      </c>
      <c r="AD80" s="80"/>
      <c r="AE80" s="80" t="b">
        <v>0</v>
      </c>
      <c r="AF80" s="80">
        <v>0</v>
      </c>
      <c r="AG80" s="85" t="s">
        <v>267</v>
      </c>
      <c r="AH80" s="80" t="b">
        <v>0</v>
      </c>
      <c r="AI80" s="80" t="s">
        <v>268</v>
      </c>
      <c r="AJ80" s="80"/>
      <c r="AK80" s="85" t="s">
        <v>267</v>
      </c>
      <c r="AL80" s="80" t="b">
        <v>0</v>
      </c>
      <c r="AM80" s="80">
        <v>16</v>
      </c>
      <c r="AN80" s="85" t="s">
        <v>698</v>
      </c>
      <c r="AO80" s="85" t="s">
        <v>272</v>
      </c>
      <c r="AP80" s="80" t="b">
        <v>0</v>
      </c>
      <c r="AQ80" s="85" t="s">
        <v>698</v>
      </c>
      <c r="AR80" s="80" t="s">
        <v>218</v>
      </c>
      <c r="AS80" s="80">
        <v>0</v>
      </c>
      <c r="AT80" s="80">
        <v>0</v>
      </c>
      <c r="AU80" s="80"/>
      <c r="AV80" s="80"/>
      <c r="AW80" s="80"/>
      <c r="AX80" s="80"/>
      <c r="AY80" s="80"/>
      <c r="AZ80" s="80"/>
      <c r="BA80" s="80"/>
      <c r="BB80" s="80"/>
      <c r="BC80" s="80">
        <v>4</v>
      </c>
      <c r="BD80" s="79" t="str">
        <f>REPLACE(INDEX(GroupVertices[Group],MATCH(Edges[[#This Row],[Vertex 1]],GroupVertices[Vertex],0)),1,1,"")</f>
        <v>1</v>
      </c>
      <c r="BE80" s="79" t="str">
        <f>REPLACE(INDEX(GroupVertices[Group],MATCH(Edges[[#This Row],[Vertex 2]],GroupVertices[Vertex],0)),1,1,"")</f>
        <v>2</v>
      </c>
      <c r="BF80" s="49">
        <v>0</v>
      </c>
      <c r="BG80" s="50">
        <v>0</v>
      </c>
      <c r="BH80" s="49">
        <v>2</v>
      </c>
      <c r="BI80" s="50">
        <v>4.651162790697675</v>
      </c>
      <c r="BJ80" s="49">
        <v>0</v>
      </c>
      <c r="BK80" s="50">
        <v>0</v>
      </c>
      <c r="BL80" s="49">
        <v>41</v>
      </c>
      <c r="BM80" s="50">
        <v>95.34883720930233</v>
      </c>
      <c r="BN80" s="49">
        <v>43</v>
      </c>
    </row>
    <row r="81" spans="1:66" ht="15">
      <c r="A81" s="65" t="s">
        <v>557</v>
      </c>
      <c r="B81" s="65" t="s">
        <v>562</v>
      </c>
      <c r="C81" s="66" t="s">
        <v>514</v>
      </c>
      <c r="D81" s="67">
        <v>10</v>
      </c>
      <c r="E81" s="66"/>
      <c r="F81" s="69">
        <v>15</v>
      </c>
      <c r="G81" s="66"/>
      <c r="H81" s="70"/>
      <c r="I81" s="71"/>
      <c r="J81" s="71"/>
      <c r="K81" s="35" t="s">
        <v>65</v>
      </c>
      <c r="L81" s="72">
        <v>81</v>
      </c>
      <c r="M81" s="72"/>
      <c r="N81" s="73"/>
      <c r="O81" s="80" t="s">
        <v>263</v>
      </c>
      <c r="P81" s="82">
        <v>44695.248194444444</v>
      </c>
      <c r="Q81" s="80" t="s">
        <v>583</v>
      </c>
      <c r="R81" s="80"/>
      <c r="S81" s="80"/>
      <c r="T81" s="80"/>
      <c r="U81" s="80"/>
      <c r="V81" s="83" t="str">
        <f>HYPERLINK("https://pbs.twimg.com/profile_images/1495241009025806336/2f7q23Cn_normal.jpg")</f>
        <v>https://pbs.twimg.com/profile_images/1495241009025806336/2f7q23Cn_normal.jpg</v>
      </c>
      <c r="W81" s="82">
        <v>44695.248194444444</v>
      </c>
      <c r="X81" s="87">
        <v>44695</v>
      </c>
      <c r="Y81" s="85" t="s">
        <v>632</v>
      </c>
      <c r="Z81" s="83" t="str">
        <f>HYPERLINK("https://twitter.com/kulbir51059784/status/1525354574462083073")</f>
        <v>https://twitter.com/kulbir51059784/status/1525354574462083073</v>
      </c>
      <c r="AA81" s="80"/>
      <c r="AB81" s="80"/>
      <c r="AC81" s="85" t="s">
        <v>686</v>
      </c>
      <c r="AD81" s="80"/>
      <c r="AE81" s="80" t="b">
        <v>0</v>
      </c>
      <c r="AF81" s="80">
        <v>0</v>
      </c>
      <c r="AG81" s="85" t="s">
        <v>267</v>
      </c>
      <c r="AH81" s="80" t="b">
        <v>0</v>
      </c>
      <c r="AI81" s="80" t="s">
        <v>268</v>
      </c>
      <c r="AJ81" s="80"/>
      <c r="AK81" s="85" t="s">
        <v>267</v>
      </c>
      <c r="AL81" s="80" t="b">
        <v>0</v>
      </c>
      <c r="AM81" s="80">
        <v>3</v>
      </c>
      <c r="AN81" s="85" t="s">
        <v>702</v>
      </c>
      <c r="AO81" s="85" t="s">
        <v>272</v>
      </c>
      <c r="AP81" s="80" t="b">
        <v>0</v>
      </c>
      <c r="AQ81" s="85" t="s">
        <v>702</v>
      </c>
      <c r="AR81" s="80" t="s">
        <v>218</v>
      </c>
      <c r="AS81" s="80">
        <v>0</v>
      </c>
      <c r="AT81" s="80">
        <v>0</v>
      </c>
      <c r="AU81" s="80"/>
      <c r="AV81" s="80"/>
      <c r="AW81" s="80"/>
      <c r="AX81" s="80"/>
      <c r="AY81" s="80"/>
      <c r="AZ81" s="80"/>
      <c r="BA81" s="80"/>
      <c r="BB81" s="80"/>
      <c r="BC81" s="80">
        <v>2</v>
      </c>
      <c r="BD81" s="79" t="str">
        <f>REPLACE(INDEX(GroupVertices[Group],MATCH(Edges[[#This Row],[Vertex 1]],GroupVertices[Vertex],0)),1,1,"")</f>
        <v>1</v>
      </c>
      <c r="BE81" s="79" t="str">
        <f>REPLACE(INDEX(GroupVertices[Group],MATCH(Edges[[#This Row],[Vertex 2]],GroupVertices[Vertex],0)),1,1,"")</f>
        <v>1</v>
      </c>
      <c r="BF81" s="49">
        <v>0</v>
      </c>
      <c r="BG81" s="50">
        <v>0</v>
      </c>
      <c r="BH81" s="49">
        <v>2</v>
      </c>
      <c r="BI81" s="50">
        <v>6.666666666666667</v>
      </c>
      <c r="BJ81" s="49">
        <v>0</v>
      </c>
      <c r="BK81" s="50">
        <v>0</v>
      </c>
      <c r="BL81" s="49">
        <v>28</v>
      </c>
      <c r="BM81" s="50">
        <v>93.33333333333333</v>
      </c>
      <c r="BN81" s="49">
        <v>30</v>
      </c>
    </row>
    <row r="82" spans="1:66" ht="15">
      <c r="A82" s="65" t="s">
        <v>557</v>
      </c>
      <c r="B82" s="65" t="s">
        <v>559</v>
      </c>
      <c r="C82" s="66" t="s">
        <v>514</v>
      </c>
      <c r="D82" s="67">
        <v>10</v>
      </c>
      <c r="E82" s="66"/>
      <c r="F82" s="69">
        <v>15</v>
      </c>
      <c r="G82" s="66"/>
      <c r="H82" s="70"/>
      <c r="I82" s="71"/>
      <c r="J82" s="71"/>
      <c r="K82" s="35" t="s">
        <v>65</v>
      </c>
      <c r="L82" s="72">
        <v>82</v>
      </c>
      <c r="M82" s="72"/>
      <c r="N82" s="73"/>
      <c r="O82" s="80" t="s">
        <v>262</v>
      </c>
      <c r="P82" s="82">
        <v>44695.248194444444</v>
      </c>
      <c r="Q82" s="80" t="s">
        <v>583</v>
      </c>
      <c r="R82" s="80"/>
      <c r="S82" s="80"/>
      <c r="T82" s="80"/>
      <c r="U82" s="80"/>
      <c r="V82" s="83" t="str">
        <f>HYPERLINK("https://pbs.twimg.com/profile_images/1495241009025806336/2f7q23Cn_normal.jpg")</f>
        <v>https://pbs.twimg.com/profile_images/1495241009025806336/2f7q23Cn_normal.jpg</v>
      </c>
      <c r="W82" s="82">
        <v>44695.248194444444</v>
      </c>
      <c r="X82" s="87">
        <v>44695</v>
      </c>
      <c r="Y82" s="85" t="s">
        <v>632</v>
      </c>
      <c r="Z82" s="83" t="str">
        <f>HYPERLINK("https://twitter.com/kulbir51059784/status/1525354574462083073")</f>
        <v>https://twitter.com/kulbir51059784/status/1525354574462083073</v>
      </c>
      <c r="AA82" s="80"/>
      <c r="AB82" s="80"/>
      <c r="AC82" s="85" t="s">
        <v>686</v>
      </c>
      <c r="AD82" s="80"/>
      <c r="AE82" s="80" t="b">
        <v>0</v>
      </c>
      <c r="AF82" s="80">
        <v>0</v>
      </c>
      <c r="AG82" s="85" t="s">
        <v>267</v>
      </c>
      <c r="AH82" s="80" t="b">
        <v>0</v>
      </c>
      <c r="AI82" s="80" t="s">
        <v>268</v>
      </c>
      <c r="AJ82" s="80"/>
      <c r="AK82" s="85" t="s">
        <v>267</v>
      </c>
      <c r="AL82" s="80" t="b">
        <v>0</v>
      </c>
      <c r="AM82" s="80">
        <v>3</v>
      </c>
      <c r="AN82" s="85" t="s">
        <v>702</v>
      </c>
      <c r="AO82" s="85" t="s">
        <v>272</v>
      </c>
      <c r="AP82" s="80" t="b">
        <v>0</v>
      </c>
      <c r="AQ82" s="85" t="s">
        <v>702</v>
      </c>
      <c r="AR82" s="80" t="s">
        <v>218</v>
      </c>
      <c r="AS82" s="80">
        <v>0</v>
      </c>
      <c r="AT82" s="80">
        <v>0</v>
      </c>
      <c r="AU82" s="80"/>
      <c r="AV82" s="80"/>
      <c r="AW82" s="80"/>
      <c r="AX82" s="80"/>
      <c r="AY82" s="80"/>
      <c r="AZ82" s="80"/>
      <c r="BA82" s="80"/>
      <c r="BB82" s="80"/>
      <c r="BC82" s="80">
        <v>4</v>
      </c>
      <c r="BD82" s="79" t="str">
        <f>REPLACE(INDEX(GroupVertices[Group],MATCH(Edges[[#This Row],[Vertex 1]],GroupVertices[Vertex],0)),1,1,"")</f>
        <v>1</v>
      </c>
      <c r="BE82" s="79" t="str">
        <f>REPLACE(INDEX(GroupVertices[Group],MATCH(Edges[[#This Row],[Vertex 2]],GroupVertices[Vertex],0)),1,1,"")</f>
        <v>2</v>
      </c>
      <c r="BF82" s="49"/>
      <c r="BG82" s="50"/>
      <c r="BH82" s="49"/>
      <c r="BI82" s="50"/>
      <c r="BJ82" s="49"/>
      <c r="BK82" s="50"/>
      <c r="BL82" s="49"/>
      <c r="BM82" s="50"/>
      <c r="BN82" s="49"/>
    </row>
    <row r="83" spans="1:66" ht="15">
      <c r="A83" s="65" t="s">
        <v>557</v>
      </c>
      <c r="B83" s="65" t="s">
        <v>562</v>
      </c>
      <c r="C83" s="66" t="s">
        <v>514</v>
      </c>
      <c r="D83" s="67">
        <v>10</v>
      </c>
      <c r="E83" s="66"/>
      <c r="F83" s="69">
        <v>15</v>
      </c>
      <c r="G83" s="66"/>
      <c r="H83" s="70"/>
      <c r="I83" s="71"/>
      <c r="J83" s="71"/>
      <c r="K83" s="35" t="s">
        <v>65</v>
      </c>
      <c r="L83" s="72">
        <v>83</v>
      </c>
      <c r="M83" s="72"/>
      <c r="N83" s="73"/>
      <c r="O83" s="80" t="s">
        <v>263</v>
      </c>
      <c r="P83" s="82">
        <v>44695.24826388889</v>
      </c>
      <c r="Q83" s="80" t="s">
        <v>584</v>
      </c>
      <c r="R83" s="80"/>
      <c r="S83" s="80"/>
      <c r="T83" s="80"/>
      <c r="U83" s="80"/>
      <c r="V83" s="83" t="str">
        <f>HYPERLINK("https://pbs.twimg.com/profile_images/1495241009025806336/2f7q23Cn_normal.jpg")</f>
        <v>https://pbs.twimg.com/profile_images/1495241009025806336/2f7q23Cn_normal.jpg</v>
      </c>
      <c r="W83" s="82">
        <v>44695.24826388889</v>
      </c>
      <c r="X83" s="87">
        <v>44695</v>
      </c>
      <c r="Y83" s="85" t="s">
        <v>633</v>
      </c>
      <c r="Z83" s="83" t="str">
        <f>HYPERLINK("https://twitter.com/kulbir51059784/status/1525354596113084416")</f>
        <v>https://twitter.com/kulbir51059784/status/1525354596113084416</v>
      </c>
      <c r="AA83" s="80"/>
      <c r="AB83" s="80"/>
      <c r="AC83" s="85" t="s">
        <v>687</v>
      </c>
      <c r="AD83" s="80"/>
      <c r="AE83" s="80" t="b">
        <v>0</v>
      </c>
      <c r="AF83" s="80">
        <v>0</v>
      </c>
      <c r="AG83" s="85" t="s">
        <v>267</v>
      </c>
      <c r="AH83" s="80" t="b">
        <v>0</v>
      </c>
      <c r="AI83" s="80" t="s">
        <v>268</v>
      </c>
      <c r="AJ83" s="80"/>
      <c r="AK83" s="85" t="s">
        <v>267</v>
      </c>
      <c r="AL83" s="80" t="b">
        <v>0</v>
      </c>
      <c r="AM83" s="80">
        <v>2</v>
      </c>
      <c r="AN83" s="85" t="s">
        <v>701</v>
      </c>
      <c r="AO83" s="85" t="s">
        <v>272</v>
      </c>
      <c r="AP83" s="80" t="b">
        <v>0</v>
      </c>
      <c r="AQ83" s="85" t="s">
        <v>701</v>
      </c>
      <c r="AR83" s="80" t="s">
        <v>218</v>
      </c>
      <c r="AS83" s="80">
        <v>0</v>
      </c>
      <c r="AT83" s="80">
        <v>0</v>
      </c>
      <c r="AU83" s="80"/>
      <c r="AV83" s="80"/>
      <c r="AW83" s="80"/>
      <c r="AX83" s="80"/>
      <c r="AY83" s="80"/>
      <c r="AZ83" s="80"/>
      <c r="BA83" s="80"/>
      <c r="BB83" s="80"/>
      <c r="BC83" s="80">
        <v>2</v>
      </c>
      <c r="BD83" s="79" t="str">
        <f>REPLACE(INDEX(GroupVertices[Group],MATCH(Edges[[#This Row],[Vertex 1]],GroupVertices[Vertex],0)),1,1,"")</f>
        <v>1</v>
      </c>
      <c r="BE83" s="79" t="str">
        <f>REPLACE(INDEX(GroupVertices[Group],MATCH(Edges[[#This Row],[Vertex 2]],GroupVertices[Vertex],0)),1,1,"")</f>
        <v>1</v>
      </c>
      <c r="BF83" s="49">
        <v>0</v>
      </c>
      <c r="BG83" s="50">
        <v>0</v>
      </c>
      <c r="BH83" s="49">
        <v>0</v>
      </c>
      <c r="BI83" s="50">
        <v>0</v>
      </c>
      <c r="BJ83" s="49">
        <v>0</v>
      </c>
      <c r="BK83" s="50">
        <v>0</v>
      </c>
      <c r="BL83" s="49">
        <v>8</v>
      </c>
      <c r="BM83" s="50">
        <v>100</v>
      </c>
      <c r="BN83" s="49">
        <v>8</v>
      </c>
    </row>
    <row r="84" spans="1:66" ht="15">
      <c r="A84" s="65" t="s">
        <v>557</v>
      </c>
      <c r="B84" s="65" t="s">
        <v>559</v>
      </c>
      <c r="C84" s="66" t="s">
        <v>514</v>
      </c>
      <c r="D84" s="67">
        <v>10</v>
      </c>
      <c r="E84" s="66"/>
      <c r="F84" s="69">
        <v>15</v>
      </c>
      <c r="G84" s="66"/>
      <c r="H84" s="70"/>
      <c r="I84" s="71"/>
      <c r="J84" s="71"/>
      <c r="K84" s="35" t="s">
        <v>65</v>
      </c>
      <c r="L84" s="72">
        <v>84</v>
      </c>
      <c r="M84" s="72"/>
      <c r="N84" s="73"/>
      <c r="O84" s="80" t="s">
        <v>262</v>
      </c>
      <c r="P84" s="82">
        <v>44695.24826388889</v>
      </c>
      <c r="Q84" s="80" t="s">
        <v>584</v>
      </c>
      <c r="R84" s="80"/>
      <c r="S84" s="80"/>
      <c r="T84" s="80"/>
      <c r="U84" s="80"/>
      <c r="V84" s="83" t="str">
        <f>HYPERLINK("https://pbs.twimg.com/profile_images/1495241009025806336/2f7q23Cn_normal.jpg")</f>
        <v>https://pbs.twimg.com/profile_images/1495241009025806336/2f7q23Cn_normal.jpg</v>
      </c>
      <c r="W84" s="82">
        <v>44695.24826388889</v>
      </c>
      <c r="X84" s="87">
        <v>44695</v>
      </c>
      <c r="Y84" s="85" t="s">
        <v>633</v>
      </c>
      <c r="Z84" s="83" t="str">
        <f>HYPERLINK("https://twitter.com/kulbir51059784/status/1525354596113084416")</f>
        <v>https://twitter.com/kulbir51059784/status/1525354596113084416</v>
      </c>
      <c r="AA84" s="80"/>
      <c r="AB84" s="80"/>
      <c r="AC84" s="85" t="s">
        <v>687</v>
      </c>
      <c r="AD84" s="80"/>
      <c r="AE84" s="80" t="b">
        <v>0</v>
      </c>
      <c r="AF84" s="80">
        <v>0</v>
      </c>
      <c r="AG84" s="85" t="s">
        <v>267</v>
      </c>
      <c r="AH84" s="80" t="b">
        <v>0</v>
      </c>
      <c r="AI84" s="80" t="s">
        <v>268</v>
      </c>
      <c r="AJ84" s="80"/>
      <c r="AK84" s="85" t="s">
        <v>267</v>
      </c>
      <c r="AL84" s="80" t="b">
        <v>0</v>
      </c>
      <c r="AM84" s="80">
        <v>2</v>
      </c>
      <c r="AN84" s="85" t="s">
        <v>701</v>
      </c>
      <c r="AO84" s="85" t="s">
        <v>272</v>
      </c>
      <c r="AP84" s="80" t="b">
        <v>0</v>
      </c>
      <c r="AQ84" s="85" t="s">
        <v>701</v>
      </c>
      <c r="AR84" s="80" t="s">
        <v>218</v>
      </c>
      <c r="AS84" s="80">
        <v>0</v>
      </c>
      <c r="AT84" s="80">
        <v>0</v>
      </c>
      <c r="AU84" s="80"/>
      <c r="AV84" s="80"/>
      <c r="AW84" s="80"/>
      <c r="AX84" s="80"/>
      <c r="AY84" s="80"/>
      <c r="AZ84" s="80"/>
      <c r="BA84" s="80"/>
      <c r="BB84" s="80"/>
      <c r="BC84" s="80">
        <v>4</v>
      </c>
      <c r="BD84" s="79" t="str">
        <f>REPLACE(INDEX(GroupVertices[Group],MATCH(Edges[[#This Row],[Vertex 1]],GroupVertices[Vertex],0)),1,1,"")</f>
        <v>1</v>
      </c>
      <c r="BE84" s="79" t="str">
        <f>REPLACE(INDEX(GroupVertices[Group],MATCH(Edges[[#This Row],[Vertex 2]],GroupVertices[Vertex],0)),1,1,"")</f>
        <v>2</v>
      </c>
      <c r="BF84" s="49"/>
      <c r="BG84" s="50"/>
      <c r="BH84" s="49"/>
      <c r="BI84" s="50"/>
      <c r="BJ84" s="49"/>
      <c r="BK84" s="50"/>
      <c r="BL84" s="49"/>
      <c r="BM84" s="50"/>
      <c r="BN84" s="49"/>
    </row>
    <row r="85" spans="1:66" ht="15">
      <c r="A85" s="65" t="s">
        <v>558</v>
      </c>
      <c r="B85" s="65" t="s">
        <v>519</v>
      </c>
      <c r="C85" s="66" t="s">
        <v>514</v>
      </c>
      <c r="D85" s="67">
        <v>10</v>
      </c>
      <c r="E85" s="66"/>
      <c r="F85" s="69">
        <v>15</v>
      </c>
      <c r="G85" s="66"/>
      <c r="H85" s="70"/>
      <c r="I85" s="71"/>
      <c r="J85" s="71"/>
      <c r="K85" s="35" t="s">
        <v>65</v>
      </c>
      <c r="L85" s="72">
        <v>85</v>
      </c>
      <c r="M85" s="72"/>
      <c r="N85" s="73"/>
      <c r="O85" s="80" t="s">
        <v>264</v>
      </c>
      <c r="P85" s="82">
        <v>44692.20413194445</v>
      </c>
      <c r="Q85" s="80" t="s">
        <v>580</v>
      </c>
      <c r="R85" s="80"/>
      <c r="S85" s="80"/>
      <c r="T85" s="85" t="s">
        <v>596</v>
      </c>
      <c r="U85" s="83" t="str">
        <f>HYPERLINK("https://pbs.twimg.com/media/FSc09v5aQAAY6bm.jpg")</f>
        <v>https://pbs.twimg.com/media/FSc09v5aQAAY6bm.jpg</v>
      </c>
      <c r="V85" s="83" t="str">
        <f>HYPERLINK("https://pbs.twimg.com/media/FSc09v5aQAAY6bm.jpg")</f>
        <v>https://pbs.twimg.com/media/FSc09v5aQAAY6bm.jpg</v>
      </c>
      <c r="W85" s="82">
        <v>44692.20413194445</v>
      </c>
      <c r="X85" s="87">
        <v>44692</v>
      </c>
      <c r="Y85" s="85" t="s">
        <v>634</v>
      </c>
      <c r="Z85" s="83" t="str">
        <f>HYPERLINK("https://twitter.com/hargurpreetkau4/status/1524251440260460544")</f>
        <v>https://twitter.com/hargurpreetkau4/status/1524251440260460544</v>
      </c>
      <c r="AA85" s="80"/>
      <c r="AB85" s="80"/>
      <c r="AC85" s="85" t="s">
        <v>688</v>
      </c>
      <c r="AD85" s="80"/>
      <c r="AE85" s="80" t="b">
        <v>0</v>
      </c>
      <c r="AF85" s="80">
        <v>0</v>
      </c>
      <c r="AG85" s="85" t="s">
        <v>267</v>
      </c>
      <c r="AH85" s="80" t="b">
        <v>0</v>
      </c>
      <c r="AI85" s="80" t="s">
        <v>268</v>
      </c>
      <c r="AJ85" s="80"/>
      <c r="AK85" s="85" t="s">
        <v>267</v>
      </c>
      <c r="AL85" s="80" t="b">
        <v>0</v>
      </c>
      <c r="AM85" s="80">
        <v>19</v>
      </c>
      <c r="AN85" s="85" t="s">
        <v>696</v>
      </c>
      <c r="AO85" s="85" t="s">
        <v>272</v>
      </c>
      <c r="AP85" s="80" t="b">
        <v>0</v>
      </c>
      <c r="AQ85" s="85" t="s">
        <v>696</v>
      </c>
      <c r="AR85" s="80" t="s">
        <v>218</v>
      </c>
      <c r="AS85" s="80">
        <v>0</v>
      </c>
      <c r="AT85" s="80">
        <v>0</v>
      </c>
      <c r="AU85" s="80"/>
      <c r="AV85" s="80"/>
      <c r="AW85" s="80"/>
      <c r="AX85" s="80"/>
      <c r="AY85" s="80"/>
      <c r="AZ85" s="80"/>
      <c r="BA85" s="80"/>
      <c r="BB85" s="80"/>
      <c r="BC85" s="80">
        <v>2</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558</v>
      </c>
      <c r="B86" s="65" t="s">
        <v>258</v>
      </c>
      <c r="C86" s="66" t="s">
        <v>513</v>
      </c>
      <c r="D86" s="67">
        <v>5</v>
      </c>
      <c r="E86" s="66"/>
      <c r="F86" s="69">
        <v>50</v>
      </c>
      <c r="G86" s="66"/>
      <c r="H86" s="70"/>
      <c r="I86" s="71"/>
      <c r="J86" s="71"/>
      <c r="K86" s="35" t="s">
        <v>65</v>
      </c>
      <c r="L86" s="72">
        <v>86</v>
      </c>
      <c r="M86" s="72"/>
      <c r="N86" s="73"/>
      <c r="O86" s="80" t="s">
        <v>264</v>
      </c>
      <c r="P86" s="82">
        <v>44692.20413194445</v>
      </c>
      <c r="Q86" s="80" t="s">
        <v>580</v>
      </c>
      <c r="R86" s="80"/>
      <c r="S86" s="80"/>
      <c r="T86" s="85" t="s">
        <v>596</v>
      </c>
      <c r="U86" s="83" t="str">
        <f>HYPERLINK("https://pbs.twimg.com/media/FSc09v5aQAAY6bm.jpg")</f>
        <v>https://pbs.twimg.com/media/FSc09v5aQAAY6bm.jpg</v>
      </c>
      <c r="V86" s="83" t="str">
        <f>HYPERLINK("https://pbs.twimg.com/media/FSc09v5aQAAY6bm.jpg")</f>
        <v>https://pbs.twimg.com/media/FSc09v5aQAAY6bm.jpg</v>
      </c>
      <c r="W86" s="82">
        <v>44692.20413194445</v>
      </c>
      <c r="X86" s="87">
        <v>44692</v>
      </c>
      <c r="Y86" s="85" t="s">
        <v>634</v>
      </c>
      <c r="Z86" s="83" t="str">
        <f>HYPERLINK("https://twitter.com/hargurpreetkau4/status/1524251440260460544")</f>
        <v>https://twitter.com/hargurpreetkau4/status/1524251440260460544</v>
      </c>
      <c r="AA86" s="80"/>
      <c r="AB86" s="80"/>
      <c r="AC86" s="85" t="s">
        <v>688</v>
      </c>
      <c r="AD86" s="80"/>
      <c r="AE86" s="80" t="b">
        <v>0</v>
      </c>
      <c r="AF86" s="80">
        <v>0</v>
      </c>
      <c r="AG86" s="85" t="s">
        <v>267</v>
      </c>
      <c r="AH86" s="80" t="b">
        <v>0</v>
      </c>
      <c r="AI86" s="80" t="s">
        <v>268</v>
      </c>
      <c r="AJ86" s="80"/>
      <c r="AK86" s="85" t="s">
        <v>267</v>
      </c>
      <c r="AL86" s="80" t="b">
        <v>0</v>
      </c>
      <c r="AM86" s="80">
        <v>19</v>
      </c>
      <c r="AN86" s="85" t="s">
        <v>696</v>
      </c>
      <c r="AO86" s="85" t="s">
        <v>272</v>
      </c>
      <c r="AP86" s="80" t="b">
        <v>0</v>
      </c>
      <c r="AQ86" s="85" t="s">
        <v>696</v>
      </c>
      <c r="AR86" s="80" t="s">
        <v>218</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558</v>
      </c>
      <c r="B87" s="65" t="s">
        <v>559</v>
      </c>
      <c r="C87" s="66" t="s">
        <v>514</v>
      </c>
      <c r="D87" s="67">
        <v>10</v>
      </c>
      <c r="E87" s="66"/>
      <c r="F87" s="69">
        <v>15</v>
      </c>
      <c r="G87" s="66"/>
      <c r="H87" s="70"/>
      <c r="I87" s="71"/>
      <c r="J87" s="71"/>
      <c r="K87" s="35" t="s">
        <v>65</v>
      </c>
      <c r="L87" s="72">
        <v>87</v>
      </c>
      <c r="M87" s="72"/>
      <c r="N87" s="73"/>
      <c r="O87" s="80" t="s">
        <v>263</v>
      </c>
      <c r="P87" s="82">
        <v>44692.20413194445</v>
      </c>
      <c r="Q87" s="80" t="s">
        <v>580</v>
      </c>
      <c r="R87" s="80"/>
      <c r="S87" s="80"/>
      <c r="T87" s="85" t="s">
        <v>596</v>
      </c>
      <c r="U87" s="83" t="str">
        <f>HYPERLINK("https://pbs.twimg.com/media/FSc09v5aQAAY6bm.jpg")</f>
        <v>https://pbs.twimg.com/media/FSc09v5aQAAY6bm.jpg</v>
      </c>
      <c r="V87" s="83" t="str">
        <f>HYPERLINK("https://pbs.twimg.com/media/FSc09v5aQAAY6bm.jpg")</f>
        <v>https://pbs.twimg.com/media/FSc09v5aQAAY6bm.jpg</v>
      </c>
      <c r="W87" s="82">
        <v>44692.20413194445</v>
      </c>
      <c r="X87" s="87">
        <v>44692</v>
      </c>
      <c r="Y87" s="85" t="s">
        <v>634</v>
      </c>
      <c r="Z87" s="83" t="str">
        <f>HYPERLINK("https://twitter.com/hargurpreetkau4/status/1524251440260460544")</f>
        <v>https://twitter.com/hargurpreetkau4/status/1524251440260460544</v>
      </c>
      <c r="AA87" s="80"/>
      <c r="AB87" s="80"/>
      <c r="AC87" s="85" t="s">
        <v>688</v>
      </c>
      <c r="AD87" s="80"/>
      <c r="AE87" s="80" t="b">
        <v>0</v>
      </c>
      <c r="AF87" s="80">
        <v>0</v>
      </c>
      <c r="AG87" s="85" t="s">
        <v>267</v>
      </c>
      <c r="AH87" s="80" t="b">
        <v>0</v>
      </c>
      <c r="AI87" s="80" t="s">
        <v>268</v>
      </c>
      <c r="AJ87" s="80"/>
      <c r="AK87" s="85" t="s">
        <v>267</v>
      </c>
      <c r="AL87" s="80" t="b">
        <v>0</v>
      </c>
      <c r="AM87" s="80">
        <v>19</v>
      </c>
      <c r="AN87" s="85" t="s">
        <v>696</v>
      </c>
      <c r="AO87" s="85" t="s">
        <v>272</v>
      </c>
      <c r="AP87" s="80" t="b">
        <v>0</v>
      </c>
      <c r="AQ87" s="85" t="s">
        <v>696</v>
      </c>
      <c r="AR87" s="80" t="s">
        <v>218</v>
      </c>
      <c r="AS87" s="80">
        <v>0</v>
      </c>
      <c r="AT87" s="80">
        <v>0</v>
      </c>
      <c r="AU87" s="80"/>
      <c r="AV87" s="80"/>
      <c r="AW87" s="80"/>
      <c r="AX87" s="80"/>
      <c r="AY87" s="80"/>
      <c r="AZ87" s="80"/>
      <c r="BA87" s="80"/>
      <c r="BB87" s="80"/>
      <c r="BC87" s="80">
        <v>4</v>
      </c>
      <c r="BD87" s="79" t="str">
        <f>REPLACE(INDEX(GroupVertices[Group],MATCH(Edges[[#This Row],[Vertex 1]],GroupVertices[Vertex],0)),1,1,"")</f>
        <v>1</v>
      </c>
      <c r="BE87" s="79" t="str">
        <f>REPLACE(INDEX(GroupVertices[Group],MATCH(Edges[[#This Row],[Vertex 2]],GroupVertices[Vertex],0)),1,1,"")</f>
        <v>2</v>
      </c>
      <c r="BF87" s="49">
        <v>0</v>
      </c>
      <c r="BG87" s="50">
        <v>0</v>
      </c>
      <c r="BH87" s="49">
        <v>5</v>
      </c>
      <c r="BI87" s="50">
        <v>12.820512820512821</v>
      </c>
      <c r="BJ87" s="49">
        <v>0</v>
      </c>
      <c r="BK87" s="50">
        <v>0</v>
      </c>
      <c r="BL87" s="49">
        <v>34</v>
      </c>
      <c r="BM87" s="50">
        <v>87.17948717948718</v>
      </c>
      <c r="BN87" s="49">
        <v>39</v>
      </c>
    </row>
    <row r="88" spans="1:66" ht="15">
      <c r="A88" s="65" t="s">
        <v>558</v>
      </c>
      <c r="B88" s="65" t="s">
        <v>519</v>
      </c>
      <c r="C88" s="66" t="s">
        <v>514</v>
      </c>
      <c r="D88" s="67">
        <v>10</v>
      </c>
      <c r="E88" s="66"/>
      <c r="F88" s="69">
        <v>15</v>
      </c>
      <c r="G88" s="66"/>
      <c r="H88" s="70"/>
      <c r="I88" s="71"/>
      <c r="J88" s="71"/>
      <c r="K88" s="35" t="s">
        <v>65</v>
      </c>
      <c r="L88" s="72">
        <v>88</v>
      </c>
      <c r="M88" s="72"/>
      <c r="N88" s="73"/>
      <c r="O88" s="80" t="s">
        <v>264</v>
      </c>
      <c r="P88" s="82">
        <v>44693.37333333334</v>
      </c>
      <c r="Q88" s="80" t="s">
        <v>581</v>
      </c>
      <c r="R88" s="80"/>
      <c r="S88" s="80"/>
      <c r="T88" s="80"/>
      <c r="U88" s="83" t="str">
        <f>HYPERLINK("https://pbs.twimg.com/ext_tw_video_thumb/1524368758437216256/pu/img/3UwSYL_0rta3dEGi.jpg")</f>
        <v>https://pbs.twimg.com/ext_tw_video_thumb/1524368758437216256/pu/img/3UwSYL_0rta3dEGi.jpg</v>
      </c>
      <c r="V88" s="83" t="str">
        <f>HYPERLINK("https://pbs.twimg.com/ext_tw_video_thumb/1524368758437216256/pu/img/3UwSYL_0rta3dEGi.jpg")</f>
        <v>https://pbs.twimg.com/ext_tw_video_thumb/1524368758437216256/pu/img/3UwSYL_0rta3dEGi.jpg</v>
      </c>
      <c r="W88" s="82">
        <v>44693.37333333334</v>
      </c>
      <c r="X88" s="87">
        <v>44693</v>
      </c>
      <c r="Y88" s="85" t="s">
        <v>635</v>
      </c>
      <c r="Z88" s="83" t="str">
        <f>HYPERLINK("https://twitter.com/hargurpreetkau4/status/1524675147508031488")</f>
        <v>https://twitter.com/hargurpreetkau4/status/1524675147508031488</v>
      </c>
      <c r="AA88" s="80"/>
      <c r="AB88" s="80"/>
      <c r="AC88" s="85" t="s">
        <v>689</v>
      </c>
      <c r="AD88" s="80"/>
      <c r="AE88" s="80" t="b">
        <v>0</v>
      </c>
      <c r="AF88" s="80">
        <v>0</v>
      </c>
      <c r="AG88" s="85" t="s">
        <v>267</v>
      </c>
      <c r="AH88" s="80" t="b">
        <v>0</v>
      </c>
      <c r="AI88" s="80" t="s">
        <v>268</v>
      </c>
      <c r="AJ88" s="80"/>
      <c r="AK88" s="85" t="s">
        <v>267</v>
      </c>
      <c r="AL88" s="80" t="b">
        <v>0</v>
      </c>
      <c r="AM88" s="80">
        <v>16</v>
      </c>
      <c r="AN88" s="85" t="s">
        <v>698</v>
      </c>
      <c r="AO88" s="85" t="s">
        <v>272</v>
      </c>
      <c r="AP88" s="80" t="b">
        <v>0</v>
      </c>
      <c r="AQ88" s="85" t="s">
        <v>698</v>
      </c>
      <c r="AR88" s="80" t="s">
        <v>218</v>
      </c>
      <c r="AS88" s="80">
        <v>0</v>
      </c>
      <c r="AT88" s="80">
        <v>0</v>
      </c>
      <c r="AU88" s="80"/>
      <c r="AV88" s="80"/>
      <c r="AW88" s="80"/>
      <c r="AX88" s="80"/>
      <c r="AY88" s="80"/>
      <c r="AZ88" s="80"/>
      <c r="BA88" s="80"/>
      <c r="BB88" s="80"/>
      <c r="BC88" s="80">
        <v>2</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558</v>
      </c>
      <c r="B89" s="65" t="s">
        <v>559</v>
      </c>
      <c r="C89" s="66" t="s">
        <v>514</v>
      </c>
      <c r="D89" s="67">
        <v>10</v>
      </c>
      <c r="E89" s="66"/>
      <c r="F89" s="69">
        <v>15</v>
      </c>
      <c r="G89" s="66"/>
      <c r="H89" s="70"/>
      <c r="I89" s="71"/>
      <c r="J89" s="71"/>
      <c r="K89" s="35" t="s">
        <v>65</v>
      </c>
      <c r="L89" s="72">
        <v>89</v>
      </c>
      <c r="M89" s="72"/>
      <c r="N89" s="73"/>
      <c r="O89" s="80" t="s">
        <v>263</v>
      </c>
      <c r="P89" s="82">
        <v>44693.37333333334</v>
      </c>
      <c r="Q89" s="80" t="s">
        <v>581</v>
      </c>
      <c r="R89" s="80"/>
      <c r="S89" s="80"/>
      <c r="T89" s="80"/>
      <c r="U89" s="83" t="str">
        <f>HYPERLINK("https://pbs.twimg.com/ext_tw_video_thumb/1524368758437216256/pu/img/3UwSYL_0rta3dEGi.jpg")</f>
        <v>https://pbs.twimg.com/ext_tw_video_thumb/1524368758437216256/pu/img/3UwSYL_0rta3dEGi.jpg</v>
      </c>
      <c r="V89" s="83" t="str">
        <f>HYPERLINK("https://pbs.twimg.com/ext_tw_video_thumb/1524368758437216256/pu/img/3UwSYL_0rta3dEGi.jpg")</f>
        <v>https://pbs.twimg.com/ext_tw_video_thumb/1524368758437216256/pu/img/3UwSYL_0rta3dEGi.jpg</v>
      </c>
      <c r="W89" s="82">
        <v>44693.37333333334</v>
      </c>
      <c r="X89" s="87">
        <v>44693</v>
      </c>
      <c r="Y89" s="85" t="s">
        <v>635</v>
      </c>
      <c r="Z89" s="83" t="str">
        <f>HYPERLINK("https://twitter.com/hargurpreetkau4/status/1524675147508031488")</f>
        <v>https://twitter.com/hargurpreetkau4/status/1524675147508031488</v>
      </c>
      <c r="AA89" s="80"/>
      <c r="AB89" s="80"/>
      <c r="AC89" s="85" t="s">
        <v>689</v>
      </c>
      <c r="AD89" s="80"/>
      <c r="AE89" s="80" t="b">
        <v>0</v>
      </c>
      <c r="AF89" s="80">
        <v>0</v>
      </c>
      <c r="AG89" s="85" t="s">
        <v>267</v>
      </c>
      <c r="AH89" s="80" t="b">
        <v>0</v>
      </c>
      <c r="AI89" s="80" t="s">
        <v>268</v>
      </c>
      <c r="AJ89" s="80"/>
      <c r="AK89" s="85" t="s">
        <v>267</v>
      </c>
      <c r="AL89" s="80" t="b">
        <v>0</v>
      </c>
      <c r="AM89" s="80">
        <v>16</v>
      </c>
      <c r="AN89" s="85" t="s">
        <v>698</v>
      </c>
      <c r="AO89" s="85" t="s">
        <v>272</v>
      </c>
      <c r="AP89" s="80" t="b">
        <v>0</v>
      </c>
      <c r="AQ89" s="85" t="s">
        <v>698</v>
      </c>
      <c r="AR89" s="80" t="s">
        <v>218</v>
      </c>
      <c r="AS89" s="80">
        <v>0</v>
      </c>
      <c r="AT89" s="80">
        <v>0</v>
      </c>
      <c r="AU89" s="80"/>
      <c r="AV89" s="80"/>
      <c r="AW89" s="80"/>
      <c r="AX89" s="80"/>
      <c r="AY89" s="80"/>
      <c r="AZ89" s="80"/>
      <c r="BA89" s="80"/>
      <c r="BB89" s="80"/>
      <c r="BC89" s="80">
        <v>4</v>
      </c>
      <c r="BD89" s="79" t="str">
        <f>REPLACE(INDEX(GroupVertices[Group],MATCH(Edges[[#This Row],[Vertex 1]],GroupVertices[Vertex],0)),1,1,"")</f>
        <v>1</v>
      </c>
      <c r="BE89" s="79" t="str">
        <f>REPLACE(INDEX(GroupVertices[Group],MATCH(Edges[[#This Row],[Vertex 2]],GroupVertices[Vertex],0)),1,1,"")</f>
        <v>2</v>
      </c>
      <c r="BF89" s="49">
        <v>0</v>
      </c>
      <c r="BG89" s="50">
        <v>0</v>
      </c>
      <c r="BH89" s="49">
        <v>2</v>
      </c>
      <c r="BI89" s="50">
        <v>4.651162790697675</v>
      </c>
      <c r="BJ89" s="49">
        <v>0</v>
      </c>
      <c r="BK89" s="50">
        <v>0</v>
      </c>
      <c r="BL89" s="49">
        <v>41</v>
      </c>
      <c r="BM89" s="50">
        <v>95.34883720930233</v>
      </c>
      <c r="BN89" s="49">
        <v>43</v>
      </c>
    </row>
    <row r="90" spans="1:66" ht="15">
      <c r="A90" s="65" t="s">
        <v>558</v>
      </c>
      <c r="B90" s="65" t="s">
        <v>562</v>
      </c>
      <c r="C90" s="66" t="s">
        <v>514</v>
      </c>
      <c r="D90" s="67">
        <v>10</v>
      </c>
      <c r="E90" s="66"/>
      <c r="F90" s="69">
        <v>15</v>
      </c>
      <c r="G90" s="66"/>
      <c r="H90" s="70"/>
      <c r="I90" s="71"/>
      <c r="J90" s="71"/>
      <c r="K90" s="35" t="s">
        <v>65</v>
      </c>
      <c r="L90" s="72">
        <v>90</v>
      </c>
      <c r="M90" s="72"/>
      <c r="N90" s="73"/>
      <c r="O90" s="80" t="s">
        <v>263</v>
      </c>
      <c r="P90" s="82">
        <v>44695.29560185185</v>
      </c>
      <c r="Q90" s="80" t="s">
        <v>583</v>
      </c>
      <c r="R90" s="80"/>
      <c r="S90" s="80"/>
      <c r="T90" s="80"/>
      <c r="U90" s="80"/>
      <c r="V90" s="83" t="str">
        <f>HYPERLINK("https://abs.twimg.com/sticky/default_profile_images/default_profile_normal.png")</f>
        <v>https://abs.twimg.com/sticky/default_profile_images/default_profile_normal.png</v>
      </c>
      <c r="W90" s="82">
        <v>44695.29560185185</v>
      </c>
      <c r="X90" s="87">
        <v>44695</v>
      </c>
      <c r="Y90" s="85" t="s">
        <v>636</v>
      </c>
      <c r="Z90" s="83" t="str">
        <f>HYPERLINK("https://twitter.com/hargurpreetkau4/status/1525371752292880384")</f>
        <v>https://twitter.com/hargurpreetkau4/status/1525371752292880384</v>
      </c>
      <c r="AA90" s="80"/>
      <c r="AB90" s="80"/>
      <c r="AC90" s="85" t="s">
        <v>690</v>
      </c>
      <c r="AD90" s="80"/>
      <c r="AE90" s="80" t="b">
        <v>0</v>
      </c>
      <c r="AF90" s="80">
        <v>0</v>
      </c>
      <c r="AG90" s="85" t="s">
        <v>267</v>
      </c>
      <c r="AH90" s="80" t="b">
        <v>0</v>
      </c>
      <c r="AI90" s="80" t="s">
        <v>268</v>
      </c>
      <c r="AJ90" s="80"/>
      <c r="AK90" s="85" t="s">
        <v>267</v>
      </c>
      <c r="AL90" s="80" t="b">
        <v>0</v>
      </c>
      <c r="AM90" s="80">
        <v>3</v>
      </c>
      <c r="AN90" s="85" t="s">
        <v>702</v>
      </c>
      <c r="AO90" s="85" t="s">
        <v>272</v>
      </c>
      <c r="AP90" s="80" t="b">
        <v>0</v>
      </c>
      <c r="AQ90" s="85" t="s">
        <v>702</v>
      </c>
      <c r="AR90" s="80" t="s">
        <v>218</v>
      </c>
      <c r="AS90" s="80">
        <v>0</v>
      </c>
      <c r="AT90" s="80">
        <v>0</v>
      </c>
      <c r="AU90" s="80"/>
      <c r="AV90" s="80"/>
      <c r="AW90" s="80"/>
      <c r="AX90" s="80"/>
      <c r="AY90" s="80"/>
      <c r="AZ90" s="80"/>
      <c r="BA90" s="80"/>
      <c r="BB90" s="80"/>
      <c r="BC90" s="80">
        <v>2</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558</v>
      </c>
      <c r="B91" s="65" t="s">
        <v>559</v>
      </c>
      <c r="C91" s="66" t="s">
        <v>514</v>
      </c>
      <c r="D91" s="67">
        <v>10</v>
      </c>
      <c r="E91" s="66"/>
      <c r="F91" s="69">
        <v>15</v>
      </c>
      <c r="G91" s="66"/>
      <c r="H91" s="70"/>
      <c r="I91" s="71"/>
      <c r="J91" s="71"/>
      <c r="K91" s="35" t="s">
        <v>65</v>
      </c>
      <c r="L91" s="72">
        <v>91</v>
      </c>
      <c r="M91" s="72"/>
      <c r="N91" s="73"/>
      <c r="O91" s="80" t="s">
        <v>262</v>
      </c>
      <c r="P91" s="82">
        <v>44695.29560185185</v>
      </c>
      <c r="Q91" s="80" t="s">
        <v>583</v>
      </c>
      <c r="R91" s="80"/>
      <c r="S91" s="80"/>
      <c r="T91" s="80"/>
      <c r="U91" s="80"/>
      <c r="V91" s="83" t="str">
        <f>HYPERLINK("https://abs.twimg.com/sticky/default_profile_images/default_profile_normal.png")</f>
        <v>https://abs.twimg.com/sticky/default_profile_images/default_profile_normal.png</v>
      </c>
      <c r="W91" s="82">
        <v>44695.29560185185</v>
      </c>
      <c r="X91" s="87">
        <v>44695</v>
      </c>
      <c r="Y91" s="85" t="s">
        <v>636</v>
      </c>
      <c r="Z91" s="83" t="str">
        <f>HYPERLINK("https://twitter.com/hargurpreetkau4/status/1525371752292880384")</f>
        <v>https://twitter.com/hargurpreetkau4/status/1525371752292880384</v>
      </c>
      <c r="AA91" s="80"/>
      <c r="AB91" s="80"/>
      <c r="AC91" s="85" t="s">
        <v>690</v>
      </c>
      <c r="AD91" s="80"/>
      <c r="AE91" s="80" t="b">
        <v>0</v>
      </c>
      <c r="AF91" s="80">
        <v>0</v>
      </c>
      <c r="AG91" s="85" t="s">
        <v>267</v>
      </c>
      <c r="AH91" s="80" t="b">
        <v>0</v>
      </c>
      <c r="AI91" s="80" t="s">
        <v>268</v>
      </c>
      <c r="AJ91" s="80"/>
      <c r="AK91" s="85" t="s">
        <v>267</v>
      </c>
      <c r="AL91" s="80" t="b">
        <v>0</v>
      </c>
      <c r="AM91" s="80">
        <v>3</v>
      </c>
      <c r="AN91" s="85" t="s">
        <v>702</v>
      </c>
      <c r="AO91" s="85" t="s">
        <v>272</v>
      </c>
      <c r="AP91" s="80" t="b">
        <v>0</v>
      </c>
      <c r="AQ91" s="85" t="s">
        <v>702</v>
      </c>
      <c r="AR91" s="80" t="s">
        <v>218</v>
      </c>
      <c r="AS91" s="80">
        <v>0</v>
      </c>
      <c r="AT91" s="80">
        <v>0</v>
      </c>
      <c r="AU91" s="80"/>
      <c r="AV91" s="80"/>
      <c r="AW91" s="80"/>
      <c r="AX91" s="80"/>
      <c r="AY91" s="80"/>
      <c r="AZ91" s="80"/>
      <c r="BA91" s="80"/>
      <c r="BB91" s="80"/>
      <c r="BC91" s="80">
        <v>4</v>
      </c>
      <c r="BD91" s="79" t="str">
        <f>REPLACE(INDEX(GroupVertices[Group],MATCH(Edges[[#This Row],[Vertex 1]],GroupVertices[Vertex],0)),1,1,"")</f>
        <v>1</v>
      </c>
      <c r="BE91" s="79" t="str">
        <f>REPLACE(INDEX(GroupVertices[Group],MATCH(Edges[[#This Row],[Vertex 2]],GroupVertices[Vertex],0)),1,1,"")</f>
        <v>2</v>
      </c>
      <c r="BF91" s="49">
        <v>0</v>
      </c>
      <c r="BG91" s="50">
        <v>0</v>
      </c>
      <c r="BH91" s="49">
        <v>2</v>
      </c>
      <c r="BI91" s="50">
        <v>6.666666666666667</v>
      </c>
      <c r="BJ91" s="49">
        <v>0</v>
      </c>
      <c r="BK91" s="50">
        <v>0</v>
      </c>
      <c r="BL91" s="49">
        <v>28</v>
      </c>
      <c r="BM91" s="50">
        <v>93.33333333333333</v>
      </c>
      <c r="BN91" s="49">
        <v>30</v>
      </c>
    </row>
    <row r="92" spans="1:66" ht="15">
      <c r="A92" s="65" t="s">
        <v>558</v>
      </c>
      <c r="B92" s="65" t="s">
        <v>562</v>
      </c>
      <c r="C92" s="66" t="s">
        <v>514</v>
      </c>
      <c r="D92" s="67">
        <v>10</v>
      </c>
      <c r="E92" s="66"/>
      <c r="F92" s="69">
        <v>15</v>
      </c>
      <c r="G92" s="66"/>
      <c r="H92" s="70"/>
      <c r="I92" s="71"/>
      <c r="J92" s="71"/>
      <c r="K92" s="35" t="s">
        <v>65</v>
      </c>
      <c r="L92" s="72">
        <v>92</v>
      </c>
      <c r="M92" s="72"/>
      <c r="N92" s="73"/>
      <c r="O92" s="80" t="s">
        <v>263</v>
      </c>
      <c r="P92" s="82">
        <v>44695.295752314814</v>
      </c>
      <c r="Q92" s="80" t="s">
        <v>584</v>
      </c>
      <c r="R92" s="80"/>
      <c r="S92" s="80"/>
      <c r="T92" s="80"/>
      <c r="U92" s="80"/>
      <c r="V92" s="83" t="str">
        <f>HYPERLINK("https://abs.twimg.com/sticky/default_profile_images/default_profile_normal.png")</f>
        <v>https://abs.twimg.com/sticky/default_profile_images/default_profile_normal.png</v>
      </c>
      <c r="W92" s="82">
        <v>44695.295752314814</v>
      </c>
      <c r="X92" s="87">
        <v>44695</v>
      </c>
      <c r="Y92" s="85" t="s">
        <v>637</v>
      </c>
      <c r="Z92" s="83" t="str">
        <f>HYPERLINK("https://twitter.com/hargurpreetkau4/status/1525371807032692736")</f>
        <v>https://twitter.com/hargurpreetkau4/status/1525371807032692736</v>
      </c>
      <c r="AA92" s="80"/>
      <c r="AB92" s="80"/>
      <c r="AC92" s="85" t="s">
        <v>691</v>
      </c>
      <c r="AD92" s="80"/>
      <c r="AE92" s="80" t="b">
        <v>0</v>
      </c>
      <c r="AF92" s="80">
        <v>0</v>
      </c>
      <c r="AG92" s="85" t="s">
        <v>267</v>
      </c>
      <c r="AH92" s="80" t="b">
        <v>0</v>
      </c>
      <c r="AI92" s="80" t="s">
        <v>268</v>
      </c>
      <c r="AJ92" s="80"/>
      <c r="AK92" s="85" t="s">
        <v>267</v>
      </c>
      <c r="AL92" s="80" t="b">
        <v>0</v>
      </c>
      <c r="AM92" s="80">
        <v>2</v>
      </c>
      <c r="AN92" s="85" t="s">
        <v>701</v>
      </c>
      <c r="AO92" s="85" t="s">
        <v>272</v>
      </c>
      <c r="AP92" s="80" t="b">
        <v>0</v>
      </c>
      <c r="AQ92" s="85" t="s">
        <v>701</v>
      </c>
      <c r="AR92" s="80" t="s">
        <v>218</v>
      </c>
      <c r="AS92" s="80">
        <v>0</v>
      </c>
      <c r="AT92" s="80">
        <v>0</v>
      </c>
      <c r="AU92" s="80"/>
      <c r="AV92" s="80"/>
      <c r="AW92" s="80"/>
      <c r="AX92" s="80"/>
      <c r="AY92" s="80"/>
      <c r="AZ92" s="80"/>
      <c r="BA92" s="80"/>
      <c r="BB92" s="80"/>
      <c r="BC92" s="80">
        <v>2</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558</v>
      </c>
      <c r="B93" s="65" t="s">
        <v>559</v>
      </c>
      <c r="C93" s="66" t="s">
        <v>514</v>
      </c>
      <c r="D93" s="67">
        <v>10</v>
      </c>
      <c r="E93" s="66"/>
      <c r="F93" s="69">
        <v>15</v>
      </c>
      <c r="G93" s="66"/>
      <c r="H93" s="70"/>
      <c r="I93" s="71"/>
      <c r="J93" s="71"/>
      <c r="K93" s="35" t="s">
        <v>65</v>
      </c>
      <c r="L93" s="72">
        <v>93</v>
      </c>
      <c r="M93" s="72"/>
      <c r="N93" s="73"/>
      <c r="O93" s="80" t="s">
        <v>262</v>
      </c>
      <c r="P93" s="82">
        <v>44695.295752314814</v>
      </c>
      <c r="Q93" s="80" t="s">
        <v>584</v>
      </c>
      <c r="R93" s="80"/>
      <c r="S93" s="80"/>
      <c r="T93" s="80"/>
      <c r="U93" s="80"/>
      <c r="V93" s="83" t="str">
        <f>HYPERLINK("https://abs.twimg.com/sticky/default_profile_images/default_profile_normal.png")</f>
        <v>https://abs.twimg.com/sticky/default_profile_images/default_profile_normal.png</v>
      </c>
      <c r="W93" s="82">
        <v>44695.295752314814</v>
      </c>
      <c r="X93" s="87">
        <v>44695</v>
      </c>
      <c r="Y93" s="85" t="s">
        <v>637</v>
      </c>
      <c r="Z93" s="83" t="str">
        <f>HYPERLINK("https://twitter.com/hargurpreetkau4/status/1525371807032692736")</f>
        <v>https://twitter.com/hargurpreetkau4/status/1525371807032692736</v>
      </c>
      <c r="AA93" s="80"/>
      <c r="AB93" s="80"/>
      <c r="AC93" s="85" t="s">
        <v>691</v>
      </c>
      <c r="AD93" s="80"/>
      <c r="AE93" s="80" t="b">
        <v>0</v>
      </c>
      <c r="AF93" s="80">
        <v>0</v>
      </c>
      <c r="AG93" s="85" t="s">
        <v>267</v>
      </c>
      <c r="AH93" s="80" t="b">
        <v>0</v>
      </c>
      <c r="AI93" s="80" t="s">
        <v>268</v>
      </c>
      <c r="AJ93" s="80"/>
      <c r="AK93" s="85" t="s">
        <v>267</v>
      </c>
      <c r="AL93" s="80" t="b">
        <v>0</v>
      </c>
      <c r="AM93" s="80">
        <v>2</v>
      </c>
      <c r="AN93" s="85" t="s">
        <v>701</v>
      </c>
      <c r="AO93" s="85" t="s">
        <v>272</v>
      </c>
      <c r="AP93" s="80" t="b">
        <v>0</v>
      </c>
      <c r="AQ93" s="85" t="s">
        <v>701</v>
      </c>
      <c r="AR93" s="80" t="s">
        <v>218</v>
      </c>
      <c r="AS93" s="80">
        <v>0</v>
      </c>
      <c r="AT93" s="80">
        <v>0</v>
      </c>
      <c r="AU93" s="80"/>
      <c r="AV93" s="80"/>
      <c r="AW93" s="80"/>
      <c r="AX93" s="80"/>
      <c r="AY93" s="80"/>
      <c r="AZ93" s="80"/>
      <c r="BA93" s="80"/>
      <c r="BB93" s="80"/>
      <c r="BC93" s="80">
        <v>4</v>
      </c>
      <c r="BD93" s="79" t="str">
        <f>REPLACE(INDEX(GroupVertices[Group],MATCH(Edges[[#This Row],[Vertex 1]],GroupVertices[Vertex],0)),1,1,"")</f>
        <v>1</v>
      </c>
      <c r="BE93" s="79" t="str">
        <f>REPLACE(INDEX(GroupVertices[Group],MATCH(Edges[[#This Row],[Vertex 2]],GroupVertices[Vertex],0)),1,1,"")</f>
        <v>2</v>
      </c>
      <c r="BF93" s="49">
        <v>0</v>
      </c>
      <c r="BG93" s="50">
        <v>0</v>
      </c>
      <c r="BH93" s="49">
        <v>0</v>
      </c>
      <c r="BI93" s="50">
        <v>0</v>
      </c>
      <c r="BJ93" s="49">
        <v>0</v>
      </c>
      <c r="BK93" s="50">
        <v>0</v>
      </c>
      <c r="BL93" s="49">
        <v>8</v>
      </c>
      <c r="BM93" s="50">
        <v>100</v>
      </c>
      <c r="BN93" s="49">
        <v>8</v>
      </c>
    </row>
    <row r="94" spans="1:66" ht="15">
      <c r="A94" s="65" t="s">
        <v>559</v>
      </c>
      <c r="B94" s="65" t="s">
        <v>520</v>
      </c>
      <c r="C94" s="66" t="s">
        <v>513</v>
      </c>
      <c r="D94" s="67">
        <v>5</v>
      </c>
      <c r="E94" s="66"/>
      <c r="F94" s="69">
        <v>50</v>
      </c>
      <c r="G94" s="66"/>
      <c r="H94" s="70"/>
      <c r="I94" s="71"/>
      <c r="J94" s="71"/>
      <c r="K94" s="35" t="s">
        <v>65</v>
      </c>
      <c r="L94" s="72">
        <v>94</v>
      </c>
      <c r="M94" s="72"/>
      <c r="N94" s="73"/>
      <c r="O94" s="80" t="s">
        <v>261</v>
      </c>
      <c r="P94" s="82">
        <v>44693.23054398148</v>
      </c>
      <c r="Q94" s="80" t="s">
        <v>585</v>
      </c>
      <c r="R94" s="83" t="s">
        <v>593</v>
      </c>
      <c r="S94" s="80" t="s">
        <v>266</v>
      </c>
      <c r="T94" s="85" t="s">
        <v>597</v>
      </c>
      <c r="U94" s="80"/>
      <c r="V94" s="83" t="str">
        <f>HYPERLINK("https://pbs.twimg.com/profile_images/1423569281292271617/RHqRplkb_normal.jpg")</f>
        <v>https://pbs.twimg.com/profile_images/1423569281292271617/RHqRplkb_normal.jpg</v>
      </c>
      <c r="W94" s="82">
        <v>44693.23054398148</v>
      </c>
      <c r="X94" s="87">
        <v>44693</v>
      </c>
      <c r="Y94" s="85" t="s">
        <v>638</v>
      </c>
      <c r="Z94" s="83" t="str">
        <f>HYPERLINK("https://twitter.com/letusbacktonz/status/1524623401868214272")</f>
        <v>https://twitter.com/letusbacktonz/status/1524623401868214272</v>
      </c>
      <c r="AA94" s="80"/>
      <c r="AB94" s="80"/>
      <c r="AC94" s="85" t="s">
        <v>692</v>
      </c>
      <c r="AD94" s="80"/>
      <c r="AE94" s="80" t="b">
        <v>0</v>
      </c>
      <c r="AF94" s="80">
        <v>9</v>
      </c>
      <c r="AG94" s="85" t="s">
        <v>267</v>
      </c>
      <c r="AH94" s="80" t="b">
        <v>0</v>
      </c>
      <c r="AI94" s="80" t="s">
        <v>268</v>
      </c>
      <c r="AJ94" s="80"/>
      <c r="AK94" s="85" t="s">
        <v>267</v>
      </c>
      <c r="AL94" s="80" t="b">
        <v>0</v>
      </c>
      <c r="AM94" s="80">
        <v>9</v>
      </c>
      <c r="AN94" s="85" t="s">
        <v>267</v>
      </c>
      <c r="AO94" s="85" t="s">
        <v>270</v>
      </c>
      <c r="AP94" s="80" t="b">
        <v>0</v>
      </c>
      <c r="AQ94" s="85" t="s">
        <v>692</v>
      </c>
      <c r="AR94" s="80" t="s">
        <v>218</v>
      </c>
      <c r="AS94" s="80">
        <v>0</v>
      </c>
      <c r="AT94" s="80">
        <v>0</v>
      </c>
      <c r="AU94" s="80"/>
      <c r="AV94" s="80"/>
      <c r="AW94" s="80"/>
      <c r="AX94" s="80"/>
      <c r="AY94" s="80"/>
      <c r="AZ94" s="80"/>
      <c r="BA94" s="80"/>
      <c r="BB94" s="80"/>
      <c r="BC94" s="80">
        <v>1</v>
      </c>
      <c r="BD94" s="79" t="str">
        <f>REPLACE(INDEX(GroupVertices[Group],MATCH(Edges[[#This Row],[Vertex 1]],GroupVertices[Vertex],0)),1,1,"")</f>
        <v>2</v>
      </c>
      <c r="BE94" s="79" t="str">
        <f>REPLACE(INDEX(GroupVertices[Group],MATCH(Edges[[#This Row],[Vertex 2]],GroupVertices[Vertex],0)),1,1,"")</f>
        <v>4</v>
      </c>
      <c r="BF94" s="49">
        <v>0</v>
      </c>
      <c r="BG94" s="50">
        <v>0</v>
      </c>
      <c r="BH94" s="49">
        <v>1</v>
      </c>
      <c r="BI94" s="50">
        <v>2.5</v>
      </c>
      <c r="BJ94" s="49">
        <v>0</v>
      </c>
      <c r="BK94" s="50">
        <v>0</v>
      </c>
      <c r="BL94" s="49">
        <v>39</v>
      </c>
      <c r="BM94" s="50">
        <v>97.5</v>
      </c>
      <c r="BN94" s="49">
        <v>40</v>
      </c>
    </row>
    <row r="95" spans="1:66" ht="15">
      <c r="A95" s="65" t="s">
        <v>559</v>
      </c>
      <c r="B95" s="65" t="s">
        <v>564</v>
      </c>
      <c r="C95" s="66" t="s">
        <v>513</v>
      </c>
      <c r="D95" s="67">
        <v>5</v>
      </c>
      <c r="E95" s="66"/>
      <c r="F95" s="69">
        <v>50</v>
      </c>
      <c r="G95" s="66"/>
      <c r="H95" s="70"/>
      <c r="I95" s="71"/>
      <c r="J95" s="71"/>
      <c r="K95" s="35" t="s">
        <v>65</v>
      </c>
      <c r="L95" s="72">
        <v>95</v>
      </c>
      <c r="M95" s="72"/>
      <c r="N95" s="73"/>
      <c r="O95" s="80" t="s">
        <v>261</v>
      </c>
      <c r="P95" s="82">
        <v>44693.23284722222</v>
      </c>
      <c r="Q95" s="80" t="s">
        <v>586</v>
      </c>
      <c r="R95" s="83" t="str">
        <f>HYPERLINK("https://twitter.com/LetusbacktoNZ/status/1524623401868214272")</f>
        <v>https://twitter.com/LetusbacktoNZ/status/1524623401868214272</v>
      </c>
      <c r="S95" s="80" t="s">
        <v>265</v>
      </c>
      <c r="T95" s="80"/>
      <c r="U95" s="80"/>
      <c r="V95" s="83" t="str">
        <f>HYPERLINK("https://pbs.twimg.com/profile_images/1423569281292271617/RHqRplkb_normal.jpg")</f>
        <v>https://pbs.twimg.com/profile_images/1423569281292271617/RHqRplkb_normal.jpg</v>
      </c>
      <c r="W95" s="82">
        <v>44693.23284722222</v>
      </c>
      <c r="X95" s="87">
        <v>44693</v>
      </c>
      <c r="Y95" s="85" t="s">
        <v>639</v>
      </c>
      <c r="Z95" s="83" t="str">
        <f>HYPERLINK("https://twitter.com/letusbacktonz/status/1524624235989442561")</f>
        <v>https://twitter.com/letusbacktonz/status/1524624235989442561</v>
      </c>
      <c r="AA95" s="80"/>
      <c r="AB95" s="80"/>
      <c r="AC95" s="85" t="s">
        <v>693</v>
      </c>
      <c r="AD95" s="80"/>
      <c r="AE95" s="80" t="b">
        <v>0</v>
      </c>
      <c r="AF95" s="80">
        <v>1</v>
      </c>
      <c r="AG95" s="85" t="s">
        <v>303</v>
      </c>
      <c r="AH95" s="80" t="b">
        <v>1</v>
      </c>
      <c r="AI95" s="80" t="s">
        <v>269</v>
      </c>
      <c r="AJ95" s="80"/>
      <c r="AK95" s="85" t="s">
        <v>692</v>
      </c>
      <c r="AL95" s="80" t="b">
        <v>0</v>
      </c>
      <c r="AM95" s="80">
        <v>1</v>
      </c>
      <c r="AN95" s="85" t="s">
        <v>267</v>
      </c>
      <c r="AO95" s="85" t="s">
        <v>270</v>
      </c>
      <c r="AP95" s="80" t="b">
        <v>0</v>
      </c>
      <c r="AQ95" s="85" t="s">
        <v>693</v>
      </c>
      <c r="AR95" s="80" t="s">
        <v>218</v>
      </c>
      <c r="AS95" s="80">
        <v>0</v>
      </c>
      <c r="AT95" s="80">
        <v>0</v>
      </c>
      <c r="AU95" s="80"/>
      <c r="AV95" s="80"/>
      <c r="AW95" s="80"/>
      <c r="AX95" s="80"/>
      <c r="AY95" s="80"/>
      <c r="AZ95" s="80"/>
      <c r="BA95" s="80"/>
      <c r="BB95" s="80"/>
      <c r="BC95" s="80">
        <v>1</v>
      </c>
      <c r="BD95" s="79" t="str">
        <f>REPLACE(INDEX(GroupVertices[Group],MATCH(Edges[[#This Row],[Vertex 1]],GroupVertices[Vertex],0)),1,1,"")</f>
        <v>2</v>
      </c>
      <c r="BE95" s="79" t="str">
        <f>REPLACE(INDEX(GroupVertices[Group],MATCH(Edges[[#This Row],[Vertex 2]],GroupVertices[Vertex],0)),1,1,"")</f>
        <v>2</v>
      </c>
      <c r="BF95" s="49"/>
      <c r="BG95" s="50"/>
      <c r="BH95" s="49"/>
      <c r="BI95" s="50"/>
      <c r="BJ95" s="49"/>
      <c r="BK95" s="50"/>
      <c r="BL95" s="49"/>
      <c r="BM95" s="50"/>
      <c r="BN95" s="49"/>
    </row>
    <row r="96" spans="1:66" ht="15">
      <c r="A96" s="65" t="s">
        <v>559</v>
      </c>
      <c r="B96" s="65" t="s">
        <v>565</v>
      </c>
      <c r="C96" s="66" t="s">
        <v>513</v>
      </c>
      <c r="D96" s="67">
        <v>5</v>
      </c>
      <c r="E96" s="66"/>
      <c r="F96" s="69">
        <v>50</v>
      </c>
      <c r="G96" s="66"/>
      <c r="H96" s="70"/>
      <c r="I96" s="71"/>
      <c r="J96" s="71"/>
      <c r="K96" s="35" t="s">
        <v>65</v>
      </c>
      <c r="L96" s="72">
        <v>96</v>
      </c>
      <c r="M96" s="72"/>
      <c r="N96" s="73"/>
      <c r="O96" s="80" t="s">
        <v>261</v>
      </c>
      <c r="P96" s="82">
        <v>44693.23284722222</v>
      </c>
      <c r="Q96" s="80" t="s">
        <v>586</v>
      </c>
      <c r="R96" s="83" t="str">
        <f>HYPERLINK("https://twitter.com/LetusbacktoNZ/status/1524623401868214272")</f>
        <v>https://twitter.com/LetusbacktoNZ/status/1524623401868214272</v>
      </c>
      <c r="S96" s="80" t="s">
        <v>265</v>
      </c>
      <c r="T96" s="80"/>
      <c r="U96" s="80"/>
      <c r="V96" s="83" t="str">
        <f>HYPERLINK("https://pbs.twimg.com/profile_images/1423569281292271617/RHqRplkb_normal.jpg")</f>
        <v>https://pbs.twimg.com/profile_images/1423569281292271617/RHqRplkb_normal.jpg</v>
      </c>
      <c r="W96" s="82">
        <v>44693.23284722222</v>
      </c>
      <c r="X96" s="87">
        <v>44693</v>
      </c>
      <c r="Y96" s="85" t="s">
        <v>639</v>
      </c>
      <c r="Z96" s="83" t="str">
        <f>HYPERLINK("https://twitter.com/letusbacktonz/status/1524624235989442561")</f>
        <v>https://twitter.com/letusbacktonz/status/1524624235989442561</v>
      </c>
      <c r="AA96" s="80"/>
      <c r="AB96" s="80"/>
      <c r="AC96" s="85" t="s">
        <v>693</v>
      </c>
      <c r="AD96" s="80"/>
      <c r="AE96" s="80" t="b">
        <v>0</v>
      </c>
      <c r="AF96" s="80">
        <v>1</v>
      </c>
      <c r="AG96" s="85" t="s">
        <v>303</v>
      </c>
      <c r="AH96" s="80" t="b">
        <v>1</v>
      </c>
      <c r="AI96" s="80" t="s">
        <v>269</v>
      </c>
      <c r="AJ96" s="80"/>
      <c r="AK96" s="85" t="s">
        <v>692</v>
      </c>
      <c r="AL96" s="80" t="b">
        <v>0</v>
      </c>
      <c r="AM96" s="80">
        <v>1</v>
      </c>
      <c r="AN96" s="85" t="s">
        <v>267</v>
      </c>
      <c r="AO96" s="85" t="s">
        <v>270</v>
      </c>
      <c r="AP96" s="80" t="b">
        <v>0</v>
      </c>
      <c r="AQ96" s="85" t="s">
        <v>693</v>
      </c>
      <c r="AR96" s="80" t="s">
        <v>218</v>
      </c>
      <c r="AS96" s="80">
        <v>0</v>
      </c>
      <c r="AT96" s="80">
        <v>0</v>
      </c>
      <c r="AU96" s="80"/>
      <c r="AV96" s="80"/>
      <c r="AW96" s="80"/>
      <c r="AX96" s="80"/>
      <c r="AY96" s="80"/>
      <c r="AZ96" s="80"/>
      <c r="BA96" s="80"/>
      <c r="BB96" s="80"/>
      <c r="BC96" s="80">
        <v>1</v>
      </c>
      <c r="BD96" s="79" t="str">
        <f>REPLACE(INDEX(GroupVertices[Group],MATCH(Edges[[#This Row],[Vertex 1]],GroupVertices[Vertex],0)),1,1,"")</f>
        <v>2</v>
      </c>
      <c r="BE96" s="79" t="str">
        <f>REPLACE(INDEX(GroupVertices[Group],MATCH(Edges[[#This Row],[Vertex 2]],GroupVertices[Vertex],0)),1,1,"")</f>
        <v>2</v>
      </c>
      <c r="BF96" s="49"/>
      <c r="BG96" s="50"/>
      <c r="BH96" s="49"/>
      <c r="BI96" s="50"/>
      <c r="BJ96" s="49"/>
      <c r="BK96" s="50"/>
      <c r="BL96" s="49"/>
      <c r="BM96" s="50"/>
      <c r="BN96" s="49"/>
    </row>
    <row r="97" spans="1:66" ht="15">
      <c r="A97" s="65" t="s">
        <v>559</v>
      </c>
      <c r="B97" s="65" t="s">
        <v>566</v>
      </c>
      <c r="C97" s="66" t="s">
        <v>513</v>
      </c>
      <c r="D97" s="67">
        <v>5</v>
      </c>
      <c r="E97" s="66"/>
      <c r="F97" s="69">
        <v>50</v>
      </c>
      <c r="G97" s="66"/>
      <c r="H97" s="70"/>
      <c r="I97" s="71"/>
      <c r="J97" s="71"/>
      <c r="K97" s="35" t="s">
        <v>65</v>
      </c>
      <c r="L97" s="72">
        <v>97</v>
      </c>
      <c r="M97" s="72"/>
      <c r="N97" s="73"/>
      <c r="O97" s="80" t="s">
        <v>261</v>
      </c>
      <c r="P97" s="82">
        <v>44693.23284722222</v>
      </c>
      <c r="Q97" s="80" t="s">
        <v>586</v>
      </c>
      <c r="R97" s="83" t="str">
        <f>HYPERLINK("https://twitter.com/LetusbacktoNZ/status/1524623401868214272")</f>
        <v>https://twitter.com/LetusbacktoNZ/status/1524623401868214272</v>
      </c>
      <c r="S97" s="80" t="s">
        <v>265</v>
      </c>
      <c r="T97" s="80"/>
      <c r="U97" s="80"/>
      <c r="V97" s="83" t="str">
        <f>HYPERLINK("https://pbs.twimg.com/profile_images/1423569281292271617/RHqRplkb_normal.jpg")</f>
        <v>https://pbs.twimg.com/profile_images/1423569281292271617/RHqRplkb_normal.jpg</v>
      </c>
      <c r="W97" s="82">
        <v>44693.23284722222</v>
      </c>
      <c r="X97" s="87">
        <v>44693</v>
      </c>
      <c r="Y97" s="85" t="s">
        <v>639</v>
      </c>
      <c r="Z97" s="83" t="str">
        <f>HYPERLINK("https://twitter.com/letusbacktonz/status/1524624235989442561")</f>
        <v>https://twitter.com/letusbacktonz/status/1524624235989442561</v>
      </c>
      <c r="AA97" s="80"/>
      <c r="AB97" s="80"/>
      <c r="AC97" s="85" t="s">
        <v>693</v>
      </c>
      <c r="AD97" s="80"/>
      <c r="AE97" s="80" t="b">
        <v>0</v>
      </c>
      <c r="AF97" s="80">
        <v>1</v>
      </c>
      <c r="AG97" s="85" t="s">
        <v>303</v>
      </c>
      <c r="AH97" s="80" t="b">
        <v>1</v>
      </c>
      <c r="AI97" s="80" t="s">
        <v>269</v>
      </c>
      <c r="AJ97" s="80"/>
      <c r="AK97" s="85" t="s">
        <v>692</v>
      </c>
      <c r="AL97" s="80" t="b">
        <v>0</v>
      </c>
      <c r="AM97" s="80">
        <v>1</v>
      </c>
      <c r="AN97" s="85" t="s">
        <v>267</v>
      </c>
      <c r="AO97" s="85" t="s">
        <v>270</v>
      </c>
      <c r="AP97" s="80" t="b">
        <v>0</v>
      </c>
      <c r="AQ97" s="85" t="s">
        <v>693</v>
      </c>
      <c r="AR97" s="80" t="s">
        <v>218</v>
      </c>
      <c r="AS97" s="80">
        <v>0</v>
      </c>
      <c r="AT97" s="80">
        <v>0</v>
      </c>
      <c r="AU97" s="80"/>
      <c r="AV97" s="80"/>
      <c r="AW97" s="80"/>
      <c r="AX97" s="80"/>
      <c r="AY97" s="80"/>
      <c r="AZ97" s="80"/>
      <c r="BA97" s="80"/>
      <c r="BB97" s="80"/>
      <c r="BC97" s="80">
        <v>1</v>
      </c>
      <c r="BD97" s="79" t="str">
        <f>REPLACE(INDEX(GroupVertices[Group],MATCH(Edges[[#This Row],[Vertex 1]],GroupVertices[Vertex],0)),1,1,"")</f>
        <v>2</v>
      </c>
      <c r="BE97" s="79" t="str">
        <f>REPLACE(INDEX(GroupVertices[Group],MATCH(Edges[[#This Row],[Vertex 2]],GroupVertices[Vertex],0)),1,1,"")</f>
        <v>2</v>
      </c>
      <c r="BF97" s="49"/>
      <c r="BG97" s="50"/>
      <c r="BH97" s="49"/>
      <c r="BI97" s="50"/>
      <c r="BJ97" s="49"/>
      <c r="BK97" s="50"/>
      <c r="BL97" s="49"/>
      <c r="BM97" s="50"/>
      <c r="BN97" s="49"/>
    </row>
    <row r="98" spans="1:66" ht="15">
      <c r="A98" s="65" t="s">
        <v>559</v>
      </c>
      <c r="B98" s="65" t="s">
        <v>567</v>
      </c>
      <c r="C98" s="66" t="s">
        <v>513</v>
      </c>
      <c r="D98" s="67">
        <v>5</v>
      </c>
      <c r="E98" s="66"/>
      <c r="F98" s="69">
        <v>50</v>
      </c>
      <c r="G98" s="66"/>
      <c r="H98" s="70"/>
      <c r="I98" s="71"/>
      <c r="J98" s="71"/>
      <c r="K98" s="35" t="s">
        <v>65</v>
      </c>
      <c r="L98" s="72">
        <v>98</v>
      </c>
      <c r="M98" s="72"/>
      <c r="N98" s="73"/>
      <c r="O98" s="80" t="s">
        <v>261</v>
      </c>
      <c r="P98" s="82">
        <v>44693.23284722222</v>
      </c>
      <c r="Q98" s="80" t="s">
        <v>586</v>
      </c>
      <c r="R98" s="83" t="str">
        <f>HYPERLINK("https://twitter.com/LetusbacktoNZ/status/1524623401868214272")</f>
        <v>https://twitter.com/LetusbacktoNZ/status/1524623401868214272</v>
      </c>
      <c r="S98" s="80" t="s">
        <v>265</v>
      </c>
      <c r="T98" s="80"/>
      <c r="U98" s="80"/>
      <c r="V98" s="83" t="str">
        <f>HYPERLINK("https://pbs.twimg.com/profile_images/1423569281292271617/RHqRplkb_normal.jpg")</f>
        <v>https://pbs.twimg.com/profile_images/1423569281292271617/RHqRplkb_normal.jpg</v>
      </c>
      <c r="W98" s="82">
        <v>44693.23284722222</v>
      </c>
      <c r="X98" s="87">
        <v>44693</v>
      </c>
      <c r="Y98" s="85" t="s">
        <v>639</v>
      </c>
      <c r="Z98" s="83" t="str">
        <f>HYPERLINK("https://twitter.com/letusbacktonz/status/1524624235989442561")</f>
        <v>https://twitter.com/letusbacktonz/status/1524624235989442561</v>
      </c>
      <c r="AA98" s="80"/>
      <c r="AB98" s="80"/>
      <c r="AC98" s="85" t="s">
        <v>693</v>
      </c>
      <c r="AD98" s="80"/>
      <c r="AE98" s="80" t="b">
        <v>0</v>
      </c>
      <c r="AF98" s="80">
        <v>1</v>
      </c>
      <c r="AG98" s="85" t="s">
        <v>303</v>
      </c>
      <c r="AH98" s="80" t="b">
        <v>1</v>
      </c>
      <c r="AI98" s="80" t="s">
        <v>269</v>
      </c>
      <c r="AJ98" s="80"/>
      <c r="AK98" s="85" t="s">
        <v>692</v>
      </c>
      <c r="AL98" s="80" t="b">
        <v>0</v>
      </c>
      <c r="AM98" s="80">
        <v>1</v>
      </c>
      <c r="AN98" s="85" t="s">
        <v>267</v>
      </c>
      <c r="AO98" s="85" t="s">
        <v>270</v>
      </c>
      <c r="AP98" s="80" t="b">
        <v>0</v>
      </c>
      <c r="AQ98" s="85" t="s">
        <v>693</v>
      </c>
      <c r="AR98" s="80" t="s">
        <v>218</v>
      </c>
      <c r="AS98" s="80">
        <v>0</v>
      </c>
      <c r="AT98" s="80">
        <v>0</v>
      </c>
      <c r="AU98" s="80"/>
      <c r="AV98" s="80"/>
      <c r="AW98" s="80"/>
      <c r="AX98" s="80"/>
      <c r="AY98" s="80"/>
      <c r="AZ98" s="80"/>
      <c r="BA98" s="80"/>
      <c r="BB98" s="80"/>
      <c r="BC98" s="80">
        <v>1</v>
      </c>
      <c r="BD98" s="79" t="str">
        <f>REPLACE(INDEX(GroupVertices[Group],MATCH(Edges[[#This Row],[Vertex 1]],GroupVertices[Vertex],0)),1,1,"")</f>
        <v>2</v>
      </c>
      <c r="BE98" s="79" t="str">
        <f>REPLACE(INDEX(GroupVertices[Group],MATCH(Edges[[#This Row],[Vertex 2]],GroupVertices[Vertex],0)),1,1,"")</f>
        <v>2</v>
      </c>
      <c r="BF98" s="49"/>
      <c r="BG98" s="50"/>
      <c r="BH98" s="49"/>
      <c r="BI98" s="50"/>
      <c r="BJ98" s="49"/>
      <c r="BK98" s="50"/>
      <c r="BL98" s="49"/>
      <c r="BM98" s="50"/>
      <c r="BN98" s="49"/>
    </row>
    <row r="99" spans="1:66" ht="15">
      <c r="A99" s="65" t="s">
        <v>559</v>
      </c>
      <c r="B99" s="65" t="s">
        <v>259</v>
      </c>
      <c r="C99" s="66" t="s">
        <v>513</v>
      </c>
      <c r="D99" s="67">
        <v>5</v>
      </c>
      <c r="E99" s="66"/>
      <c r="F99" s="69">
        <v>50</v>
      </c>
      <c r="G99" s="66"/>
      <c r="H99" s="70"/>
      <c r="I99" s="71"/>
      <c r="J99" s="71"/>
      <c r="K99" s="35" t="s">
        <v>65</v>
      </c>
      <c r="L99" s="72">
        <v>99</v>
      </c>
      <c r="M99" s="72"/>
      <c r="N99" s="73"/>
      <c r="O99" s="80" t="s">
        <v>261</v>
      </c>
      <c r="P99" s="82">
        <v>44693.23284722222</v>
      </c>
      <c r="Q99" s="80" t="s">
        <v>586</v>
      </c>
      <c r="R99" s="83" t="str">
        <f>HYPERLINK("https://twitter.com/LetusbacktoNZ/status/1524623401868214272")</f>
        <v>https://twitter.com/LetusbacktoNZ/status/1524623401868214272</v>
      </c>
      <c r="S99" s="80" t="s">
        <v>265</v>
      </c>
      <c r="T99" s="80"/>
      <c r="U99" s="80"/>
      <c r="V99" s="83" t="str">
        <f>HYPERLINK("https://pbs.twimg.com/profile_images/1423569281292271617/RHqRplkb_normal.jpg")</f>
        <v>https://pbs.twimg.com/profile_images/1423569281292271617/RHqRplkb_normal.jpg</v>
      </c>
      <c r="W99" s="82">
        <v>44693.23284722222</v>
      </c>
      <c r="X99" s="87">
        <v>44693</v>
      </c>
      <c r="Y99" s="85" t="s">
        <v>639</v>
      </c>
      <c r="Z99" s="83" t="str">
        <f>HYPERLINK("https://twitter.com/letusbacktonz/status/1524624235989442561")</f>
        <v>https://twitter.com/letusbacktonz/status/1524624235989442561</v>
      </c>
      <c r="AA99" s="80"/>
      <c r="AB99" s="80"/>
      <c r="AC99" s="85" t="s">
        <v>693</v>
      </c>
      <c r="AD99" s="80"/>
      <c r="AE99" s="80" t="b">
        <v>0</v>
      </c>
      <c r="AF99" s="80">
        <v>1</v>
      </c>
      <c r="AG99" s="85" t="s">
        <v>303</v>
      </c>
      <c r="AH99" s="80" t="b">
        <v>1</v>
      </c>
      <c r="AI99" s="80" t="s">
        <v>269</v>
      </c>
      <c r="AJ99" s="80"/>
      <c r="AK99" s="85" t="s">
        <v>692</v>
      </c>
      <c r="AL99" s="80" t="b">
        <v>0</v>
      </c>
      <c r="AM99" s="80">
        <v>1</v>
      </c>
      <c r="AN99" s="85" t="s">
        <v>267</v>
      </c>
      <c r="AO99" s="85" t="s">
        <v>270</v>
      </c>
      <c r="AP99" s="80" t="b">
        <v>0</v>
      </c>
      <c r="AQ99" s="85" t="s">
        <v>693</v>
      </c>
      <c r="AR99" s="80" t="s">
        <v>218</v>
      </c>
      <c r="AS99" s="80">
        <v>0</v>
      </c>
      <c r="AT99" s="80">
        <v>0</v>
      </c>
      <c r="AU99" s="80"/>
      <c r="AV99" s="80"/>
      <c r="AW99" s="80"/>
      <c r="AX99" s="80"/>
      <c r="AY99" s="80"/>
      <c r="AZ99" s="80"/>
      <c r="BA99" s="80"/>
      <c r="BB99" s="80"/>
      <c r="BC99" s="80">
        <v>1</v>
      </c>
      <c r="BD99" s="79" t="str">
        <f>REPLACE(INDEX(GroupVertices[Group],MATCH(Edges[[#This Row],[Vertex 1]],GroupVertices[Vertex],0)),1,1,"")</f>
        <v>2</v>
      </c>
      <c r="BE99" s="79" t="str">
        <f>REPLACE(INDEX(GroupVertices[Group],MATCH(Edges[[#This Row],[Vertex 2]],GroupVertices[Vertex],0)),1,1,"")</f>
        <v>2</v>
      </c>
      <c r="BF99" s="49"/>
      <c r="BG99" s="50"/>
      <c r="BH99" s="49"/>
      <c r="BI99" s="50"/>
      <c r="BJ99" s="49"/>
      <c r="BK99" s="50"/>
      <c r="BL99" s="49"/>
      <c r="BM99" s="50"/>
      <c r="BN99" s="49"/>
    </row>
    <row r="100" spans="1:66" ht="15">
      <c r="A100" s="65" t="s">
        <v>559</v>
      </c>
      <c r="B100" s="65" t="s">
        <v>568</v>
      </c>
      <c r="C100" s="66" t="s">
        <v>513</v>
      </c>
      <c r="D100" s="67">
        <v>5</v>
      </c>
      <c r="E100" s="66"/>
      <c r="F100" s="69">
        <v>50</v>
      </c>
      <c r="G100" s="66"/>
      <c r="H100" s="70"/>
      <c r="I100" s="71"/>
      <c r="J100" s="71"/>
      <c r="K100" s="35" t="s">
        <v>65</v>
      </c>
      <c r="L100" s="72">
        <v>100</v>
      </c>
      <c r="M100" s="72"/>
      <c r="N100" s="73"/>
      <c r="O100" s="80" t="s">
        <v>261</v>
      </c>
      <c r="P100" s="82">
        <v>44693.23284722222</v>
      </c>
      <c r="Q100" s="80" t="s">
        <v>586</v>
      </c>
      <c r="R100" s="83" t="str">
        <f>HYPERLINK("https://twitter.com/LetusbacktoNZ/status/1524623401868214272")</f>
        <v>https://twitter.com/LetusbacktoNZ/status/1524623401868214272</v>
      </c>
      <c r="S100" s="80" t="s">
        <v>265</v>
      </c>
      <c r="T100" s="80"/>
      <c r="U100" s="80"/>
      <c r="V100" s="83" t="str">
        <f>HYPERLINK("https://pbs.twimg.com/profile_images/1423569281292271617/RHqRplkb_normal.jpg")</f>
        <v>https://pbs.twimg.com/profile_images/1423569281292271617/RHqRplkb_normal.jpg</v>
      </c>
      <c r="W100" s="82">
        <v>44693.23284722222</v>
      </c>
      <c r="X100" s="87">
        <v>44693</v>
      </c>
      <c r="Y100" s="85" t="s">
        <v>639</v>
      </c>
      <c r="Z100" s="83" t="str">
        <f>HYPERLINK("https://twitter.com/letusbacktonz/status/1524624235989442561")</f>
        <v>https://twitter.com/letusbacktonz/status/1524624235989442561</v>
      </c>
      <c r="AA100" s="80"/>
      <c r="AB100" s="80"/>
      <c r="AC100" s="85" t="s">
        <v>693</v>
      </c>
      <c r="AD100" s="80"/>
      <c r="AE100" s="80" t="b">
        <v>0</v>
      </c>
      <c r="AF100" s="80">
        <v>1</v>
      </c>
      <c r="AG100" s="85" t="s">
        <v>303</v>
      </c>
      <c r="AH100" s="80" t="b">
        <v>1</v>
      </c>
      <c r="AI100" s="80" t="s">
        <v>269</v>
      </c>
      <c r="AJ100" s="80"/>
      <c r="AK100" s="85" t="s">
        <v>692</v>
      </c>
      <c r="AL100" s="80" t="b">
        <v>0</v>
      </c>
      <c r="AM100" s="80">
        <v>1</v>
      </c>
      <c r="AN100" s="85" t="s">
        <v>267</v>
      </c>
      <c r="AO100" s="85" t="s">
        <v>270</v>
      </c>
      <c r="AP100" s="80" t="b">
        <v>0</v>
      </c>
      <c r="AQ100" s="85" t="s">
        <v>693</v>
      </c>
      <c r="AR100" s="80" t="s">
        <v>218</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2</v>
      </c>
      <c r="BF100" s="49"/>
      <c r="BG100" s="50"/>
      <c r="BH100" s="49"/>
      <c r="BI100" s="50"/>
      <c r="BJ100" s="49"/>
      <c r="BK100" s="50"/>
      <c r="BL100" s="49"/>
      <c r="BM100" s="50"/>
      <c r="BN100" s="49"/>
    </row>
    <row r="101" spans="1:66" ht="15">
      <c r="A101" s="65" t="s">
        <v>559</v>
      </c>
      <c r="B101" s="65" t="s">
        <v>569</v>
      </c>
      <c r="C101" s="66" t="s">
        <v>513</v>
      </c>
      <c r="D101" s="67">
        <v>5</v>
      </c>
      <c r="E101" s="66"/>
      <c r="F101" s="69">
        <v>50</v>
      </c>
      <c r="G101" s="66"/>
      <c r="H101" s="70"/>
      <c r="I101" s="71"/>
      <c r="J101" s="71"/>
      <c r="K101" s="35" t="s">
        <v>65</v>
      </c>
      <c r="L101" s="72">
        <v>101</v>
      </c>
      <c r="M101" s="72"/>
      <c r="N101" s="73"/>
      <c r="O101" s="80" t="s">
        <v>261</v>
      </c>
      <c r="P101" s="82">
        <v>44693.23284722222</v>
      </c>
      <c r="Q101" s="80" t="s">
        <v>586</v>
      </c>
      <c r="R101" s="83" t="str">
        <f>HYPERLINK("https://twitter.com/LetusbacktoNZ/status/1524623401868214272")</f>
        <v>https://twitter.com/LetusbacktoNZ/status/1524623401868214272</v>
      </c>
      <c r="S101" s="80" t="s">
        <v>265</v>
      </c>
      <c r="T101" s="80"/>
      <c r="U101" s="80"/>
      <c r="V101" s="83" t="str">
        <f>HYPERLINK("https://pbs.twimg.com/profile_images/1423569281292271617/RHqRplkb_normal.jpg")</f>
        <v>https://pbs.twimg.com/profile_images/1423569281292271617/RHqRplkb_normal.jpg</v>
      </c>
      <c r="W101" s="82">
        <v>44693.23284722222</v>
      </c>
      <c r="X101" s="87">
        <v>44693</v>
      </c>
      <c r="Y101" s="85" t="s">
        <v>639</v>
      </c>
      <c r="Z101" s="83" t="str">
        <f>HYPERLINK("https://twitter.com/letusbacktonz/status/1524624235989442561")</f>
        <v>https://twitter.com/letusbacktonz/status/1524624235989442561</v>
      </c>
      <c r="AA101" s="80"/>
      <c r="AB101" s="80"/>
      <c r="AC101" s="85" t="s">
        <v>693</v>
      </c>
      <c r="AD101" s="80"/>
      <c r="AE101" s="80" t="b">
        <v>0</v>
      </c>
      <c r="AF101" s="80">
        <v>1</v>
      </c>
      <c r="AG101" s="85" t="s">
        <v>303</v>
      </c>
      <c r="AH101" s="80" t="b">
        <v>1</v>
      </c>
      <c r="AI101" s="80" t="s">
        <v>269</v>
      </c>
      <c r="AJ101" s="80"/>
      <c r="AK101" s="85" t="s">
        <v>692</v>
      </c>
      <c r="AL101" s="80" t="b">
        <v>0</v>
      </c>
      <c r="AM101" s="80">
        <v>1</v>
      </c>
      <c r="AN101" s="85" t="s">
        <v>267</v>
      </c>
      <c r="AO101" s="85" t="s">
        <v>270</v>
      </c>
      <c r="AP101" s="80" t="b">
        <v>0</v>
      </c>
      <c r="AQ101" s="85" t="s">
        <v>693</v>
      </c>
      <c r="AR101" s="80" t="s">
        <v>218</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559</v>
      </c>
      <c r="B102" s="65" t="s">
        <v>570</v>
      </c>
      <c r="C102" s="66" t="s">
        <v>513</v>
      </c>
      <c r="D102" s="67">
        <v>5</v>
      </c>
      <c r="E102" s="66"/>
      <c r="F102" s="69">
        <v>50</v>
      </c>
      <c r="G102" s="66"/>
      <c r="H102" s="70"/>
      <c r="I102" s="71"/>
      <c r="J102" s="71"/>
      <c r="K102" s="35" t="s">
        <v>65</v>
      </c>
      <c r="L102" s="72">
        <v>102</v>
      </c>
      <c r="M102" s="72"/>
      <c r="N102" s="73"/>
      <c r="O102" s="80" t="s">
        <v>261</v>
      </c>
      <c r="P102" s="82">
        <v>44693.23284722222</v>
      </c>
      <c r="Q102" s="80" t="s">
        <v>586</v>
      </c>
      <c r="R102" s="83" t="str">
        <f>HYPERLINK("https://twitter.com/LetusbacktoNZ/status/1524623401868214272")</f>
        <v>https://twitter.com/LetusbacktoNZ/status/1524623401868214272</v>
      </c>
      <c r="S102" s="80" t="s">
        <v>265</v>
      </c>
      <c r="T102" s="80"/>
      <c r="U102" s="80"/>
      <c r="V102" s="83" t="str">
        <f>HYPERLINK("https://pbs.twimg.com/profile_images/1423569281292271617/RHqRplkb_normal.jpg")</f>
        <v>https://pbs.twimg.com/profile_images/1423569281292271617/RHqRplkb_normal.jpg</v>
      </c>
      <c r="W102" s="82">
        <v>44693.23284722222</v>
      </c>
      <c r="X102" s="87">
        <v>44693</v>
      </c>
      <c r="Y102" s="85" t="s">
        <v>639</v>
      </c>
      <c r="Z102" s="83" t="str">
        <f>HYPERLINK("https://twitter.com/letusbacktonz/status/1524624235989442561")</f>
        <v>https://twitter.com/letusbacktonz/status/1524624235989442561</v>
      </c>
      <c r="AA102" s="80"/>
      <c r="AB102" s="80"/>
      <c r="AC102" s="85" t="s">
        <v>693</v>
      </c>
      <c r="AD102" s="80"/>
      <c r="AE102" s="80" t="b">
        <v>0</v>
      </c>
      <c r="AF102" s="80">
        <v>1</v>
      </c>
      <c r="AG102" s="85" t="s">
        <v>303</v>
      </c>
      <c r="AH102" s="80" t="b">
        <v>1</v>
      </c>
      <c r="AI102" s="80" t="s">
        <v>269</v>
      </c>
      <c r="AJ102" s="80"/>
      <c r="AK102" s="85" t="s">
        <v>692</v>
      </c>
      <c r="AL102" s="80" t="b">
        <v>0</v>
      </c>
      <c r="AM102" s="80">
        <v>1</v>
      </c>
      <c r="AN102" s="85" t="s">
        <v>267</v>
      </c>
      <c r="AO102" s="85" t="s">
        <v>270</v>
      </c>
      <c r="AP102" s="80" t="b">
        <v>0</v>
      </c>
      <c r="AQ102" s="85" t="s">
        <v>693</v>
      </c>
      <c r="AR102" s="80" t="s">
        <v>218</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2</v>
      </c>
      <c r="BF102" s="49"/>
      <c r="BG102" s="50"/>
      <c r="BH102" s="49"/>
      <c r="BI102" s="50"/>
      <c r="BJ102" s="49"/>
      <c r="BK102" s="50"/>
      <c r="BL102" s="49"/>
      <c r="BM102" s="50"/>
      <c r="BN102" s="49"/>
    </row>
    <row r="103" spans="1:66" ht="15">
      <c r="A103" s="65" t="s">
        <v>559</v>
      </c>
      <c r="B103" s="65" t="s">
        <v>571</v>
      </c>
      <c r="C103" s="66" t="s">
        <v>513</v>
      </c>
      <c r="D103" s="67">
        <v>5</v>
      </c>
      <c r="E103" s="66"/>
      <c r="F103" s="69">
        <v>50</v>
      </c>
      <c r="G103" s="66"/>
      <c r="H103" s="70"/>
      <c r="I103" s="71"/>
      <c r="J103" s="71"/>
      <c r="K103" s="35" t="s">
        <v>65</v>
      </c>
      <c r="L103" s="72">
        <v>103</v>
      </c>
      <c r="M103" s="72"/>
      <c r="N103" s="73"/>
      <c r="O103" s="80" t="s">
        <v>261</v>
      </c>
      <c r="P103" s="82">
        <v>44693.23284722222</v>
      </c>
      <c r="Q103" s="80" t="s">
        <v>586</v>
      </c>
      <c r="R103" s="83" t="str">
        <f>HYPERLINK("https://twitter.com/LetusbacktoNZ/status/1524623401868214272")</f>
        <v>https://twitter.com/LetusbacktoNZ/status/1524623401868214272</v>
      </c>
      <c r="S103" s="80" t="s">
        <v>265</v>
      </c>
      <c r="T103" s="80"/>
      <c r="U103" s="80"/>
      <c r="V103" s="83" t="str">
        <f>HYPERLINK("https://pbs.twimg.com/profile_images/1423569281292271617/RHqRplkb_normal.jpg")</f>
        <v>https://pbs.twimg.com/profile_images/1423569281292271617/RHqRplkb_normal.jpg</v>
      </c>
      <c r="W103" s="82">
        <v>44693.23284722222</v>
      </c>
      <c r="X103" s="87">
        <v>44693</v>
      </c>
      <c r="Y103" s="85" t="s">
        <v>639</v>
      </c>
      <c r="Z103" s="83" t="str">
        <f>HYPERLINK("https://twitter.com/letusbacktonz/status/1524624235989442561")</f>
        <v>https://twitter.com/letusbacktonz/status/1524624235989442561</v>
      </c>
      <c r="AA103" s="80"/>
      <c r="AB103" s="80"/>
      <c r="AC103" s="85" t="s">
        <v>693</v>
      </c>
      <c r="AD103" s="80"/>
      <c r="AE103" s="80" t="b">
        <v>0</v>
      </c>
      <c r="AF103" s="80">
        <v>1</v>
      </c>
      <c r="AG103" s="85" t="s">
        <v>303</v>
      </c>
      <c r="AH103" s="80" t="b">
        <v>1</v>
      </c>
      <c r="AI103" s="80" t="s">
        <v>269</v>
      </c>
      <c r="AJ103" s="80"/>
      <c r="AK103" s="85" t="s">
        <v>692</v>
      </c>
      <c r="AL103" s="80" t="b">
        <v>0</v>
      </c>
      <c r="AM103" s="80">
        <v>1</v>
      </c>
      <c r="AN103" s="85" t="s">
        <v>267</v>
      </c>
      <c r="AO103" s="85" t="s">
        <v>270</v>
      </c>
      <c r="AP103" s="80" t="b">
        <v>0</v>
      </c>
      <c r="AQ103" s="85" t="s">
        <v>693</v>
      </c>
      <c r="AR103" s="80" t="s">
        <v>218</v>
      </c>
      <c r="AS103" s="80">
        <v>0</v>
      </c>
      <c r="AT103" s="80">
        <v>0</v>
      </c>
      <c r="AU103" s="80"/>
      <c r="AV103" s="80"/>
      <c r="AW103" s="80"/>
      <c r="AX103" s="80"/>
      <c r="AY103" s="80"/>
      <c r="AZ103" s="80"/>
      <c r="BA103" s="80"/>
      <c r="BB103" s="80"/>
      <c r="BC103" s="80">
        <v>1</v>
      </c>
      <c r="BD103" s="79" t="str">
        <f>REPLACE(INDEX(GroupVertices[Group],MATCH(Edges[[#This Row],[Vertex 1]],GroupVertices[Vertex],0)),1,1,"")</f>
        <v>2</v>
      </c>
      <c r="BE103" s="79" t="str">
        <f>REPLACE(INDEX(GroupVertices[Group],MATCH(Edges[[#This Row],[Vertex 2]],GroupVertices[Vertex],0)),1,1,"")</f>
        <v>2</v>
      </c>
      <c r="BF103" s="49"/>
      <c r="BG103" s="50"/>
      <c r="BH103" s="49"/>
      <c r="BI103" s="50"/>
      <c r="BJ103" s="49"/>
      <c r="BK103" s="50"/>
      <c r="BL103" s="49"/>
      <c r="BM103" s="50"/>
      <c r="BN103" s="49"/>
    </row>
    <row r="104" spans="1:66" ht="15">
      <c r="A104" s="65" t="s">
        <v>559</v>
      </c>
      <c r="B104" s="65" t="s">
        <v>572</v>
      </c>
      <c r="C104" s="66" t="s">
        <v>513</v>
      </c>
      <c r="D104" s="67">
        <v>5</v>
      </c>
      <c r="E104" s="66"/>
      <c r="F104" s="69">
        <v>50</v>
      </c>
      <c r="G104" s="66"/>
      <c r="H104" s="70"/>
      <c r="I104" s="71"/>
      <c r="J104" s="71"/>
      <c r="K104" s="35" t="s">
        <v>65</v>
      </c>
      <c r="L104" s="72">
        <v>104</v>
      </c>
      <c r="M104" s="72"/>
      <c r="N104" s="73"/>
      <c r="O104" s="80" t="s">
        <v>261</v>
      </c>
      <c r="P104" s="82">
        <v>44693.23284722222</v>
      </c>
      <c r="Q104" s="80" t="s">
        <v>586</v>
      </c>
      <c r="R104" s="83" t="str">
        <f>HYPERLINK("https://twitter.com/LetusbacktoNZ/status/1524623401868214272")</f>
        <v>https://twitter.com/LetusbacktoNZ/status/1524623401868214272</v>
      </c>
      <c r="S104" s="80" t="s">
        <v>265</v>
      </c>
      <c r="T104" s="80"/>
      <c r="U104" s="80"/>
      <c r="V104" s="83" t="str">
        <f>HYPERLINK("https://pbs.twimg.com/profile_images/1423569281292271617/RHqRplkb_normal.jpg")</f>
        <v>https://pbs.twimg.com/profile_images/1423569281292271617/RHqRplkb_normal.jpg</v>
      </c>
      <c r="W104" s="82">
        <v>44693.23284722222</v>
      </c>
      <c r="X104" s="87">
        <v>44693</v>
      </c>
      <c r="Y104" s="85" t="s">
        <v>639</v>
      </c>
      <c r="Z104" s="83" t="str">
        <f>HYPERLINK("https://twitter.com/letusbacktonz/status/1524624235989442561")</f>
        <v>https://twitter.com/letusbacktonz/status/1524624235989442561</v>
      </c>
      <c r="AA104" s="80"/>
      <c r="AB104" s="80"/>
      <c r="AC104" s="85" t="s">
        <v>693</v>
      </c>
      <c r="AD104" s="80"/>
      <c r="AE104" s="80" t="b">
        <v>0</v>
      </c>
      <c r="AF104" s="80">
        <v>1</v>
      </c>
      <c r="AG104" s="85" t="s">
        <v>303</v>
      </c>
      <c r="AH104" s="80" t="b">
        <v>1</v>
      </c>
      <c r="AI104" s="80" t="s">
        <v>269</v>
      </c>
      <c r="AJ104" s="80"/>
      <c r="AK104" s="85" t="s">
        <v>692</v>
      </c>
      <c r="AL104" s="80" t="b">
        <v>0</v>
      </c>
      <c r="AM104" s="80">
        <v>1</v>
      </c>
      <c r="AN104" s="85" t="s">
        <v>267</v>
      </c>
      <c r="AO104" s="85" t="s">
        <v>270</v>
      </c>
      <c r="AP104" s="80" t="b">
        <v>0</v>
      </c>
      <c r="AQ104" s="85" t="s">
        <v>693</v>
      </c>
      <c r="AR104" s="80" t="s">
        <v>218</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2</v>
      </c>
      <c r="BF104" s="49"/>
      <c r="BG104" s="50"/>
      <c r="BH104" s="49"/>
      <c r="BI104" s="50"/>
      <c r="BJ104" s="49"/>
      <c r="BK104" s="50"/>
      <c r="BL104" s="49"/>
      <c r="BM104" s="50"/>
      <c r="BN104" s="49"/>
    </row>
    <row r="105" spans="1:66" ht="15">
      <c r="A105" s="65" t="s">
        <v>559</v>
      </c>
      <c r="B105" s="65" t="s">
        <v>573</v>
      </c>
      <c r="C105" s="66" t="s">
        <v>513</v>
      </c>
      <c r="D105" s="67">
        <v>5</v>
      </c>
      <c r="E105" s="66"/>
      <c r="F105" s="69">
        <v>50</v>
      </c>
      <c r="G105" s="66"/>
      <c r="H105" s="70"/>
      <c r="I105" s="71"/>
      <c r="J105" s="71"/>
      <c r="K105" s="35" t="s">
        <v>65</v>
      </c>
      <c r="L105" s="72">
        <v>105</v>
      </c>
      <c r="M105" s="72"/>
      <c r="N105" s="73"/>
      <c r="O105" s="80" t="s">
        <v>261</v>
      </c>
      <c r="P105" s="82">
        <v>44693.23284722222</v>
      </c>
      <c r="Q105" s="80" t="s">
        <v>586</v>
      </c>
      <c r="R105" s="83" t="str">
        <f>HYPERLINK("https://twitter.com/LetusbacktoNZ/status/1524623401868214272")</f>
        <v>https://twitter.com/LetusbacktoNZ/status/1524623401868214272</v>
      </c>
      <c r="S105" s="80" t="s">
        <v>265</v>
      </c>
      <c r="T105" s="80"/>
      <c r="U105" s="80"/>
      <c r="V105" s="83" t="str">
        <f>HYPERLINK("https://pbs.twimg.com/profile_images/1423569281292271617/RHqRplkb_normal.jpg")</f>
        <v>https://pbs.twimg.com/profile_images/1423569281292271617/RHqRplkb_normal.jpg</v>
      </c>
      <c r="W105" s="82">
        <v>44693.23284722222</v>
      </c>
      <c r="X105" s="87">
        <v>44693</v>
      </c>
      <c r="Y105" s="85" t="s">
        <v>639</v>
      </c>
      <c r="Z105" s="83" t="str">
        <f>HYPERLINK("https://twitter.com/letusbacktonz/status/1524624235989442561")</f>
        <v>https://twitter.com/letusbacktonz/status/1524624235989442561</v>
      </c>
      <c r="AA105" s="80"/>
      <c r="AB105" s="80"/>
      <c r="AC105" s="85" t="s">
        <v>693</v>
      </c>
      <c r="AD105" s="80"/>
      <c r="AE105" s="80" t="b">
        <v>0</v>
      </c>
      <c r="AF105" s="80">
        <v>1</v>
      </c>
      <c r="AG105" s="85" t="s">
        <v>303</v>
      </c>
      <c r="AH105" s="80" t="b">
        <v>1</v>
      </c>
      <c r="AI105" s="80" t="s">
        <v>269</v>
      </c>
      <c r="AJ105" s="80"/>
      <c r="AK105" s="85" t="s">
        <v>692</v>
      </c>
      <c r="AL105" s="80" t="b">
        <v>0</v>
      </c>
      <c r="AM105" s="80">
        <v>1</v>
      </c>
      <c r="AN105" s="85" t="s">
        <v>267</v>
      </c>
      <c r="AO105" s="85" t="s">
        <v>270</v>
      </c>
      <c r="AP105" s="80" t="b">
        <v>0</v>
      </c>
      <c r="AQ105" s="85" t="s">
        <v>693</v>
      </c>
      <c r="AR105" s="80" t="s">
        <v>218</v>
      </c>
      <c r="AS105" s="80">
        <v>0</v>
      </c>
      <c r="AT105" s="80">
        <v>0</v>
      </c>
      <c r="AU105" s="80"/>
      <c r="AV105" s="80"/>
      <c r="AW105" s="80"/>
      <c r="AX105" s="80"/>
      <c r="AY105" s="80"/>
      <c r="AZ105" s="80"/>
      <c r="BA105" s="80"/>
      <c r="BB105" s="80"/>
      <c r="BC105" s="80">
        <v>1</v>
      </c>
      <c r="BD105" s="79" t="str">
        <f>REPLACE(INDEX(GroupVertices[Group],MATCH(Edges[[#This Row],[Vertex 1]],GroupVertices[Vertex],0)),1,1,"")</f>
        <v>2</v>
      </c>
      <c r="BE105" s="79" t="str">
        <f>REPLACE(INDEX(GroupVertices[Group],MATCH(Edges[[#This Row],[Vertex 2]],GroupVertices[Vertex],0)),1,1,"")</f>
        <v>2</v>
      </c>
      <c r="BF105" s="49"/>
      <c r="BG105" s="50"/>
      <c r="BH105" s="49"/>
      <c r="BI105" s="50"/>
      <c r="BJ105" s="49"/>
      <c r="BK105" s="50"/>
      <c r="BL105" s="49"/>
      <c r="BM105" s="50"/>
      <c r="BN105" s="49"/>
    </row>
    <row r="106" spans="1:66" ht="15">
      <c r="A106" s="65" t="s">
        <v>559</v>
      </c>
      <c r="B106" s="65" t="s">
        <v>574</v>
      </c>
      <c r="C106" s="66" t="s">
        <v>513</v>
      </c>
      <c r="D106" s="67">
        <v>5</v>
      </c>
      <c r="E106" s="66"/>
      <c r="F106" s="69">
        <v>50</v>
      </c>
      <c r="G106" s="66"/>
      <c r="H106" s="70"/>
      <c r="I106" s="71"/>
      <c r="J106" s="71"/>
      <c r="K106" s="35" t="s">
        <v>65</v>
      </c>
      <c r="L106" s="72">
        <v>106</v>
      </c>
      <c r="M106" s="72"/>
      <c r="N106" s="73"/>
      <c r="O106" s="80" t="s">
        <v>261</v>
      </c>
      <c r="P106" s="82">
        <v>44693.23284722222</v>
      </c>
      <c r="Q106" s="80" t="s">
        <v>586</v>
      </c>
      <c r="R106" s="83" t="str">
        <f>HYPERLINK("https://twitter.com/LetusbacktoNZ/status/1524623401868214272")</f>
        <v>https://twitter.com/LetusbacktoNZ/status/1524623401868214272</v>
      </c>
      <c r="S106" s="80" t="s">
        <v>265</v>
      </c>
      <c r="T106" s="80"/>
      <c r="U106" s="80"/>
      <c r="V106" s="83" t="str">
        <f>HYPERLINK("https://pbs.twimg.com/profile_images/1423569281292271617/RHqRplkb_normal.jpg")</f>
        <v>https://pbs.twimg.com/profile_images/1423569281292271617/RHqRplkb_normal.jpg</v>
      </c>
      <c r="W106" s="82">
        <v>44693.23284722222</v>
      </c>
      <c r="X106" s="87">
        <v>44693</v>
      </c>
      <c r="Y106" s="85" t="s">
        <v>639</v>
      </c>
      <c r="Z106" s="83" t="str">
        <f>HYPERLINK("https://twitter.com/letusbacktonz/status/1524624235989442561")</f>
        <v>https://twitter.com/letusbacktonz/status/1524624235989442561</v>
      </c>
      <c r="AA106" s="80"/>
      <c r="AB106" s="80"/>
      <c r="AC106" s="85" t="s">
        <v>693</v>
      </c>
      <c r="AD106" s="80"/>
      <c r="AE106" s="80" t="b">
        <v>0</v>
      </c>
      <c r="AF106" s="80">
        <v>1</v>
      </c>
      <c r="AG106" s="85" t="s">
        <v>303</v>
      </c>
      <c r="AH106" s="80" t="b">
        <v>1</v>
      </c>
      <c r="AI106" s="80" t="s">
        <v>269</v>
      </c>
      <c r="AJ106" s="80"/>
      <c r="AK106" s="85" t="s">
        <v>692</v>
      </c>
      <c r="AL106" s="80" t="b">
        <v>0</v>
      </c>
      <c r="AM106" s="80">
        <v>1</v>
      </c>
      <c r="AN106" s="85" t="s">
        <v>267</v>
      </c>
      <c r="AO106" s="85" t="s">
        <v>270</v>
      </c>
      <c r="AP106" s="80" t="b">
        <v>0</v>
      </c>
      <c r="AQ106" s="85" t="s">
        <v>693</v>
      </c>
      <c r="AR106" s="80" t="s">
        <v>218</v>
      </c>
      <c r="AS106" s="80">
        <v>0</v>
      </c>
      <c r="AT106" s="80">
        <v>0</v>
      </c>
      <c r="AU106" s="80"/>
      <c r="AV106" s="80"/>
      <c r="AW106" s="80"/>
      <c r="AX106" s="80"/>
      <c r="AY106" s="80"/>
      <c r="AZ106" s="80"/>
      <c r="BA106" s="80"/>
      <c r="BB106" s="80"/>
      <c r="BC106" s="80">
        <v>1</v>
      </c>
      <c r="BD106" s="79" t="str">
        <f>REPLACE(INDEX(GroupVertices[Group],MATCH(Edges[[#This Row],[Vertex 1]],GroupVertices[Vertex],0)),1,1,"")</f>
        <v>2</v>
      </c>
      <c r="BE106" s="79" t="str">
        <f>REPLACE(INDEX(GroupVertices[Group],MATCH(Edges[[#This Row],[Vertex 2]],GroupVertices[Vertex],0)),1,1,"")</f>
        <v>2</v>
      </c>
      <c r="BF106" s="49"/>
      <c r="BG106" s="50"/>
      <c r="BH106" s="49"/>
      <c r="BI106" s="50"/>
      <c r="BJ106" s="49"/>
      <c r="BK106" s="50"/>
      <c r="BL106" s="49"/>
      <c r="BM106" s="50"/>
      <c r="BN106" s="49"/>
    </row>
    <row r="107" spans="1:66" ht="15">
      <c r="A107" s="65" t="s">
        <v>559</v>
      </c>
      <c r="B107" s="65" t="s">
        <v>575</v>
      </c>
      <c r="C107" s="66" t="s">
        <v>513</v>
      </c>
      <c r="D107" s="67">
        <v>5</v>
      </c>
      <c r="E107" s="66"/>
      <c r="F107" s="69">
        <v>50</v>
      </c>
      <c r="G107" s="66"/>
      <c r="H107" s="70"/>
      <c r="I107" s="71"/>
      <c r="J107" s="71"/>
      <c r="K107" s="35" t="s">
        <v>65</v>
      </c>
      <c r="L107" s="72">
        <v>107</v>
      </c>
      <c r="M107" s="72"/>
      <c r="N107" s="73"/>
      <c r="O107" s="80" t="s">
        <v>261</v>
      </c>
      <c r="P107" s="82">
        <v>44693.23284722222</v>
      </c>
      <c r="Q107" s="80" t="s">
        <v>586</v>
      </c>
      <c r="R107" s="83" t="str">
        <f>HYPERLINK("https://twitter.com/LetusbacktoNZ/status/1524623401868214272")</f>
        <v>https://twitter.com/LetusbacktoNZ/status/1524623401868214272</v>
      </c>
      <c r="S107" s="80" t="s">
        <v>265</v>
      </c>
      <c r="T107" s="80"/>
      <c r="U107" s="80"/>
      <c r="V107" s="83" t="str">
        <f>HYPERLINK("https://pbs.twimg.com/profile_images/1423569281292271617/RHqRplkb_normal.jpg")</f>
        <v>https://pbs.twimg.com/profile_images/1423569281292271617/RHqRplkb_normal.jpg</v>
      </c>
      <c r="W107" s="82">
        <v>44693.23284722222</v>
      </c>
      <c r="X107" s="87">
        <v>44693</v>
      </c>
      <c r="Y107" s="85" t="s">
        <v>639</v>
      </c>
      <c r="Z107" s="83" t="str">
        <f>HYPERLINK("https://twitter.com/letusbacktonz/status/1524624235989442561")</f>
        <v>https://twitter.com/letusbacktonz/status/1524624235989442561</v>
      </c>
      <c r="AA107" s="80"/>
      <c r="AB107" s="80"/>
      <c r="AC107" s="85" t="s">
        <v>693</v>
      </c>
      <c r="AD107" s="80"/>
      <c r="AE107" s="80" t="b">
        <v>0</v>
      </c>
      <c r="AF107" s="80">
        <v>1</v>
      </c>
      <c r="AG107" s="85" t="s">
        <v>303</v>
      </c>
      <c r="AH107" s="80" t="b">
        <v>1</v>
      </c>
      <c r="AI107" s="80" t="s">
        <v>269</v>
      </c>
      <c r="AJ107" s="80"/>
      <c r="AK107" s="85" t="s">
        <v>692</v>
      </c>
      <c r="AL107" s="80" t="b">
        <v>0</v>
      </c>
      <c r="AM107" s="80">
        <v>1</v>
      </c>
      <c r="AN107" s="85" t="s">
        <v>267</v>
      </c>
      <c r="AO107" s="85" t="s">
        <v>270</v>
      </c>
      <c r="AP107" s="80" t="b">
        <v>0</v>
      </c>
      <c r="AQ107" s="85" t="s">
        <v>693</v>
      </c>
      <c r="AR107" s="80" t="s">
        <v>218</v>
      </c>
      <c r="AS107" s="80">
        <v>0</v>
      </c>
      <c r="AT107" s="80">
        <v>0</v>
      </c>
      <c r="AU107" s="80"/>
      <c r="AV107" s="80"/>
      <c r="AW107" s="80"/>
      <c r="AX107" s="80"/>
      <c r="AY107" s="80"/>
      <c r="AZ107" s="80"/>
      <c r="BA107" s="80"/>
      <c r="BB107" s="80"/>
      <c r="BC107" s="80">
        <v>1</v>
      </c>
      <c r="BD107" s="79" t="str">
        <f>REPLACE(INDEX(GroupVertices[Group],MATCH(Edges[[#This Row],[Vertex 1]],GroupVertices[Vertex],0)),1,1,"")</f>
        <v>2</v>
      </c>
      <c r="BE107" s="79" t="str">
        <f>REPLACE(INDEX(GroupVertices[Group],MATCH(Edges[[#This Row],[Vertex 2]],GroupVertices[Vertex],0)),1,1,"")</f>
        <v>2</v>
      </c>
      <c r="BF107" s="49"/>
      <c r="BG107" s="50"/>
      <c r="BH107" s="49"/>
      <c r="BI107" s="50"/>
      <c r="BJ107" s="49"/>
      <c r="BK107" s="50"/>
      <c r="BL107" s="49"/>
      <c r="BM107" s="50"/>
      <c r="BN107" s="49"/>
    </row>
    <row r="108" spans="1:66" ht="15">
      <c r="A108" s="65" t="s">
        <v>559</v>
      </c>
      <c r="B108" s="65" t="s">
        <v>576</v>
      </c>
      <c r="C108" s="66" t="s">
        <v>513</v>
      </c>
      <c r="D108" s="67">
        <v>5</v>
      </c>
      <c r="E108" s="66"/>
      <c r="F108" s="69">
        <v>50</v>
      </c>
      <c r="G108" s="66"/>
      <c r="H108" s="70"/>
      <c r="I108" s="71"/>
      <c r="J108" s="71"/>
      <c r="K108" s="35" t="s">
        <v>65</v>
      </c>
      <c r="L108" s="72">
        <v>108</v>
      </c>
      <c r="M108" s="72"/>
      <c r="N108" s="73"/>
      <c r="O108" s="80" t="s">
        <v>261</v>
      </c>
      <c r="P108" s="82">
        <v>44693.23284722222</v>
      </c>
      <c r="Q108" s="80" t="s">
        <v>586</v>
      </c>
      <c r="R108" s="83" t="str">
        <f>HYPERLINK("https://twitter.com/LetusbacktoNZ/status/1524623401868214272")</f>
        <v>https://twitter.com/LetusbacktoNZ/status/1524623401868214272</v>
      </c>
      <c r="S108" s="80" t="s">
        <v>265</v>
      </c>
      <c r="T108" s="80"/>
      <c r="U108" s="80"/>
      <c r="V108" s="83" t="str">
        <f>HYPERLINK("https://pbs.twimg.com/profile_images/1423569281292271617/RHqRplkb_normal.jpg")</f>
        <v>https://pbs.twimg.com/profile_images/1423569281292271617/RHqRplkb_normal.jpg</v>
      </c>
      <c r="W108" s="82">
        <v>44693.23284722222</v>
      </c>
      <c r="X108" s="87">
        <v>44693</v>
      </c>
      <c r="Y108" s="85" t="s">
        <v>639</v>
      </c>
      <c r="Z108" s="83" t="str">
        <f>HYPERLINK("https://twitter.com/letusbacktonz/status/1524624235989442561")</f>
        <v>https://twitter.com/letusbacktonz/status/1524624235989442561</v>
      </c>
      <c r="AA108" s="80"/>
      <c r="AB108" s="80"/>
      <c r="AC108" s="85" t="s">
        <v>693</v>
      </c>
      <c r="AD108" s="80"/>
      <c r="AE108" s="80" t="b">
        <v>0</v>
      </c>
      <c r="AF108" s="80">
        <v>1</v>
      </c>
      <c r="AG108" s="85" t="s">
        <v>303</v>
      </c>
      <c r="AH108" s="80" t="b">
        <v>1</v>
      </c>
      <c r="AI108" s="80" t="s">
        <v>269</v>
      </c>
      <c r="AJ108" s="80"/>
      <c r="AK108" s="85" t="s">
        <v>692</v>
      </c>
      <c r="AL108" s="80" t="b">
        <v>0</v>
      </c>
      <c r="AM108" s="80">
        <v>1</v>
      </c>
      <c r="AN108" s="85" t="s">
        <v>267</v>
      </c>
      <c r="AO108" s="85" t="s">
        <v>270</v>
      </c>
      <c r="AP108" s="80" t="b">
        <v>0</v>
      </c>
      <c r="AQ108" s="85" t="s">
        <v>693</v>
      </c>
      <c r="AR108" s="80" t="s">
        <v>218</v>
      </c>
      <c r="AS108" s="80">
        <v>0</v>
      </c>
      <c r="AT108" s="80">
        <v>0</v>
      </c>
      <c r="AU108" s="80"/>
      <c r="AV108" s="80"/>
      <c r="AW108" s="80"/>
      <c r="AX108" s="80"/>
      <c r="AY108" s="80"/>
      <c r="AZ108" s="80"/>
      <c r="BA108" s="80"/>
      <c r="BB108" s="80"/>
      <c r="BC108" s="80">
        <v>1</v>
      </c>
      <c r="BD108" s="79" t="str">
        <f>REPLACE(INDEX(GroupVertices[Group],MATCH(Edges[[#This Row],[Vertex 1]],GroupVertices[Vertex],0)),1,1,"")</f>
        <v>2</v>
      </c>
      <c r="BE108" s="79" t="str">
        <f>REPLACE(INDEX(GroupVertices[Group],MATCH(Edges[[#This Row],[Vertex 2]],GroupVertices[Vertex],0)),1,1,"")</f>
        <v>2</v>
      </c>
      <c r="BF108" s="49"/>
      <c r="BG108" s="50"/>
      <c r="BH108" s="49"/>
      <c r="BI108" s="50"/>
      <c r="BJ108" s="49"/>
      <c r="BK108" s="50"/>
      <c r="BL108" s="49"/>
      <c r="BM108" s="50"/>
      <c r="BN108" s="49"/>
    </row>
    <row r="109" spans="1:66" ht="15">
      <c r="A109" s="65" t="s">
        <v>559</v>
      </c>
      <c r="B109" s="65" t="s">
        <v>577</v>
      </c>
      <c r="C109" s="66" t="s">
        <v>513</v>
      </c>
      <c r="D109" s="67">
        <v>5</v>
      </c>
      <c r="E109" s="66"/>
      <c r="F109" s="69">
        <v>50</v>
      </c>
      <c r="G109" s="66"/>
      <c r="H109" s="70"/>
      <c r="I109" s="71"/>
      <c r="J109" s="71"/>
      <c r="K109" s="35" t="s">
        <v>65</v>
      </c>
      <c r="L109" s="72">
        <v>109</v>
      </c>
      <c r="M109" s="72"/>
      <c r="N109" s="73"/>
      <c r="O109" s="80" t="s">
        <v>261</v>
      </c>
      <c r="P109" s="82">
        <v>44693.23284722222</v>
      </c>
      <c r="Q109" s="80" t="s">
        <v>586</v>
      </c>
      <c r="R109" s="83" t="str">
        <f>HYPERLINK("https://twitter.com/LetusbacktoNZ/status/1524623401868214272")</f>
        <v>https://twitter.com/LetusbacktoNZ/status/1524623401868214272</v>
      </c>
      <c r="S109" s="80" t="s">
        <v>265</v>
      </c>
      <c r="T109" s="80"/>
      <c r="U109" s="80"/>
      <c r="V109" s="83" t="str">
        <f>HYPERLINK("https://pbs.twimg.com/profile_images/1423569281292271617/RHqRplkb_normal.jpg")</f>
        <v>https://pbs.twimg.com/profile_images/1423569281292271617/RHqRplkb_normal.jpg</v>
      </c>
      <c r="W109" s="82">
        <v>44693.23284722222</v>
      </c>
      <c r="X109" s="87">
        <v>44693</v>
      </c>
      <c r="Y109" s="85" t="s">
        <v>639</v>
      </c>
      <c r="Z109" s="83" t="str">
        <f>HYPERLINK("https://twitter.com/letusbacktonz/status/1524624235989442561")</f>
        <v>https://twitter.com/letusbacktonz/status/1524624235989442561</v>
      </c>
      <c r="AA109" s="80"/>
      <c r="AB109" s="80"/>
      <c r="AC109" s="85" t="s">
        <v>693</v>
      </c>
      <c r="AD109" s="80"/>
      <c r="AE109" s="80" t="b">
        <v>0</v>
      </c>
      <c r="AF109" s="80">
        <v>1</v>
      </c>
      <c r="AG109" s="85" t="s">
        <v>303</v>
      </c>
      <c r="AH109" s="80" t="b">
        <v>1</v>
      </c>
      <c r="AI109" s="80" t="s">
        <v>269</v>
      </c>
      <c r="AJ109" s="80"/>
      <c r="AK109" s="85" t="s">
        <v>692</v>
      </c>
      <c r="AL109" s="80" t="b">
        <v>0</v>
      </c>
      <c r="AM109" s="80">
        <v>1</v>
      </c>
      <c r="AN109" s="85" t="s">
        <v>267</v>
      </c>
      <c r="AO109" s="85" t="s">
        <v>270</v>
      </c>
      <c r="AP109" s="80" t="b">
        <v>0</v>
      </c>
      <c r="AQ109" s="85" t="s">
        <v>693</v>
      </c>
      <c r="AR109" s="80" t="s">
        <v>218</v>
      </c>
      <c r="AS109" s="80">
        <v>0</v>
      </c>
      <c r="AT109" s="80">
        <v>0</v>
      </c>
      <c r="AU109" s="80"/>
      <c r="AV109" s="80"/>
      <c r="AW109" s="80"/>
      <c r="AX109" s="80"/>
      <c r="AY109" s="80"/>
      <c r="AZ109" s="80"/>
      <c r="BA109" s="80"/>
      <c r="BB109" s="80"/>
      <c r="BC109" s="80">
        <v>1</v>
      </c>
      <c r="BD109" s="79" t="str">
        <f>REPLACE(INDEX(GroupVertices[Group],MATCH(Edges[[#This Row],[Vertex 1]],GroupVertices[Vertex],0)),1,1,"")</f>
        <v>2</v>
      </c>
      <c r="BE109" s="79" t="str">
        <f>REPLACE(INDEX(GroupVertices[Group],MATCH(Edges[[#This Row],[Vertex 2]],GroupVertices[Vertex],0)),1,1,"")</f>
        <v>2</v>
      </c>
      <c r="BF109" s="49"/>
      <c r="BG109" s="50"/>
      <c r="BH109" s="49"/>
      <c r="BI109" s="50"/>
      <c r="BJ109" s="49"/>
      <c r="BK109" s="50"/>
      <c r="BL109" s="49"/>
      <c r="BM109" s="50"/>
      <c r="BN109" s="49"/>
    </row>
    <row r="110" spans="1:66" ht="15">
      <c r="A110" s="65" t="s">
        <v>560</v>
      </c>
      <c r="B110" s="65" t="s">
        <v>578</v>
      </c>
      <c r="C110" s="66" t="s">
        <v>513</v>
      </c>
      <c r="D110" s="67">
        <v>5</v>
      </c>
      <c r="E110" s="66"/>
      <c r="F110" s="69">
        <v>50</v>
      </c>
      <c r="G110" s="66"/>
      <c r="H110" s="70"/>
      <c r="I110" s="71"/>
      <c r="J110" s="71"/>
      <c r="K110" s="35" t="s">
        <v>65</v>
      </c>
      <c r="L110" s="72">
        <v>110</v>
      </c>
      <c r="M110" s="72"/>
      <c r="N110" s="73"/>
      <c r="O110" s="80" t="s">
        <v>261</v>
      </c>
      <c r="P110" s="82">
        <v>44693.26857638889</v>
      </c>
      <c r="Q110" s="80" t="s">
        <v>587</v>
      </c>
      <c r="R110" s="83" t="str">
        <f>HYPERLINK("https://www.stuff.co.nz/business/128606699/immigration-is-being-reset-back-to-where-we-started")</f>
        <v>https://www.stuff.co.nz/business/128606699/immigration-is-being-reset-back-to-where-we-started</v>
      </c>
      <c r="S110" s="80" t="s">
        <v>266</v>
      </c>
      <c r="T110" s="80"/>
      <c r="U110" s="80"/>
      <c r="V110" s="83" t="str">
        <f>HYPERLINK("https://pbs.twimg.com/profile_images/1246635876819451904/i-cOhbw2_normal.jpg")</f>
        <v>https://pbs.twimg.com/profile_images/1246635876819451904/i-cOhbw2_normal.jpg</v>
      </c>
      <c r="W110" s="82">
        <v>44693.26857638889</v>
      </c>
      <c r="X110" s="87">
        <v>44693</v>
      </c>
      <c r="Y110" s="85" t="s">
        <v>640</v>
      </c>
      <c r="Z110" s="83" t="str">
        <f>HYPERLINK("https://twitter.com/ericastanfordmp/status/1524637184011120641")</f>
        <v>https://twitter.com/ericastanfordmp/status/1524637184011120641</v>
      </c>
      <c r="AA110" s="80"/>
      <c r="AB110" s="80"/>
      <c r="AC110" s="85" t="s">
        <v>694</v>
      </c>
      <c r="AD110" s="80"/>
      <c r="AE110" s="80" t="b">
        <v>0</v>
      </c>
      <c r="AF110" s="80">
        <v>58</v>
      </c>
      <c r="AG110" s="85" t="s">
        <v>267</v>
      </c>
      <c r="AH110" s="80" t="b">
        <v>0</v>
      </c>
      <c r="AI110" s="80" t="s">
        <v>268</v>
      </c>
      <c r="AJ110" s="80"/>
      <c r="AK110" s="85" t="s">
        <v>267</v>
      </c>
      <c r="AL110" s="80" t="b">
        <v>0</v>
      </c>
      <c r="AM110" s="80">
        <v>28</v>
      </c>
      <c r="AN110" s="85" t="s">
        <v>267</v>
      </c>
      <c r="AO110" s="85" t="s">
        <v>271</v>
      </c>
      <c r="AP110" s="80" t="b">
        <v>0</v>
      </c>
      <c r="AQ110" s="85" t="s">
        <v>694</v>
      </c>
      <c r="AR110" s="80" t="s">
        <v>263</v>
      </c>
      <c r="AS110" s="80">
        <v>0</v>
      </c>
      <c r="AT110" s="80">
        <v>0</v>
      </c>
      <c r="AU110" s="80"/>
      <c r="AV110" s="80"/>
      <c r="AW110" s="80"/>
      <c r="AX110" s="80"/>
      <c r="AY110" s="80"/>
      <c r="AZ110" s="80"/>
      <c r="BA110" s="80"/>
      <c r="BB110" s="80"/>
      <c r="BC110" s="80">
        <v>1</v>
      </c>
      <c r="BD110" s="79" t="str">
        <f>REPLACE(INDEX(GroupVertices[Group],MATCH(Edges[[#This Row],[Vertex 1]],GroupVertices[Vertex],0)),1,1,"")</f>
        <v>2</v>
      </c>
      <c r="BE110" s="79" t="str">
        <f>REPLACE(INDEX(GroupVertices[Group],MATCH(Edges[[#This Row],[Vertex 2]],GroupVertices[Vertex],0)),1,1,"")</f>
        <v>2</v>
      </c>
      <c r="BF110" s="49">
        <v>1</v>
      </c>
      <c r="BG110" s="50">
        <v>2.9411764705882355</v>
      </c>
      <c r="BH110" s="49">
        <v>0</v>
      </c>
      <c r="BI110" s="50">
        <v>0</v>
      </c>
      <c r="BJ110" s="49">
        <v>0</v>
      </c>
      <c r="BK110" s="50">
        <v>0</v>
      </c>
      <c r="BL110" s="49">
        <v>33</v>
      </c>
      <c r="BM110" s="50">
        <v>97.05882352941177</v>
      </c>
      <c r="BN110" s="49">
        <v>34</v>
      </c>
    </row>
    <row r="111" spans="1:66" ht="15">
      <c r="A111" s="65" t="s">
        <v>559</v>
      </c>
      <c r="B111" s="65" t="s">
        <v>578</v>
      </c>
      <c r="C111" s="66" t="s">
        <v>513</v>
      </c>
      <c r="D111" s="67">
        <v>5</v>
      </c>
      <c r="E111" s="66"/>
      <c r="F111" s="69">
        <v>50</v>
      </c>
      <c r="G111" s="66"/>
      <c r="H111" s="70"/>
      <c r="I111" s="71"/>
      <c r="J111" s="71"/>
      <c r="K111" s="35" t="s">
        <v>65</v>
      </c>
      <c r="L111" s="72">
        <v>111</v>
      </c>
      <c r="M111" s="72"/>
      <c r="N111" s="73"/>
      <c r="O111" s="80" t="s">
        <v>264</v>
      </c>
      <c r="P111" s="82">
        <v>44693.53847222222</v>
      </c>
      <c r="Q111" s="80" t="s">
        <v>587</v>
      </c>
      <c r="R111" s="83" t="str">
        <f>HYPERLINK("https://www.stuff.co.nz/business/128606699/immigration-is-being-reset-back-to-where-we-started")</f>
        <v>https://www.stuff.co.nz/business/128606699/immigration-is-being-reset-back-to-where-we-started</v>
      </c>
      <c r="S111" s="80" t="s">
        <v>266</v>
      </c>
      <c r="T111" s="80"/>
      <c r="U111" s="80"/>
      <c r="V111" s="83" t="str">
        <f>HYPERLINK("https://pbs.twimg.com/profile_images/1423569281292271617/RHqRplkb_normal.jpg")</f>
        <v>https://pbs.twimg.com/profile_images/1423569281292271617/RHqRplkb_normal.jpg</v>
      </c>
      <c r="W111" s="82">
        <v>44693.53847222222</v>
      </c>
      <c r="X111" s="87">
        <v>44693</v>
      </c>
      <c r="Y111" s="85" t="s">
        <v>641</v>
      </c>
      <c r="Z111" s="83" t="str">
        <f>HYPERLINK("https://twitter.com/letusbacktonz/status/1524734992089497600")</f>
        <v>https://twitter.com/letusbacktonz/status/1524734992089497600</v>
      </c>
      <c r="AA111" s="80"/>
      <c r="AB111" s="80"/>
      <c r="AC111" s="85" t="s">
        <v>695</v>
      </c>
      <c r="AD111" s="80"/>
      <c r="AE111" s="80" t="b">
        <v>0</v>
      </c>
      <c r="AF111" s="80">
        <v>0</v>
      </c>
      <c r="AG111" s="85" t="s">
        <v>267</v>
      </c>
      <c r="AH111" s="80" t="b">
        <v>0</v>
      </c>
      <c r="AI111" s="80" t="s">
        <v>268</v>
      </c>
      <c r="AJ111" s="80"/>
      <c r="AK111" s="85" t="s">
        <v>267</v>
      </c>
      <c r="AL111" s="80" t="b">
        <v>0</v>
      </c>
      <c r="AM111" s="80">
        <v>28</v>
      </c>
      <c r="AN111" s="85" t="s">
        <v>694</v>
      </c>
      <c r="AO111" s="85" t="s">
        <v>270</v>
      </c>
      <c r="AP111" s="80" t="b">
        <v>0</v>
      </c>
      <c r="AQ111" s="85" t="s">
        <v>694</v>
      </c>
      <c r="AR111" s="80" t="s">
        <v>218</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2</v>
      </c>
      <c r="BF111" s="49">
        <v>1</v>
      </c>
      <c r="BG111" s="50">
        <v>2.9411764705882355</v>
      </c>
      <c r="BH111" s="49">
        <v>0</v>
      </c>
      <c r="BI111" s="50">
        <v>0</v>
      </c>
      <c r="BJ111" s="49">
        <v>0</v>
      </c>
      <c r="BK111" s="50">
        <v>0</v>
      </c>
      <c r="BL111" s="49">
        <v>33</v>
      </c>
      <c r="BM111" s="50">
        <v>97.05882352941177</v>
      </c>
      <c r="BN111" s="49">
        <v>34</v>
      </c>
    </row>
    <row r="112" spans="1:66" ht="15">
      <c r="A112" s="65" t="s">
        <v>559</v>
      </c>
      <c r="B112" s="65" t="s">
        <v>560</v>
      </c>
      <c r="C112" s="66" t="s">
        <v>514</v>
      </c>
      <c r="D112" s="67">
        <v>10</v>
      </c>
      <c r="E112" s="66"/>
      <c r="F112" s="69">
        <v>15</v>
      </c>
      <c r="G112" s="66"/>
      <c r="H112" s="70"/>
      <c r="I112" s="71"/>
      <c r="J112" s="71"/>
      <c r="K112" s="35" t="s">
        <v>65</v>
      </c>
      <c r="L112" s="72">
        <v>112</v>
      </c>
      <c r="M112" s="72"/>
      <c r="N112" s="73"/>
      <c r="O112" s="80" t="s">
        <v>261</v>
      </c>
      <c r="P112" s="82">
        <v>44693.23284722222</v>
      </c>
      <c r="Q112" s="80" t="s">
        <v>586</v>
      </c>
      <c r="R112" s="83" t="str">
        <f>HYPERLINK("https://twitter.com/LetusbacktoNZ/status/1524623401868214272")</f>
        <v>https://twitter.com/LetusbacktoNZ/status/1524623401868214272</v>
      </c>
      <c r="S112" s="80" t="s">
        <v>265</v>
      </c>
      <c r="T112" s="80"/>
      <c r="U112" s="80"/>
      <c r="V112" s="83" t="str">
        <f>HYPERLINK("https://pbs.twimg.com/profile_images/1423569281292271617/RHqRplkb_normal.jpg")</f>
        <v>https://pbs.twimg.com/profile_images/1423569281292271617/RHqRplkb_normal.jpg</v>
      </c>
      <c r="W112" s="82">
        <v>44693.23284722222</v>
      </c>
      <c r="X112" s="87">
        <v>44693</v>
      </c>
      <c r="Y112" s="85" t="s">
        <v>639</v>
      </c>
      <c r="Z112" s="83" t="str">
        <f>HYPERLINK("https://twitter.com/letusbacktonz/status/1524624235989442561")</f>
        <v>https://twitter.com/letusbacktonz/status/1524624235989442561</v>
      </c>
      <c r="AA112" s="80"/>
      <c r="AB112" s="80"/>
      <c r="AC112" s="85" t="s">
        <v>693</v>
      </c>
      <c r="AD112" s="80"/>
      <c r="AE112" s="80" t="b">
        <v>0</v>
      </c>
      <c r="AF112" s="80">
        <v>1</v>
      </c>
      <c r="AG112" s="85" t="s">
        <v>303</v>
      </c>
      <c r="AH112" s="80" t="b">
        <v>1</v>
      </c>
      <c r="AI112" s="80" t="s">
        <v>269</v>
      </c>
      <c r="AJ112" s="80"/>
      <c r="AK112" s="85" t="s">
        <v>692</v>
      </c>
      <c r="AL112" s="80" t="b">
        <v>0</v>
      </c>
      <c r="AM112" s="80">
        <v>1</v>
      </c>
      <c r="AN112" s="85" t="s">
        <v>267</v>
      </c>
      <c r="AO112" s="85" t="s">
        <v>270</v>
      </c>
      <c r="AP112" s="80" t="b">
        <v>0</v>
      </c>
      <c r="AQ112" s="85" t="s">
        <v>693</v>
      </c>
      <c r="AR112" s="80" t="s">
        <v>218</v>
      </c>
      <c r="AS112" s="80">
        <v>0</v>
      </c>
      <c r="AT112" s="80">
        <v>0</v>
      </c>
      <c r="AU112" s="80"/>
      <c r="AV112" s="80"/>
      <c r="AW112" s="80"/>
      <c r="AX112" s="80"/>
      <c r="AY112" s="80"/>
      <c r="AZ112" s="80"/>
      <c r="BA112" s="80"/>
      <c r="BB112" s="80"/>
      <c r="BC112" s="80">
        <v>2</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559</v>
      </c>
      <c r="B113" s="65" t="s">
        <v>560</v>
      </c>
      <c r="C113" s="66" t="s">
        <v>514</v>
      </c>
      <c r="D113" s="67">
        <v>10</v>
      </c>
      <c r="E113" s="66"/>
      <c r="F113" s="69">
        <v>15</v>
      </c>
      <c r="G113" s="66"/>
      <c r="H113" s="70"/>
      <c r="I113" s="71"/>
      <c r="J113" s="71"/>
      <c r="K113" s="35" t="s">
        <v>65</v>
      </c>
      <c r="L113" s="72">
        <v>113</v>
      </c>
      <c r="M113" s="72"/>
      <c r="N113" s="73"/>
      <c r="O113" s="80" t="s">
        <v>263</v>
      </c>
      <c r="P113" s="82">
        <v>44693.53847222222</v>
      </c>
      <c r="Q113" s="80" t="s">
        <v>587</v>
      </c>
      <c r="R113" s="83" t="str">
        <f>HYPERLINK("https://www.stuff.co.nz/business/128606699/immigration-is-being-reset-back-to-where-we-started")</f>
        <v>https://www.stuff.co.nz/business/128606699/immigration-is-being-reset-back-to-where-we-started</v>
      </c>
      <c r="S113" s="80" t="s">
        <v>266</v>
      </c>
      <c r="T113" s="80"/>
      <c r="U113" s="80"/>
      <c r="V113" s="83" t="str">
        <f>HYPERLINK("https://pbs.twimg.com/profile_images/1423569281292271617/RHqRplkb_normal.jpg")</f>
        <v>https://pbs.twimg.com/profile_images/1423569281292271617/RHqRplkb_normal.jpg</v>
      </c>
      <c r="W113" s="82">
        <v>44693.53847222222</v>
      </c>
      <c r="X113" s="87">
        <v>44693</v>
      </c>
      <c r="Y113" s="85" t="s">
        <v>641</v>
      </c>
      <c r="Z113" s="83" t="str">
        <f>HYPERLINK("https://twitter.com/letusbacktonz/status/1524734992089497600")</f>
        <v>https://twitter.com/letusbacktonz/status/1524734992089497600</v>
      </c>
      <c r="AA113" s="80"/>
      <c r="AB113" s="80"/>
      <c r="AC113" s="85" t="s">
        <v>695</v>
      </c>
      <c r="AD113" s="80"/>
      <c r="AE113" s="80" t="b">
        <v>0</v>
      </c>
      <c r="AF113" s="80">
        <v>0</v>
      </c>
      <c r="AG113" s="85" t="s">
        <v>267</v>
      </c>
      <c r="AH113" s="80" t="b">
        <v>0</v>
      </c>
      <c r="AI113" s="80" t="s">
        <v>268</v>
      </c>
      <c r="AJ113" s="80"/>
      <c r="AK113" s="85" t="s">
        <v>267</v>
      </c>
      <c r="AL113" s="80" t="b">
        <v>0</v>
      </c>
      <c r="AM113" s="80">
        <v>28</v>
      </c>
      <c r="AN113" s="85" t="s">
        <v>694</v>
      </c>
      <c r="AO113" s="85" t="s">
        <v>270</v>
      </c>
      <c r="AP113" s="80" t="b">
        <v>0</v>
      </c>
      <c r="AQ113" s="85" t="s">
        <v>694</v>
      </c>
      <c r="AR113" s="80" t="s">
        <v>218</v>
      </c>
      <c r="AS113" s="80">
        <v>0</v>
      </c>
      <c r="AT113" s="80">
        <v>0</v>
      </c>
      <c r="AU113" s="80"/>
      <c r="AV113" s="80"/>
      <c r="AW113" s="80"/>
      <c r="AX113" s="80"/>
      <c r="AY113" s="80"/>
      <c r="AZ113" s="80"/>
      <c r="BA113" s="80"/>
      <c r="BB113" s="80"/>
      <c r="BC113" s="80">
        <v>2</v>
      </c>
      <c r="BD113" s="79" t="str">
        <f>REPLACE(INDEX(GroupVertices[Group],MATCH(Edges[[#This Row],[Vertex 1]],GroupVertices[Vertex],0)),1,1,"")</f>
        <v>2</v>
      </c>
      <c r="BE113" s="79" t="str">
        <f>REPLACE(INDEX(GroupVertices[Group],MATCH(Edges[[#This Row],[Vertex 2]],GroupVertices[Vertex],0)),1,1,"")</f>
        <v>2</v>
      </c>
      <c r="BF113" s="49"/>
      <c r="BG113" s="50"/>
      <c r="BH113" s="49"/>
      <c r="BI113" s="50"/>
      <c r="BJ113" s="49"/>
      <c r="BK113" s="50"/>
      <c r="BL113" s="49"/>
      <c r="BM113" s="50"/>
      <c r="BN113" s="49"/>
    </row>
    <row r="114" spans="1:66" ht="15">
      <c r="A114" s="65" t="s">
        <v>559</v>
      </c>
      <c r="B114" s="65" t="s">
        <v>519</v>
      </c>
      <c r="C114" s="66" t="s">
        <v>514</v>
      </c>
      <c r="D114" s="67">
        <v>10</v>
      </c>
      <c r="E114" s="66"/>
      <c r="F114" s="69">
        <v>15</v>
      </c>
      <c r="G114" s="66"/>
      <c r="H114" s="70"/>
      <c r="I114" s="71"/>
      <c r="J114" s="71"/>
      <c r="K114" s="35" t="s">
        <v>65</v>
      </c>
      <c r="L114" s="72">
        <v>114</v>
      </c>
      <c r="M114" s="72"/>
      <c r="N114" s="73"/>
      <c r="O114" s="80" t="s">
        <v>261</v>
      </c>
      <c r="P114" s="82">
        <v>44692.19440972222</v>
      </c>
      <c r="Q114" s="80" t="s">
        <v>580</v>
      </c>
      <c r="R114" s="80"/>
      <c r="S114" s="80"/>
      <c r="T114" s="85" t="s">
        <v>596</v>
      </c>
      <c r="U114" s="83" t="str">
        <f>HYPERLINK("https://pbs.twimg.com/media/FSc09v5aQAAY6bm.jpg")</f>
        <v>https://pbs.twimg.com/media/FSc09v5aQAAY6bm.jpg</v>
      </c>
      <c r="V114" s="83" t="str">
        <f>HYPERLINK("https://pbs.twimg.com/media/FSc09v5aQAAY6bm.jpg")</f>
        <v>https://pbs.twimg.com/media/FSc09v5aQAAY6bm.jpg</v>
      </c>
      <c r="W114" s="82">
        <v>44692.19440972222</v>
      </c>
      <c r="X114" s="87">
        <v>44692</v>
      </c>
      <c r="Y114" s="85" t="s">
        <v>642</v>
      </c>
      <c r="Z114" s="83" t="str">
        <f>HYPERLINK("https://twitter.com/letusbacktonz/status/1524247919188389888")</f>
        <v>https://twitter.com/letusbacktonz/status/1524247919188389888</v>
      </c>
      <c r="AA114" s="80"/>
      <c r="AB114" s="80"/>
      <c r="AC114" s="85" t="s">
        <v>696</v>
      </c>
      <c r="AD114" s="80"/>
      <c r="AE114" s="80" t="b">
        <v>0</v>
      </c>
      <c r="AF114" s="80">
        <v>17</v>
      </c>
      <c r="AG114" s="85" t="s">
        <v>267</v>
      </c>
      <c r="AH114" s="80" t="b">
        <v>0</v>
      </c>
      <c r="AI114" s="80" t="s">
        <v>268</v>
      </c>
      <c r="AJ114" s="80"/>
      <c r="AK114" s="85" t="s">
        <v>267</v>
      </c>
      <c r="AL114" s="80" t="b">
        <v>0</v>
      </c>
      <c r="AM114" s="80">
        <v>19</v>
      </c>
      <c r="AN114" s="85" t="s">
        <v>267</v>
      </c>
      <c r="AO114" s="85" t="s">
        <v>270</v>
      </c>
      <c r="AP114" s="80" t="b">
        <v>0</v>
      </c>
      <c r="AQ114" s="85" t="s">
        <v>696</v>
      </c>
      <c r="AR114" s="80" t="s">
        <v>218</v>
      </c>
      <c r="AS114" s="80">
        <v>0</v>
      </c>
      <c r="AT114" s="80">
        <v>0</v>
      </c>
      <c r="AU114" s="80"/>
      <c r="AV114" s="80"/>
      <c r="AW114" s="80"/>
      <c r="AX114" s="80"/>
      <c r="AY114" s="80"/>
      <c r="AZ114" s="80"/>
      <c r="BA114" s="80"/>
      <c r="BB114" s="80"/>
      <c r="BC114" s="80">
        <v>4</v>
      </c>
      <c r="BD114" s="79" t="str">
        <f>REPLACE(INDEX(GroupVertices[Group],MATCH(Edges[[#This Row],[Vertex 1]],GroupVertices[Vertex],0)),1,1,"")</f>
        <v>2</v>
      </c>
      <c r="BE114" s="79" t="str">
        <f>REPLACE(INDEX(GroupVertices[Group],MATCH(Edges[[#This Row],[Vertex 2]],GroupVertices[Vertex],0)),1,1,"")</f>
        <v>1</v>
      </c>
      <c r="BF114" s="49"/>
      <c r="BG114" s="50"/>
      <c r="BH114" s="49"/>
      <c r="BI114" s="50"/>
      <c r="BJ114" s="49"/>
      <c r="BK114" s="50"/>
      <c r="BL114" s="49"/>
      <c r="BM114" s="50"/>
      <c r="BN114" s="49"/>
    </row>
    <row r="115" spans="1:66" ht="15">
      <c r="A115" s="65" t="s">
        <v>559</v>
      </c>
      <c r="B115" s="65" t="s">
        <v>519</v>
      </c>
      <c r="C115" s="66" t="s">
        <v>514</v>
      </c>
      <c r="D115" s="67">
        <v>10</v>
      </c>
      <c r="E115" s="66"/>
      <c r="F115" s="69">
        <v>15</v>
      </c>
      <c r="G115" s="66"/>
      <c r="H115" s="70"/>
      <c r="I115" s="71"/>
      <c r="J115" s="71"/>
      <c r="K115" s="35" t="s">
        <v>65</v>
      </c>
      <c r="L115" s="72">
        <v>115</v>
      </c>
      <c r="M115" s="72"/>
      <c r="N115" s="73"/>
      <c r="O115" s="80" t="s">
        <v>264</v>
      </c>
      <c r="P115" s="82">
        <v>44692.5190625</v>
      </c>
      <c r="Q115" s="80" t="s">
        <v>580</v>
      </c>
      <c r="R115" s="80"/>
      <c r="S115" s="80"/>
      <c r="T115" s="85" t="s">
        <v>596</v>
      </c>
      <c r="U115" s="83" t="str">
        <f>HYPERLINK("https://pbs.twimg.com/media/FSc09v5aQAAY6bm.jpg")</f>
        <v>https://pbs.twimg.com/media/FSc09v5aQAAY6bm.jpg</v>
      </c>
      <c r="V115" s="83" t="str">
        <f>HYPERLINK("https://pbs.twimg.com/media/FSc09v5aQAAY6bm.jpg")</f>
        <v>https://pbs.twimg.com/media/FSc09v5aQAAY6bm.jpg</v>
      </c>
      <c r="W115" s="82">
        <v>44692.5190625</v>
      </c>
      <c r="X115" s="87">
        <v>44692</v>
      </c>
      <c r="Y115" s="85" t="s">
        <v>643</v>
      </c>
      <c r="Z115" s="83" t="str">
        <f>HYPERLINK("https://twitter.com/letusbacktonz/status/1524365566693486592")</f>
        <v>https://twitter.com/letusbacktonz/status/1524365566693486592</v>
      </c>
      <c r="AA115" s="80"/>
      <c r="AB115" s="80"/>
      <c r="AC115" s="85" t="s">
        <v>697</v>
      </c>
      <c r="AD115" s="80"/>
      <c r="AE115" s="80" t="b">
        <v>0</v>
      </c>
      <c r="AF115" s="80">
        <v>0</v>
      </c>
      <c r="AG115" s="85" t="s">
        <v>267</v>
      </c>
      <c r="AH115" s="80" t="b">
        <v>0</v>
      </c>
      <c r="AI115" s="80" t="s">
        <v>268</v>
      </c>
      <c r="AJ115" s="80"/>
      <c r="AK115" s="85" t="s">
        <v>267</v>
      </c>
      <c r="AL115" s="80" t="b">
        <v>0</v>
      </c>
      <c r="AM115" s="80">
        <v>19</v>
      </c>
      <c r="AN115" s="85" t="s">
        <v>696</v>
      </c>
      <c r="AO115" s="85" t="s">
        <v>272</v>
      </c>
      <c r="AP115" s="80" t="b">
        <v>0</v>
      </c>
      <c r="AQ115" s="85" t="s">
        <v>696</v>
      </c>
      <c r="AR115" s="80" t="s">
        <v>218</v>
      </c>
      <c r="AS115" s="80">
        <v>0</v>
      </c>
      <c r="AT115" s="80">
        <v>0</v>
      </c>
      <c r="AU115" s="80"/>
      <c r="AV115" s="80"/>
      <c r="AW115" s="80"/>
      <c r="AX115" s="80"/>
      <c r="AY115" s="80"/>
      <c r="AZ115" s="80"/>
      <c r="BA115" s="80"/>
      <c r="BB115" s="80"/>
      <c r="BC115" s="80">
        <v>4</v>
      </c>
      <c r="BD115" s="79" t="str">
        <f>REPLACE(INDEX(GroupVertices[Group],MATCH(Edges[[#This Row],[Vertex 1]],GroupVertices[Vertex],0)),1,1,"")</f>
        <v>2</v>
      </c>
      <c r="BE115" s="79" t="str">
        <f>REPLACE(INDEX(GroupVertices[Group],MATCH(Edges[[#This Row],[Vertex 2]],GroupVertices[Vertex],0)),1,1,"")</f>
        <v>1</v>
      </c>
      <c r="BF115" s="49"/>
      <c r="BG115" s="50"/>
      <c r="BH115" s="49"/>
      <c r="BI115" s="50"/>
      <c r="BJ115" s="49"/>
      <c r="BK115" s="50"/>
      <c r="BL115" s="49"/>
      <c r="BM115" s="50"/>
      <c r="BN115" s="49"/>
    </row>
    <row r="116" spans="1:66" ht="15">
      <c r="A116" s="65" t="s">
        <v>559</v>
      </c>
      <c r="B116" s="65" t="s">
        <v>519</v>
      </c>
      <c r="C116" s="66" t="s">
        <v>514</v>
      </c>
      <c r="D116" s="67">
        <v>10</v>
      </c>
      <c r="E116" s="66"/>
      <c r="F116" s="69">
        <v>15</v>
      </c>
      <c r="G116" s="66"/>
      <c r="H116" s="70"/>
      <c r="I116" s="71"/>
      <c r="J116" s="71"/>
      <c r="K116" s="35" t="s">
        <v>65</v>
      </c>
      <c r="L116" s="72">
        <v>116</v>
      </c>
      <c r="M116" s="72"/>
      <c r="N116" s="73"/>
      <c r="O116" s="80" t="s">
        <v>261</v>
      </c>
      <c r="P116" s="82">
        <v>44692.52805555556</v>
      </c>
      <c r="Q116" s="80" t="s">
        <v>581</v>
      </c>
      <c r="R116" s="80"/>
      <c r="S116" s="80"/>
      <c r="T116" s="80"/>
      <c r="U116" s="83" t="str">
        <f>HYPERLINK("https://pbs.twimg.com/ext_tw_video_thumb/1524368758437216256/pu/img/3UwSYL_0rta3dEGi.jpg")</f>
        <v>https://pbs.twimg.com/ext_tw_video_thumb/1524368758437216256/pu/img/3UwSYL_0rta3dEGi.jpg</v>
      </c>
      <c r="V116" s="83" t="str">
        <f>HYPERLINK("https://pbs.twimg.com/ext_tw_video_thumb/1524368758437216256/pu/img/3UwSYL_0rta3dEGi.jpg")</f>
        <v>https://pbs.twimg.com/ext_tw_video_thumb/1524368758437216256/pu/img/3UwSYL_0rta3dEGi.jpg</v>
      </c>
      <c r="W116" s="82">
        <v>44692.52805555556</v>
      </c>
      <c r="X116" s="87">
        <v>44692</v>
      </c>
      <c r="Y116" s="85" t="s">
        <v>644</v>
      </c>
      <c r="Z116" s="83" t="str">
        <f>HYPERLINK("https://twitter.com/letusbacktonz/status/1524368825562836992")</f>
        <v>https://twitter.com/letusbacktonz/status/1524368825562836992</v>
      </c>
      <c r="AA116" s="80"/>
      <c r="AB116" s="80"/>
      <c r="AC116" s="85" t="s">
        <v>698</v>
      </c>
      <c r="AD116" s="80"/>
      <c r="AE116" s="80" t="b">
        <v>0</v>
      </c>
      <c r="AF116" s="80">
        <v>15</v>
      </c>
      <c r="AG116" s="85" t="s">
        <v>267</v>
      </c>
      <c r="AH116" s="80" t="b">
        <v>0</v>
      </c>
      <c r="AI116" s="80" t="s">
        <v>268</v>
      </c>
      <c r="AJ116" s="80"/>
      <c r="AK116" s="85" t="s">
        <v>267</v>
      </c>
      <c r="AL116" s="80" t="b">
        <v>0</v>
      </c>
      <c r="AM116" s="80">
        <v>16</v>
      </c>
      <c r="AN116" s="85" t="s">
        <v>267</v>
      </c>
      <c r="AO116" s="85" t="s">
        <v>272</v>
      </c>
      <c r="AP116" s="80" t="b">
        <v>0</v>
      </c>
      <c r="AQ116" s="85" t="s">
        <v>698</v>
      </c>
      <c r="AR116" s="80" t="s">
        <v>218</v>
      </c>
      <c r="AS116" s="80">
        <v>0</v>
      </c>
      <c r="AT116" s="80">
        <v>0</v>
      </c>
      <c r="AU116" s="80"/>
      <c r="AV116" s="80"/>
      <c r="AW116" s="80"/>
      <c r="AX116" s="80"/>
      <c r="AY116" s="80"/>
      <c r="AZ116" s="80"/>
      <c r="BA116" s="80"/>
      <c r="BB116" s="80"/>
      <c r="BC116" s="80">
        <v>4</v>
      </c>
      <c r="BD116" s="79" t="str">
        <f>REPLACE(INDEX(GroupVertices[Group],MATCH(Edges[[#This Row],[Vertex 1]],GroupVertices[Vertex],0)),1,1,"")</f>
        <v>2</v>
      </c>
      <c r="BE116" s="79" t="str">
        <f>REPLACE(INDEX(GroupVertices[Group],MATCH(Edges[[#This Row],[Vertex 2]],GroupVertices[Vertex],0)),1,1,"")</f>
        <v>1</v>
      </c>
      <c r="BF116" s="49">
        <v>0</v>
      </c>
      <c r="BG116" s="50">
        <v>0</v>
      </c>
      <c r="BH116" s="49">
        <v>2</v>
      </c>
      <c r="BI116" s="50">
        <v>4.651162790697675</v>
      </c>
      <c r="BJ116" s="49">
        <v>0</v>
      </c>
      <c r="BK116" s="50">
        <v>0</v>
      </c>
      <c r="BL116" s="49">
        <v>41</v>
      </c>
      <c r="BM116" s="50">
        <v>95.34883720930233</v>
      </c>
      <c r="BN116" s="49">
        <v>43</v>
      </c>
    </row>
    <row r="117" spans="1:66" ht="15">
      <c r="A117" s="65" t="s">
        <v>559</v>
      </c>
      <c r="B117" s="65" t="s">
        <v>519</v>
      </c>
      <c r="C117" s="66" t="s">
        <v>514</v>
      </c>
      <c r="D117" s="67">
        <v>10</v>
      </c>
      <c r="E117" s="66"/>
      <c r="F117" s="69">
        <v>15</v>
      </c>
      <c r="G117" s="66"/>
      <c r="H117" s="70"/>
      <c r="I117" s="71"/>
      <c r="J117" s="71"/>
      <c r="K117" s="35" t="s">
        <v>65</v>
      </c>
      <c r="L117" s="72">
        <v>117</v>
      </c>
      <c r="M117" s="72"/>
      <c r="N117" s="73"/>
      <c r="O117" s="80" t="s">
        <v>261</v>
      </c>
      <c r="P117" s="82">
        <v>44693.23284722222</v>
      </c>
      <c r="Q117" s="80" t="s">
        <v>586</v>
      </c>
      <c r="R117" s="83" t="str">
        <f>HYPERLINK("https://twitter.com/LetusbacktoNZ/status/1524623401868214272")</f>
        <v>https://twitter.com/LetusbacktoNZ/status/1524623401868214272</v>
      </c>
      <c r="S117" s="80" t="s">
        <v>265</v>
      </c>
      <c r="T117" s="80"/>
      <c r="U117" s="80"/>
      <c r="V117" s="83" t="str">
        <f>HYPERLINK("https://pbs.twimg.com/profile_images/1423569281292271617/RHqRplkb_normal.jpg")</f>
        <v>https://pbs.twimg.com/profile_images/1423569281292271617/RHqRplkb_normal.jpg</v>
      </c>
      <c r="W117" s="82">
        <v>44693.23284722222</v>
      </c>
      <c r="X117" s="87">
        <v>44693</v>
      </c>
      <c r="Y117" s="85" t="s">
        <v>639</v>
      </c>
      <c r="Z117" s="83" t="str">
        <f>HYPERLINK("https://twitter.com/letusbacktonz/status/1524624235989442561")</f>
        <v>https://twitter.com/letusbacktonz/status/1524624235989442561</v>
      </c>
      <c r="AA117" s="80"/>
      <c r="AB117" s="80"/>
      <c r="AC117" s="85" t="s">
        <v>693</v>
      </c>
      <c r="AD117" s="80"/>
      <c r="AE117" s="80" t="b">
        <v>0</v>
      </c>
      <c r="AF117" s="80">
        <v>1</v>
      </c>
      <c r="AG117" s="85" t="s">
        <v>303</v>
      </c>
      <c r="AH117" s="80" t="b">
        <v>1</v>
      </c>
      <c r="AI117" s="80" t="s">
        <v>269</v>
      </c>
      <c r="AJ117" s="80"/>
      <c r="AK117" s="85" t="s">
        <v>692</v>
      </c>
      <c r="AL117" s="80" t="b">
        <v>0</v>
      </c>
      <c r="AM117" s="80">
        <v>1</v>
      </c>
      <c r="AN117" s="85" t="s">
        <v>267</v>
      </c>
      <c r="AO117" s="85" t="s">
        <v>270</v>
      </c>
      <c r="AP117" s="80" t="b">
        <v>0</v>
      </c>
      <c r="AQ117" s="85" t="s">
        <v>693</v>
      </c>
      <c r="AR117" s="80" t="s">
        <v>218</v>
      </c>
      <c r="AS117" s="80">
        <v>0</v>
      </c>
      <c r="AT117" s="80">
        <v>0</v>
      </c>
      <c r="AU117" s="80"/>
      <c r="AV117" s="80"/>
      <c r="AW117" s="80"/>
      <c r="AX117" s="80"/>
      <c r="AY117" s="80"/>
      <c r="AZ117" s="80"/>
      <c r="BA117" s="80"/>
      <c r="BB117" s="80"/>
      <c r="BC117" s="80">
        <v>4</v>
      </c>
      <c r="BD117" s="79" t="str">
        <f>REPLACE(INDEX(GroupVertices[Group],MATCH(Edges[[#This Row],[Vertex 1]],GroupVertices[Vertex],0)),1,1,"")</f>
        <v>2</v>
      </c>
      <c r="BE117" s="79" t="str">
        <f>REPLACE(INDEX(GroupVertices[Group],MATCH(Edges[[#This Row],[Vertex 2]],GroupVertices[Vertex],0)),1,1,"")</f>
        <v>1</v>
      </c>
      <c r="BF117" s="49"/>
      <c r="BG117" s="50"/>
      <c r="BH117" s="49"/>
      <c r="BI117" s="50"/>
      <c r="BJ117" s="49"/>
      <c r="BK117" s="50"/>
      <c r="BL117" s="49"/>
      <c r="BM117" s="50"/>
      <c r="BN117" s="49"/>
    </row>
    <row r="118" spans="1:66" ht="15">
      <c r="A118" s="65" t="s">
        <v>561</v>
      </c>
      <c r="B118" s="65" t="s">
        <v>519</v>
      </c>
      <c r="C118" s="66" t="s">
        <v>514</v>
      </c>
      <c r="D118" s="67">
        <v>10</v>
      </c>
      <c r="E118" s="66"/>
      <c r="F118" s="69">
        <v>15</v>
      </c>
      <c r="G118" s="66"/>
      <c r="H118" s="70"/>
      <c r="I118" s="71"/>
      <c r="J118" s="71"/>
      <c r="K118" s="35" t="s">
        <v>65</v>
      </c>
      <c r="L118" s="72">
        <v>118</v>
      </c>
      <c r="M118" s="72"/>
      <c r="N118" s="73"/>
      <c r="O118" s="80" t="s">
        <v>264</v>
      </c>
      <c r="P118" s="82">
        <v>44697.02980324074</v>
      </c>
      <c r="Q118" s="80" t="s">
        <v>581</v>
      </c>
      <c r="R118" s="80"/>
      <c r="S118" s="80"/>
      <c r="T118" s="80"/>
      <c r="U118" s="83" t="str">
        <f>HYPERLINK("https://pbs.twimg.com/ext_tw_video_thumb/1524368758437216256/pu/img/3UwSYL_0rta3dEGi.jpg")</f>
        <v>https://pbs.twimg.com/ext_tw_video_thumb/1524368758437216256/pu/img/3UwSYL_0rta3dEGi.jpg</v>
      </c>
      <c r="V118" s="83" t="str">
        <f>HYPERLINK("https://pbs.twimg.com/ext_tw_video_thumb/1524368758437216256/pu/img/3UwSYL_0rta3dEGi.jpg")</f>
        <v>https://pbs.twimg.com/ext_tw_video_thumb/1524368758437216256/pu/img/3UwSYL_0rta3dEGi.jpg</v>
      </c>
      <c r="W118" s="82">
        <v>44697.02980324074</v>
      </c>
      <c r="X118" s="87">
        <v>44697</v>
      </c>
      <c r="Y118" s="85" t="s">
        <v>645</v>
      </c>
      <c r="Z118" s="83" t="str">
        <f>HYPERLINK("https://twitter.com/ssidhugurpreet/status/1526000207132930048")</f>
        <v>https://twitter.com/ssidhugurpreet/status/1526000207132930048</v>
      </c>
      <c r="AA118" s="80"/>
      <c r="AB118" s="80"/>
      <c r="AC118" s="85" t="s">
        <v>699</v>
      </c>
      <c r="AD118" s="80"/>
      <c r="AE118" s="80" t="b">
        <v>0</v>
      </c>
      <c r="AF118" s="80">
        <v>0</v>
      </c>
      <c r="AG118" s="85" t="s">
        <v>267</v>
      </c>
      <c r="AH118" s="80" t="b">
        <v>0</v>
      </c>
      <c r="AI118" s="80" t="s">
        <v>268</v>
      </c>
      <c r="AJ118" s="80"/>
      <c r="AK118" s="85" t="s">
        <v>267</v>
      </c>
      <c r="AL118" s="80" t="b">
        <v>0</v>
      </c>
      <c r="AM118" s="80">
        <v>16</v>
      </c>
      <c r="AN118" s="85" t="s">
        <v>698</v>
      </c>
      <c r="AO118" s="85" t="s">
        <v>272</v>
      </c>
      <c r="AP118" s="80" t="b">
        <v>0</v>
      </c>
      <c r="AQ118" s="85" t="s">
        <v>698</v>
      </c>
      <c r="AR118" s="80" t="s">
        <v>218</v>
      </c>
      <c r="AS118" s="80">
        <v>0</v>
      </c>
      <c r="AT118" s="80">
        <v>0</v>
      </c>
      <c r="AU118" s="80"/>
      <c r="AV118" s="80"/>
      <c r="AW118" s="80"/>
      <c r="AX118" s="80"/>
      <c r="AY118" s="80"/>
      <c r="AZ118" s="80"/>
      <c r="BA118" s="80"/>
      <c r="BB118" s="80"/>
      <c r="BC118" s="80">
        <v>2</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561</v>
      </c>
      <c r="B119" s="65" t="s">
        <v>519</v>
      </c>
      <c r="C119" s="66" t="s">
        <v>514</v>
      </c>
      <c r="D119" s="67">
        <v>10</v>
      </c>
      <c r="E119" s="66"/>
      <c r="F119" s="69">
        <v>15</v>
      </c>
      <c r="G119" s="66"/>
      <c r="H119" s="70"/>
      <c r="I119" s="71"/>
      <c r="J119" s="71"/>
      <c r="K119" s="35" t="s">
        <v>65</v>
      </c>
      <c r="L119" s="72">
        <v>119</v>
      </c>
      <c r="M119" s="72"/>
      <c r="N119" s="73"/>
      <c r="O119" s="80" t="s">
        <v>264</v>
      </c>
      <c r="P119" s="82">
        <v>44697.030694444446</v>
      </c>
      <c r="Q119" s="80" t="s">
        <v>580</v>
      </c>
      <c r="R119" s="80"/>
      <c r="S119" s="80"/>
      <c r="T119" s="85" t="s">
        <v>596</v>
      </c>
      <c r="U119" s="83" t="str">
        <f>HYPERLINK("https://pbs.twimg.com/media/FSc09v5aQAAY6bm.jpg")</f>
        <v>https://pbs.twimg.com/media/FSc09v5aQAAY6bm.jpg</v>
      </c>
      <c r="V119" s="83" t="str">
        <f>HYPERLINK("https://pbs.twimg.com/media/FSc09v5aQAAY6bm.jpg")</f>
        <v>https://pbs.twimg.com/media/FSc09v5aQAAY6bm.jpg</v>
      </c>
      <c r="W119" s="82">
        <v>44697.030694444446</v>
      </c>
      <c r="X119" s="87">
        <v>44697</v>
      </c>
      <c r="Y119" s="85" t="s">
        <v>646</v>
      </c>
      <c r="Z119" s="83" t="str">
        <f>HYPERLINK("https://twitter.com/ssidhugurpreet/status/1526000528181694464")</f>
        <v>https://twitter.com/ssidhugurpreet/status/1526000528181694464</v>
      </c>
      <c r="AA119" s="80"/>
      <c r="AB119" s="80"/>
      <c r="AC119" s="85" t="s">
        <v>700</v>
      </c>
      <c r="AD119" s="80"/>
      <c r="AE119" s="80" t="b">
        <v>0</v>
      </c>
      <c r="AF119" s="80">
        <v>0</v>
      </c>
      <c r="AG119" s="85" t="s">
        <v>267</v>
      </c>
      <c r="AH119" s="80" t="b">
        <v>0</v>
      </c>
      <c r="AI119" s="80" t="s">
        <v>268</v>
      </c>
      <c r="AJ119" s="80"/>
      <c r="AK119" s="85" t="s">
        <v>267</v>
      </c>
      <c r="AL119" s="80" t="b">
        <v>0</v>
      </c>
      <c r="AM119" s="80">
        <v>19</v>
      </c>
      <c r="AN119" s="85" t="s">
        <v>696</v>
      </c>
      <c r="AO119" s="85" t="s">
        <v>272</v>
      </c>
      <c r="AP119" s="80" t="b">
        <v>0</v>
      </c>
      <c r="AQ119" s="85" t="s">
        <v>696</v>
      </c>
      <c r="AR119" s="80" t="s">
        <v>218</v>
      </c>
      <c r="AS119" s="80">
        <v>0</v>
      </c>
      <c r="AT119" s="80">
        <v>0</v>
      </c>
      <c r="AU119" s="80"/>
      <c r="AV119" s="80"/>
      <c r="AW119" s="80"/>
      <c r="AX119" s="80"/>
      <c r="AY119" s="80"/>
      <c r="AZ119" s="80"/>
      <c r="BA119" s="80"/>
      <c r="BB119" s="80"/>
      <c r="BC119" s="80">
        <v>2</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559</v>
      </c>
      <c r="B120" s="65" t="s">
        <v>258</v>
      </c>
      <c r="C120" s="66" t="s">
        <v>514</v>
      </c>
      <c r="D120" s="67">
        <v>10</v>
      </c>
      <c r="E120" s="66"/>
      <c r="F120" s="69">
        <v>15</v>
      </c>
      <c r="G120" s="66"/>
      <c r="H120" s="70"/>
      <c r="I120" s="71"/>
      <c r="J120" s="71"/>
      <c r="K120" s="35" t="s">
        <v>65</v>
      </c>
      <c r="L120" s="72">
        <v>120</v>
      </c>
      <c r="M120" s="72"/>
      <c r="N120" s="73"/>
      <c r="O120" s="80" t="s">
        <v>261</v>
      </c>
      <c r="P120" s="82">
        <v>44692.19440972222</v>
      </c>
      <c r="Q120" s="80" t="s">
        <v>580</v>
      </c>
      <c r="R120" s="80"/>
      <c r="S120" s="80"/>
      <c r="T120" s="85" t="s">
        <v>596</v>
      </c>
      <c r="U120" s="83" t="str">
        <f>HYPERLINK("https://pbs.twimg.com/media/FSc09v5aQAAY6bm.jpg")</f>
        <v>https://pbs.twimg.com/media/FSc09v5aQAAY6bm.jpg</v>
      </c>
      <c r="V120" s="83" t="str">
        <f>HYPERLINK("https://pbs.twimg.com/media/FSc09v5aQAAY6bm.jpg")</f>
        <v>https://pbs.twimg.com/media/FSc09v5aQAAY6bm.jpg</v>
      </c>
      <c r="W120" s="82">
        <v>44692.19440972222</v>
      </c>
      <c r="X120" s="87">
        <v>44692</v>
      </c>
      <c r="Y120" s="85" t="s">
        <v>642</v>
      </c>
      <c r="Z120" s="83" t="str">
        <f>HYPERLINK("https://twitter.com/letusbacktonz/status/1524247919188389888")</f>
        <v>https://twitter.com/letusbacktonz/status/1524247919188389888</v>
      </c>
      <c r="AA120" s="80"/>
      <c r="AB120" s="80"/>
      <c r="AC120" s="85" t="s">
        <v>696</v>
      </c>
      <c r="AD120" s="80"/>
      <c r="AE120" s="80" t="b">
        <v>0</v>
      </c>
      <c r="AF120" s="80">
        <v>17</v>
      </c>
      <c r="AG120" s="85" t="s">
        <v>267</v>
      </c>
      <c r="AH120" s="80" t="b">
        <v>0</v>
      </c>
      <c r="AI120" s="80" t="s">
        <v>268</v>
      </c>
      <c r="AJ120" s="80"/>
      <c r="AK120" s="85" t="s">
        <v>267</v>
      </c>
      <c r="AL120" s="80" t="b">
        <v>0</v>
      </c>
      <c r="AM120" s="80">
        <v>19</v>
      </c>
      <c r="AN120" s="85" t="s">
        <v>267</v>
      </c>
      <c r="AO120" s="85" t="s">
        <v>270</v>
      </c>
      <c r="AP120" s="80" t="b">
        <v>0</v>
      </c>
      <c r="AQ120" s="85" t="s">
        <v>696</v>
      </c>
      <c r="AR120" s="80" t="s">
        <v>218</v>
      </c>
      <c r="AS120" s="80">
        <v>0</v>
      </c>
      <c r="AT120" s="80">
        <v>0</v>
      </c>
      <c r="AU120" s="80"/>
      <c r="AV120" s="80"/>
      <c r="AW120" s="80"/>
      <c r="AX120" s="80"/>
      <c r="AY120" s="80"/>
      <c r="AZ120" s="80"/>
      <c r="BA120" s="80"/>
      <c r="BB120" s="80"/>
      <c r="BC120" s="80">
        <v>3</v>
      </c>
      <c r="BD120" s="79" t="str">
        <f>REPLACE(INDEX(GroupVertices[Group],MATCH(Edges[[#This Row],[Vertex 1]],GroupVertices[Vertex],0)),1,1,"")</f>
        <v>2</v>
      </c>
      <c r="BE120" s="79" t="str">
        <f>REPLACE(INDEX(GroupVertices[Group],MATCH(Edges[[#This Row],[Vertex 2]],GroupVertices[Vertex],0)),1,1,"")</f>
        <v>1</v>
      </c>
      <c r="BF120" s="49">
        <v>0</v>
      </c>
      <c r="BG120" s="50">
        <v>0</v>
      </c>
      <c r="BH120" s="49">
        <v>5</v>
      </c>
      <c r="BI120" s="50">
        <v>12.820512820512821</v>
      </c>
      <c r="BJ120" s="49">
        <v>0</v>
      </c>
      <c r="BK120" s="50">
        <v>0</v>
      </c>
      <c r="BL120" s="49">
        <v>34</v>
      </c>
      <c r="BM120" s="50">
        <v>87.17948717948718</v>
      </c>
      <c r="BN120" s="49">
        <v>39</v>
      </c>
    </row>
    <row r="121" spans="1:66" ht="15">
      <c r="A121" s="65" t="s">
        <v>559</v>
      </c>
      <c r="B121" s="65" t="s">
        <v>258</v>
      </c>
      <c r="C121" s="66" t="s">
        <v>514</v>
      </c>
      <c r="D121" s="67">
        <v>10</v>
      </c>
      <c r="E121" s="66"/>
      <c r="F121" s="69">
        <v>15</v>
      </c>
      <c r="G121" s="66"/>
      <c r="H121" s="70"/>
      <c r="I121" s="71"/>
      <c r="J121" s="71"/>
      <c r="K121" s="35" t="s">
        <v>65</v>
      </c>
      <c r="L121" s="72">
        <v>121</v>
      </c>
      <c r="M121" s="72"/>
      <c r="N121" s="73"/>
      <c r="O121" s="80" t="s">
        <v>264</v>
      </c>
      <c r="P121" s="82">
        <v>44692.5190625</v>
      </c>
      <c r="Q121" s="80" t="s">
        <v>580</v>
      </c>
      <c r="R121" s="80"/>
      <c r="S121" s="80"/>
      <c r="T121" s="85" t="s">
        <v>596</v>
      </c>
      <c r="U121" s="83" t="str">
        <f>HYPERLINK("https://pbs.twimg.com/media/FSc09v5aQAAY6bm.jpg")</f>
        <v>https://pbs.twimg.com/media/FSc09v5aQAAY6bm.jpg</v>
      </c>
      <c r="V121" s="83" t="str">
        <f>HYPERLINK("https://pbs.twimg.com/media/FSc09v5aQAAY6bm.jpg")</f>
        <v>https://pbs.twimg.com/media/FSc09v5aQAAY6bm.jpg</v>
      </c>
      <c r="W121" s="82">
        <v>44692.5190625</v>
      </c>
      <c r="X121" s="87">
        <v>44692</v>
      </c>
      <c r="Y121" s="85" t="s">
        <v>643</v>
      </c>
      <c r="Z121" s="83" t="str">
        <f>HYPERLINK("https://twitter.com/letusbacktonz/status/1524365566693486592")</f>
        <v>https://twitter.com/letusbacktonz/status/1524365566693486592</v>
      </c>
      <c r="AA121" s="80"/>
      <c r="AB121" s="80"/>
      <c r="AC121" s="85" t="s">
        <v>697</v>
      </c>
      <c r="AD121" s="80"/>
      <c r="AE121" s="80" t="b">
        <v>0</v>
      </c>
      <c r="AF121" s="80">
        <v>0</v>
      </c>
      <c r="AG121" s="85" t="s">
        <v>267</v>
      </c>
      <c r="AH121" s="80" t="b">
        <v>0</v>
      </c>
      <c r="AI121" s="80" t="s">
        <v>268</v>
      </c>
      <c r="AJ121" s="80"/>
      <c r="AK121" s="85" t="s">
        <v>267</v>
      </c>
      <c r="AL121" s="80" t="b">
        <v>0</v>
      </c>
      <c r="AM121" s="80">
        <v>19</v>
      </c>
      <c r="AN121" s="85" t="s">
        <v>696</v>
      </c>
      <c r="AO121" s="85" t="s">
        <v>272</v>
      </c>
      <c r="AP121" s="80" t="b">
        <v>0</v>
      </c>
      <c r="AQ121" s="85" t="s">
        <v>696</v>
      </c>
      <c r="AR121" s="80" t="s">
        <v>218</v>
      </c>
      <c r="AS121" s="80">
        <v>0</v>
      </c>
      <c r="AT121" s="80">
        <v>0</v>
      </c>
      <c r="AU121" s="80"/>
      <c r="AV121" s="80"/>
      <c r="AW121" s="80"/>
      <c r="AX121" s="80"/>
      <c r="AY121" s="80"/>
      <c r="AZ121" s="80"/>
      <c r="BA121" s="80"/>
      <c r="BB121" s="80"/>
      <c r="BC121" s="80">
        <v>3</v>
      </c>
      <c r="BD121" s="79" t="str">
        <f>REPLACE(INDEX(GroupVertices[Group],MATCH(Edges[[#This Row],[Vertex 1]],GroupVertices[Vertex],0)),1,1,"")</f>
        <v>2</v>
      </c>
      <c r="BE121" s="79" t="str">
        <f>REPLACE(INDEX(GroupVertices[Group],MATCH(Edges[[#This Row],[Vertex 2]],GroupVertices[Vertex],0)),1,1,"")</f>
        <v>1</v>
      </c>
      <c r="BF121" s="49"/>
      <c r="BG121" s="50"/>
      <c r="BH121" s="49"/>
      <c r="BI121" s="50"/>
      <c r="BJ121" s="49"/>
      <c r="BK121" s="50"/>
      <c r="BL121" s="49"/>
      <c r="BM121" s="50"/>
      <c r="BN121" s="49"/>
    </row>
    <row r="122" spans="1:66" ht="15">
      <c r="A122" s="65" t="s">
        <v>559</v>
      </c>
      <c r="B122" s="65" t="s">
        <v>258</v>
      </c>
      <c r="C122" s="66" t="s">
        <v>514</v>
      </c>
      <c r="D122" s="67">
        <v>10</v>
      </c>
      <c r="E122" s="66"/>
      <c r="F122" s="69">
        <v>15</v>
      </c>
      <c r="G122" s="66"/>
      <c r="H122" s="70"/>
      <c r="I122" s="71"/>
      <c r="J122" s="71"/>
      <c r="K122" s="35" t="s">
        <v>65</v>
      </c>
      <c r="L122" s="72">
        <v>122</v>
      </c>
      <c r="M122" s="72"/>
      <c r="N122" s="73"/>
      <c r="O122" s="80" t="s">
        <v>262</v>
      </c>
      <c r="P122" s="82">
        <v>44693.23284722222</v>
      </c>
      <c r="Q122" s="80" t="s">
        <v>586</v>
      </c>
      <c r="R122" s="83" t="str">
        <f>HYPERLINK("https://twitter.com/LetusbacktoNZ/status/1524623401868214272")</f>
        <v>https://twitter.com/LetusbacktoNZ/status/1524623401868214272</v>
      </c>
      <c r="S122" s="80" t="s">
        <v>265</v>
      </c>
      <c r="T122" s="80"/>
      <c r="U122" s="80"/>
      <c r="V122" s="83" t="str">
        <f>HYPERLINK("https://pbs.twimg.com/profile_images/1423569281292271617/RHqRplkb_normal.jpg")</f>
        <v>https://pbs.twimg.com/profile_images/1423569281292271617/RHqRplkb_normal.jpg</v>
      </c>
      <c r="W122" s="82">
        <v>44693.23284722222</v>
      </c>
      <c r="X122" s="87">
        <v>44693</v>
      </c>
      <c r="Y122" s="85" t="s">
        <v>639</v>
      </c>
      <c r="Z122" s="83" t="str">
        <f>HYPERLINK("https://twitter.com/letusbacktonz/status/1524624235989442561")</f>
        <v>https://twitter.com/letusbacktonz/status/1524624235989442561</v>
      </c>
      <c r="AA122" s="80"/>
      <c r="AB122" s="80"/>
      <c r="AC122" s="85" t="s">
        <v>693</v>
      </c>
      <c r="AD122" s="80"/>
      <c r="AE122" s="80" t="b">
        <v>0</v>
      </c>
      <c r="AF122" s="80">
        <v>1</v>
      </c>
      <c r="AG122" s="85" t="s">
        <v>303</v>
      </c>
      <c r="AH122" s="80" t="b">
        <v>1</v>
      </c>
      <c r="AI122" s="80" t="s">
        <v>269</v>
      </c>
      <c r="AJ122" s="80"/>
      <c r="AK122" s="85" t="s">
        <v>692</v>
      </c>
      <c r="AL122" s="80" t="b">
        <v>0</v>
      </c>
      <c r="AM122" s="80">
        <v>1</v>
      </c>
      <c r="AN122" s="85" t="s">
        <v>267</v>
      </c>
      <c r="AO122" s="85" t="s">
        <v>270</v>
      </c>
      <c r="AP122" s="80" t="b">
        <v>0</v>
      </c>
      <c r="AQ122" s="85" t="s">
        <v>693</v>
      </c>
      <c r="AR122" s="80" t="s">
        <v>218</v>
      </c>
      <c r="AS122" s="80">
        <v>0</v>
      </c>
      <c r="AT122" s="80">
        <v>0</v>
      </c>
      <c r="AU122" s="80"/>
      <c r="AV122" s="80"/>
      <c r="AW122" s="80"/>
      <c r="AX122" s="80"/>
      <c r="AY122" s="80"/>
      <c r="AZ122" s="80"/>
      <c r="BA122" s="80"/>
      <c r="BB122" s="80"/>
      <c r="BC122" s="80">
        <v>3</v>
      </c>
      <c r="BD122" s="79" t="str">
        <f>REPLACE(INDEX(GroupVertices[Group],MATCH(Edges[[#This Row],[Vertex 1]],GroupVertices[Vertex],0)),1,1,"")</f>
        <v>2</v>
      </c>
      <c r="BE122" s="79" t="str">
        <f>REPLACE(INDEX(GroupVertices[Group],MATCH(Edges[[#This Row],[Vertex 2]],GroupVertices[Vertex],0)),1,1,"")</f>
        <v>1</v>
      </c>
      <c r="BF122" s="49"/>
      <c r="BG122" s="50"/>
      <c r="BH122" s="49"/>
      <c r="BI122" s="50"/>
      <c r="BJ122" s="49"/>
      <c r="BK122" s="50"/>
      <c r="BL122" s="49"/>
      <c r="BM122" s="50"/>
      <c r="BN122" s="49"/>
    </row>
    <row r="123" spans="1:66" ht="15">
      <c r="A123" s="65" t="s">
        <v>561</v>
      </c>
      <c r="B123" s="65" t="s">
        <v>258</v>
      </c>
      <c r="C123" s="66" t="s">
        <v>513</v>
      </c>
      <c r="D123" s="67">
        <v>5</v>
      </c>
      <c r="E123" s="66"/>
      <c r="F123" s="69">
        <v>50</v>
      </c>
      <c r="G123" s="66"/>
      <c r="H123" s="70"/>
      <c r="I123" s="71"/>
      <c r="J123" s="71"/>
      <c r="K123" s="35" t="s">
        <v>65</v>
      </c>
      <c r="L123" s="72">
        <v>123</v>
      </c>
      <c r="M123" s="72"/>
      <c r="N123" s="73"/>
      <c r="O123" s="80" t="s">
        <v>264</v>
      </c>
      <c r="P123" s="82">
        <v>44697.030694444446</v>
      </c>
      <c r="Q123" s="80" t="s">
        <v>580</v>
      </c>
      <c r="R123" s="80"/>
      <c r="S123" s="80"/>
      <c r="T123" s="85" t="s">
        <v>596</v>
      </c>
      <c r="U123" s="83" t="str">
        <f>HYPERLINK("https://pbs.twimg.com/media/FSc09v5aQAAY6bm.jpg")</f>
        <v>https://pbs.twimg.com/media/FSc09v5aQAAY6bm.jpg</v>
      </c>
      <c r="V123" s="83" t="str">
        <f>HYPERLINK("https://pbs.twimg.com/media/FSc09v5aQAAY6bm.jpg")</f>
        <v>https://pbs.twimg.com/media/FSc09v5aQAAY6bm.jpg</v>
      </c>
      <c r="W123" s="82">
        <v>44697.030694444446</v>
      </c>
      <c r="X123" s="87">
        <v>44697</v>
      </c>
      <c r="Y123" s="85" t="s">
        <v>646</v>
      </c>
      <c r="Z123" s="83" t="str">
        <f>HYPERLINK("https://twitter.com/ssidhugurpreet/status/1526000528181694464")</f>
        <v>https://twitter.com/ssidhugurpreet/status/1526000528181694464</v>
      </c>
      <c r="AA123" s="80"/>
      <c r="AB123" s="80"/>
      <c r="AC123" s="85" t="s">
        <v>700</v>
      </c>
      <c r="AD123" s="80"/>
      <c r="AE123" s="80" t="b">
        <v>0</v>
      </c>
      <c r="AF123" s="80">
        <v>0</v>
      </c>
      <c r="AG123" s="85" t="s">
        <v>267</v>
      </c>
      <c r="AH123" s="80" t="b">
        <v>0</v>
      </c>
      <c r="AI123" s="80" t="s">
        <v>268</v>
      </c>
      <c r="AJ123" s="80"/>
      <c r="AK123" s="85" t="s">
        <v>267</v>
      </c>
      <c r="AL123" s="80" t="b">
        <v>0</v>
      </c>
      <c r="AM123" s="80">
        <v>19</v>
      </c>
      <c r="AN123" s="85" t="s">
        <v>696</v>
      </c>
      <c r="AO123" s="85" t="s">
        <v>272</v>
      </c>
      <c r="AP123" s="80" t="b">
        <v>0</v>
      </c>
      <c r="AQ123" s="85" t="s">
        <v>696</v>
      </c>
      <c r="AR123" s="80" t="s">
        <v>218</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562</v>
      </c>
      <c r="B124" s="65" t="s">
        <v>559</v>
      </c>
      <c r="C124" s="66" t="s">
        <v>514</v>
      </c>
      <c r="D124" s="67">
        <v>10</v>
      </c>
      <c r="E124" s="66"/>
      <c r="F124" s="69">
        <v>15</v>
      </c>
      <c r="G124" s="66"/>
      <c r="H124" s="70"/>
      <c r="I124" s="71"/>
      <c r="J124" s="71"/>
      <c r="K124" s="35" t="s">
        <v>66</v>
      </c>
      <c r="L124" s="72">
        <v>124</v>
      </c>
      <c r="M124" s="72"/>
      <c r="N124" s="73"/>
      <c r="O124" s="80" t="s">
        <v>262</v>
      </c>
      <c r="P124" s="82">
        <v>44695.23578703704</v>
      </c>
      <c r="Q124" s="80" t="s">
        <v>584</v>
      </c>
      <c r="R124" s="80"/>
      <c r="S124" s="80"/>
      <c r="T124" s="80"/>
      <c r="U124" s="80"/>
      <c r="V124" s="83" t="str">
        <f>HYPERLINK("https://pbs.twimg.com/profile_images/1368203740499509259/fiGeF3mQ_normal.jpg")</f>
        <v>https://pbs.twimg.com/profile_images/1368203740499509259/fiGeF3mQ_normal.jpg</v>
      </c>
      <c r="W124" s="82">
        <v>44695.23578703704</v>
      </c>
      <c r="X124" s="87">
        <v>44695</v>
      </c>
      <c r="Y124" s="85" t="s">
        <v>647</v>
      </c>
      <c r="Z124" s="83" t="str">
        <f>HYPERLINK("https://twitter.com/gurisydney/status/1525350074842480640")</f>
        <v>https://twitter.com/gurisydney/status/1525350074842480640</v>
      </c>
      <c r="AA124" s="80"/>
      <c r="AB124" s="80"/>
      <c r="AC124" s="85" t="s">
        <v>701</v>
      </c>
      <c r="AD124" s="85" t="s">
        <v>707</v>
      </c>
      <c r="AE124" s="80" t="b">
        <v>0</v>
      </c>
      <c r="AF124" s="80">
        <v>2</v>
      </c>
      <c r="AG124" s="85" t="s">
        <v>709</v>
      </c>
      <c r="AH124" s="80" t="b">
        <v>0</v>
      </c>
      <c r="AI124" s="80" t="s">
        <v>268</v>
      </c>
      <c r="AJ124" s="80"/>
      <c r="AK124" s="85" t="s">
        <v>267</v>
      </c>
      <c r="AL124" s="80" t="b">
        <v>0</v>
      </c>
      <c r="AM124" s="80">
        <v>2</v>
      </c>
      <c r="AN124" s="85" t="s">
        <v>267</v>
      </c>
      <c r="AO124" s="85" t="s">
        <v>271</v>
      </c>
      <c r="AP124" s="80" t="b">
        <v>0</v>
      </c>
      <c r="AQ124" s="85" t="s">
        <v>707</v>
      </c>
      <c r="AR124" s="80" t="s">
        <v>218</v>
      </c>
      <c r="AS124" s="80">
        <v>0</v>
      </c>
      <c r="AT124" s="80">
        <v>0</v>
      </c>
      <c r="AU124" s="80"/>
      <c r="AV124" s="80"/>
      <c r="AW124" s="80"/>
      <c r="AX124" s="80"/>
      <c r="AY124" s="80"/>
      <c r="AZ124" s="80"/>
      <c r="BA124" s="80"/>
      <c r="BB124" s="80"/>
      <c r="BC124" s="80">
        <v>3</v>
      </c>
      <c r="BD124" s="79" t="str">
        <f>REPLACE(INDEX(GroupVertices[Group],MATCH(Edges[[#This Row],[Vertex 1]],GroupVertices[Vertex],0)),1,1,"")</f>
        <v>1</v>
      </c>
      <c r="BE124" s="79" t="str">
        <f>REPLACE(INDEX(GroupVertices[Group],MATCH(Edges[[#This Row],[Vertex 2]],GroupVertices[Vertex],0)),1,1,"")</f>
        <v>2</v>
      </c>
      <c r="BF124" s="49">
        <v>0</v>
      </c>
      <c r="BG124" s="50">
        <v>0</v>
      </c>
      <c r="BH124" s="49">
        <v>0</v>
      </c>
      <c r="BI124" s="50">
        <v>0</v>
      </c>
      <c r="BJ124" s="49">
        <v>0</v>
      </c>
      <c r="BK124" s="50">
        <v>0</v>
      </c>
      <c r="BL124" s="49">
        <v>8</v>
      </c>
      <c r="BM124" s="50">
        <v>100</v>
      </c>
      <c r="BN124" s="49">
        <v>8</v>
      </c>
    </row>
    <row r="125" spans="1:66" ht="15">
      <c r="A125" s="65" t="s">
        <v>562</v>
      </c>
      <c r="B125" s="65" t="s">
        <v>559</v>
      </c>
      <c r="C125" s="66" t="s">
        <v>514</v>
      </c>
      <c r="D125" s="67">
        <v>10</v>
      </c>
      <c r="E125" s="66"/>
      <c r="F125" s="69">
        <v>15</v>
      </c>
      <c r="G125" s="66"/>
      <c r="H125" s="70"/>
      <c r="I125" s="71"/>
      <c r="J125" s="71"/>
      <c r="K125" s="35" t="s">
        <v>66</v>
      </c>
      <c r="L125" s="72">
        <v>125</v>
      </c>
      <c r="M125" s="72"/>
      <c r="N125" s="73"/>
      <c r="O125" s="80" t="s">
        <v>262</v>
      </c>
      <c r="P125" s="82">
        <v>44695.236550925925</v>
      </c>
      <c r="Q125" s="80" t="s">
        <v>583</v>
      </c>
      <c r="R125" s="80"/>
      <c r="S125" s="80"/>
      <c r="T125" s="80"/>
      <c r="U125" s="80"/>
      <c r="V125" s="83" t="str">
        <f>HYPERLINK("https://pbs.twimg.com/profile_images/1368203740499509259/fiGeF3mQ_normal.jpg")</f>
        <v>https://pbs.twimg.com/profile_images/1368203740499509259/fiGeF3mQ_normal.jpg</v>
      </c>
      <c r="W125" s="82">
        <v>44695.236550925925</v>
      </c>
      <c r="X125" s="87">
        <v>44695</v>
      </c>
      <c r="Y125" s="85" t="s">
        <v>648</v>
      </c>
      <c r="Z125" s="83" t="str">
        <f>HYPERLINK("https://twitter.com/gurisydney/status/1525350352807403520")</f>
        <v>https://twitter.com/gurisydney/status/1525350352807403520</v>
      </c>
      <c r="AA125" s="80"/>
      <c r="AB125" s="80"/>
      <c r="AC125" s="85" t="s">
        <v>702</v>
      </c>
      <c r="AD125" s="85" t="s">
        <v>707</v>
      </c>
      <c r="AE125" s="80" t="b">
        <v>0</v>
      </c>
      <c r="AF125" s="80">
        <v>3</v>
      </c>
      <c r="AG125" s="85" t="s">
        <v>709</v>
      </c>
      <c r="AH125" s="80" t="b">
        <v>0</v>
      </c>
      <c r="AI125" s="80" t="s">
        <v>268</v>
      </c>
      <c r="AJ125" s="80"/>
      <c r="AK125" s="85" t="s">
        <v>267</v>
      </c>
      <c r="AL125" s="80" t="b">
        <v>0</v>
      </c>
      <c r="AM125" s="80">
        <v>3</v>
      </c>
      <c r="AN125" s="85" t="s">
        <v>267</v>
      </c>
      <c r="AO125" s="85" t="s">
        <v>271</v>
      </c>
      <c r="AP125" s="80" t="b">
        <v>0</v>
      </c>
      <c r="AQ125" s="85" t="s">
        <v>707</v>
      </c>
      <c r="AR125" s="80" t="s">
        <v>218</v>
      </c>
      <c r="AS125" s="80">
        <v>0</v>
      </c>
      <c r="AT125" s="80">
        <v>0</v>
      </c>
      <c r="AU125" s="80"/>
      <c r="AV125" s="80"/>
      <c r="AW125" s="80"/>
      <c r="AX125" s="80"/>
      <c r="AY125" s="80"/>
      <c r="AZ125" s="80"/>
      <c r="BA125" s="80"/>
      <c r="BB125" s="80"/>
      <c r="BC125" s="80">
        <v>3</v>
      </c>
      <c r="BD125" s="79" t="str">
        <f>REPLACE(INDEX(GroupVertices[Group],MATCH(Edges[[#This Row],[Vertex 1]],GroupVertices[Vertex],0)),1,1,"")</f>
        <v>1</v>
      </c>
      <c r="BE125" s="79" t="str">
        <f>REPLACE(INDEX(GroupVertices[Group],MATCH(Edges[[#This Row],[Vertex 2]],GroupVertices[Vertex],0)),1,1,"")</f>
        <v>2</v>
      </c>
      <c r="BF125" s="49">
        <v>0</v>
      </c>
      <c r="BG125" s="50">
        <v>0</v>
      </c>
      <c r="BH125" s="49">
        <v>2</v>
      </c>
      <c r="BI125" s="50">
        <v>6.666666666666667</v>
      </c>
      <c r="BJ125" s="49">
        <v>0</v>
      </c>
      <c r="BK125" s="50">
        <v>0</v>
      </c>
      <c r="BL125" s="49">
        <v>28</v>
      </c>
      <c r="BM125" s="50">
        <v>93.33333333333333</v>
      </c>
      <c r="BN125" s="49">
        <v>30</v>
      </c>
    </row>
    <row r="126" spans="1:66" ht="15">
      <c r="A126" s="65" t="s">
        <v>562</v>
      </c>
      <c r="B126" s="65" t="s">
        <v>559</v>
      </c>
      <c r="C126" s="66" t="s">
        <v>514</v>
      </c>
      <c r="D126" s="67">
        <v>10</v>
      </c>
      <c r="E126" s="66"/>
      <c r="F126" s="69">
        <v>15</v>
      </c>
      <c r="G126" s="66"/>
      <c r="H126" s="70"/>
      <c r="I126" s="71"/>
      <c r="J126" s="71"/>
      <c r="K126" s="35" t="s">
        <v>66</v>
      </c>
      <c r="L126" s="72">
        <v>126</v>
      </c>
      <c r="M126" s="72"/>
      <c r="N126" s="73"/>
      <c r="O126" s="80" t="s">
        <v>262</v>
      </c>
      <c r="P126" s="82">
        <v>44695.28530092593</v>
      </c>
      <c r="Q126" s="80" t="s">
        <v>588</v>
      </c>
      <c r="R126" s="80"/>
      <c r="S126" s="80"/>
      <c r="T126" s="80"/>
      <c r="U126" s="80"/>
      <c r="V126" s="83" t="str">
        <f>HYPERLINK("https://pbs.twimg.com/profile_images/1368203740499509259/fiGeF3mQ_normal.jpg")</f>
        <v>https://pbs.twimg.com/profile_images/1368203740499509259/fiGeF3mQ_normal.jpg</v>
      </c>
      <c r="W126" s="82">
        <v>44695.28530092593</v>
      </c>
      <c r="X126" s="87">
        <v>44695</v>
      </c>
      <c r="Y126" s="85" t="s">
        <v>649</v>
      </c>
      <c r="Z126" s="83" t="str">
        <f>HYPERLINK("https://twitter.com/gurisydney/status/1525368017634201601")</f>
        <v>https://twitter.com/gurisydney/status/1525368017634201601</v>
      </c>
      <c r="AA126" s="80"/>
      <c r="AB126" s="80"/>
      <c r="AC126" s="85" t="s">
        <v>703</v>
      </c>
      <c r="AD126" s="85" t="s">
        <v>704</v>
      </c>
      <c r="AE126" s="80" t="b">
        <v>0</v>
      </c>
      <c r="AF126" s="80">
        <v>0</v>
      </c>
      <c r="AG126" s="85" t="s">
        <v>709</v>
      </c>
      <c r="AH126" s="80" t="b">
        <v>0</v>
      </c>
      <c r="AI126" s="80" t="s">
        <v>268</v>
      </c>
      <c r="AJ126" s="80"/>
      <c r="AK126" s="85" t="s">
        <v>267</v>
      </c>
      <c r="AL126" s="80" t="b">
        <v>0</v>
      </c>
      <c r="AM126" s="80">
        <v>0</v>
      </c>
      <c r="AN126" s="85" t="s">
        <v>267</v>
      </c>
      <c r="AO126" s="85" t="s">
        <v>271</v>
      </c>
      <c r="AP126" s="80" t="b">
        <v>0</v>
      </c>
      <c r="AQ126" s="85" t="s">
        <v>704</v>
      </c>
      <c r="AR126" s="80" t="s">
        <v>218</v>
      </c>
      <c r="AS126" s="80">
        <v>0</v>
      </c>
      <c r="AT126" s="80">
        <v>0</v>
      </c>
      <c r="AU126" s="80"/>
      <c r="AV126" s="80"/>
      <c r="AW126" s="80"/>
      <c r="AX126" s="80"/>
      <c r="AY126" s="80"/>
      <c r="AZ126" s="80"/>
      <c r="BA126" s="80"/>
      <c r="BB126" s="80"/>
      <c r="BC126" s="80">
        <v>3</v>
      </c>
      <c r="BD126" s="79" t="str">
        <f>REPLACE(INDEX(GroupVertices[Group],MATCH(Edges[[#This Row],[Vertex 1]],GroupVertices[Vertex],0)),1,1,"")</f>
        <v>1</v>
      </c>
      <c r="BE126" s="79" t="str">
        <f>REPLACE(INDEX(GroupVertices[Group],MATCH(Edges[[#This Row],[Vertex 2]],GroupVertices[Vertex],0)),1,1,"")</f>
        <v>2</v>
      </c>
      <c r="BF126" s="49">
        <v>0</v>
      </c>
      <c r="BG126" s="50">
        <v>0</v>
      </c>
      <c r="BH126" s="49">
        <v>0</v>
      </c>
      <c r="BI126" s="50">
        <v>0</v>
      </c>
      <c r="BJ126" s="49">
        <v>0</v>
      </c>
      <c r="BK126" s="50">
        <v>0</v>
      </c>
      <c r="BL126" s="49">
        <v>7</v>
      </c>
      <c r="BM126" s="50">
        <v>100</v>
      </c>
      <c r="BN126" s="49">
        <v>7</v>
      </c>
    </row>
    <row r="127" spans="1:66" ht="15">
      <c r="A127" s="65" t="s">
        <v>559</v>
      </c>
      <c r="B127" s="65" t="s">
        <v>562</v>
      </c>
      <c r="C127" s="66" t="s">
        <v>514</v>
      </c>
      <c r="D127" s="67">
        <v>10</v>
      </c>
      <c r="E127" s="66"/>
      <c r="F127" s="69">
        <v>15</v>
      </c>
      <c r="G127" s="66"/>
      <c r="H127" s="70"/>
      <c r="I127" s="71"/>
      <c r="J127" s="71"/>
      <c r="K127" s="35" t="s">
        <v>66</v>
      </c>
      <c r="L127" s="72">
        <v>127</v>
      </c>
      <c r="M127" s="72"/>
      <c r="N127" s="73"/>
      <c r="O127" s="80" t="s">
        <v>262</v>
      </c>
      <c r="P127" s="82">
        <v>44695.23849537037</v>
      </c>
      <c r="Q127" s="80" t="s">
        <v>589</v>
      </c>
      <c r="R127" s="83" t="str">
        <f>HYPERLINK("https://www.mondaq.com/australia/work-visas/1164678/extension-of-subclass-485-489-491-494-visas-for-holders-impacted-by-australian-covid-19-border-closures")</f>
        <v>https://www.mondaq.com/australia/work-visas/1164678/extension-of-subclass-485-489-491-494-visas-for-holders-impacted-by-australian-covid-19-border-closures</v>
      </c>
      <c r="S127" s="80" t="s">
        <v>594</v>
      </c>
      <c r="T127" s="80"/>
      <c r="U127" s="80"/>
      <c r="V127" s="83" t="str">
        <f>HYPERLINK("https://pbs.twimg.com/profile_images/1423569281292271617/RHqRplkb_normal.jpg")</f>
        <v>https://pbs.twimg.com/profile_images/1423569281292271617/RHqRplkb_normal.jpg</v>
      </c>
      <c r="W127" s="82">
        <v>44695.23849537037</v>
      </c>
      <c r="X127" s="87">
        <v>44695</v>
      </c>
      <c r="Y127" s="85" t="s">
        <v>650</v>
      </c>
      <c r="Z127" s="83" t="str">
        <f>HYPERLINK("https://twitter.com/letusbacktonz/status/1525351058729742341")</f>
        <v>https://twitter.com/letusbacktonz/status/1525351058729742341</v>
      </c>
      <c r="AA127" s="80"/>
      <c r="AB127" s="80"/>
      <c r="AC127" s="85" t="s">
        <v>704</v>
      </c>
      <c r="AD127" s="85" t="s">
        <v>702</v>
      </c>
      <c r="AE127" s="80" t="b">
        <v>0</v>
      </c>
      <c r="AF127" s="80">
        <v>2</v>
      </c>
      <c r="AG127" s="85" t="s">
        <v>710</v>
      </c>
      <c r="AH127" s="80" t="b">
        <v>0</v>
      </c>
      <c r="AI127" s="80" t="s">
        <v>268</v>
      </c>
      <c r="AJ127" s="80"/>
      <c r="AK127" s="85" t="s">
        <v>267</v>
      </c>
      <c r="AL127" s="80" t="b">
        <v>0</v>
      </c>
      <c r="AM127" s="80">
        <v>2</v>
      </c>
      <c r="AN127" s="85" t="s">
        <v>267</v>
      </c>
      <c r="AO127" s="85" t="s">
        <v>270</v>
      </c>
      <c r="AP127" s="80" t="b">
        <v>0</v>
      </c>
      <c r="AQ127" s="85" t="s">
        <v>702</v>
      </c>
      <c r="AR127" s="80" t="s">
        <v>218</v>
      </c>
      <c r="AS127" s="80">
        <v>0</v>
      </c>
      <c r="AT127" s="80">
        <v>0</v>
      </c>
      <c r="AU127" s="80"/>
      <c r="AV127" s="80"/>
      <c r="AW127" s="80"/>
      <c r="AX127" s="80"/>
      <c r="AY127" s="80"/>
      <c r="AZ127" s="80"/>
      <c r="BA127" s="80"/>
      <c r="BB127" s="80"/>
      <c r="BC127" s="80">
        <v>2</v>
      </c>
      <c r="BD127" s="79" t="str">
        <f>REPLACE(INDEX(GroupVertices[Group],MATCH(Edges[[#This Row],[Vertex 1]],GroupVertices[Vertex],0)),1,1,"")</f>
        <v>2</v>
      </c>
      <c r="BE127" s="79" t="str">
        <f>REPLACE(INDEX(GroupVertices[Group],MATCH(Edges[[#This Row],[Vertex 2]],GroupVertices[Vertex],0)),1,1,"")</f>
        <v>1</v>
      </c>
      <c r="BF127" s="49">
        <v>0</v>
      </c>
      <c r="BG127" s="50">
        <v>0</v>
      </c>
      <c r="BH127" s="49">
        <v>0</v>
      </c>
      <c r="BI127" s="50">
        <v>0</v>
      </c>
      <c r="BJ127" s="49">
        <v>0</v>
      </c>
      <c r="BK127" s="50">
        <v>0</v>
      </c>
      <c r="BL127" s="49">
        <v>17</v>
      </c>
      <c r="BM127" s="50">
        <v>100</v>
      </c>
      <c r="BN127" s="49">
        <v>17</v>
      </c>
    </row>
    <row r="128" spans="1:66" ht="15">
      <c r="A128" s="65" t="s">
        <v>559</v>
      </c>
      <c r="B128" s="65" t="s">
        <v>562</v>
      </c>
      <c r="C128" s="66" t="s">
        <v>514</v>
      </c>
      <c r="D128" s="67">
        <v>10</v>
      </c>
      <c r="E128" s="66"/>
      <c r="F128" s="69">
        <v>15</v>
      </c>
      <c r="G128" s="66"/>
      <c r="H128" s="70"/>
      <c r="I128" s="71"/>
      <c r="J128" s="71"/>
      <c r="K128" s="35" t="s">
        <v>66</v>
      </c>
      <c r="L128" s="72">
        <v>128</v>
      </c>
      <c r="M128" s="72"/>
      <c r="N128" s="73"/>
      <c r="O128" s="80" t="s">
        <v>262</v>
      </c>
      <c r="P128" s="82">
        <v>44695.319652777776</v>
      </c>
      <c r="Q128" s="80" t="s">
        <v>590</v>
      </c>
      <c r="R128" s="80"/>
      <c r="S128" s="80"/>
      <c r="T128" s="85" t="s">
        <v>598</v>
      </c>
      <c r="U128" s="80"/>
      <c r="V128" s="83" t="str">
        <f>HYPERLINK("https://pbs.twimg.com/profile_images/1423569281292271617/RHqRplkb_normal.jpg")</f>
        <v>https://pbs.twimg.com/profile_images/1423569281292271617/RHqRplkb_normal.jpg</v>
      </c>
      <c r="W128" s="82">
        <v>44695.319652777776</v>
      </c>
      <c r="X128" s="87">
        <v>44695</v>
      </c>
      <c r="Y128" s="85" t="s">
        <v>651</v>
      </c>
      <c r="Z128" s="83" t="str">
        <f>HYPERLINK("https://twitter.com/letusbacktonz/status/1525380469281415168")</f>
        <v>https://twitter.com/letusbacktonz/status/1525380469281415168</v>
      </c>
      <c r="AA128" s="80"/>
      <c r="AB128" s="80"/>
      <c r="AC128" s="85" t="s">
        <v>705</v>
      </c>
      <c r="AD128" s="85" t="s">
        <v>703</v>
      </c>
      <c r="AE128" s="80" t="b">
        <v>0</v>
      </c>
      <c r="AF128" s="80">
        <v>1</v>
      </c>
      <c r="AG128" s="85" t="s">
        <v>710</v>
      </c>
      <c r="AH128" s="80" t="b">
        <v>0</v>
      </c>
      <c r="AI128" s="80" t="s">
        <v>268</v>
      </c>
      <c r="AJ128" s="80"/>
      <c r="AK128" s="85" t="s">
        <v>267</v>
      </c>
      <c r="AL128" s="80" t="b">
        <v>0</v>
      </c>
      <c r="AM128" s="80">
        <v>0</v>
      </c>
      <c r="AN128" s="85" t="s">
        <v>267</v>
      </c>
      <c r="AO128" s="85" t="s">
        <v>272</v>
      </c>
      <c r="AP128" s="80" t="b">
        <v>0</v>
      </c>
      <c r="AQ128" s="85" t="s">
        <v>703</v>
      </c>
      <c r="AR128" s="80" t="s">
        <v>218</v>
      </c>
      <c r="AS128" s="80">
        <v>0</v>
      </c>
      <c r="AT128" s="80">
        <v>0</v>
      </c>
      <c r="AU128" s="80"/>
      <c r="AV128" s="80"/>
      <c r="AW128" s="80"/>
      <c r="AX128" s="80"/>
      <c r="AY128" s="80"/>
      <c r="AZ128" s="80"/>
      <c r="BA128" s="80"/>
      <c r="BB128" s="80"/>
      <c r="BC128" s="80">
        <v>2</v>
      </c>
      <c r="BD128" s="79" t="str">
        <f>REPLACE(INDEX(GroupVertices[Group],MATCH(Edges[[#This Row],[Vertex 1]],GroupVertices[Vertex],0)),1,1,"")</f>
        <v>2</v>
      </c>
      <c r="BE128" s="79" t="str">
        <f>REPLACE(INDEX(GroupVertices[Group],MATCH(Edges[[#This Row],[Vertex 2]],GroupVertices[Vertex],0)),1,1,"")</f>
        <v>1</v>
      </c>
      <c r="BF128" s="49">
        <v>0</v>
      </c>
      <c r="BG128" s="50">
        <v>0</v>
      </c>
      <c r="BH128" s="49">
        <v>0</v>
      </c>
      <c r="BI128" s="50">
        <v>0</v>
      </c>
      <c r="BJ128" s="49">
        <v>0</v>
      </c>
      <c r="BK128" s="50">
        <v>0</v>
      </c>
      <c r="BL128" s="49">
        <v>26</v>
      </c>
      <c r="BM128" s="50">
        <v>100</v>
      </c>
      <c r="BN128" s="49">
        <v>26</v>
      </c>
    </row>
    <row r="129" spans="1:66" ht="15">
      <c r="A129" s="65" t="s">
        <v>561</v>
      </c>
      <c r="B129" s="65" t="s">
        <v>562</v>
      </c>
      <c r="C129" s="66" t="s">
        <v>513</v>
      </c>
      <c r="D129" s="67">
        <v>5</v>
      </c>
      <c r="E129" s="66"/>
      <c r="F129" s="69">
        <v>50</v>
      </c>
      <c r="G129" s="66"/>
      <c r="H129" s="70"/>
      <c r="I129" s="71"/>
      <c r="J129" s="71"/>
      <c r="K129" s="35" t="s">
        <v>65</v>
      </c>
      <c r="L129" s="72">
        <v>129</v>
      </c>
      <c r="M129" s="72"/>
      <c r="N129" s="73"/>
      <c r="O129" s="80" t="s">
        <v>263</v>
      </c>
      <c r="P129" s="82">
        <v>44697.031539351854</v>
      </c>
      <c r="Q129" s="80" t="s">
        <v>583</v>
      </c>
      <c r="R129" s="80"/>
      <c r="S129" s="80"/>
      <c r="T129" s="80"/>
      <c r="U129" s="80"/>
      <c r="V129" s="83" t="str">
        <f>HYPERLINK("https://pbs.twimg.com/profile_images/1449026286337540096/j8wlT2Py_normal.jpg")</f>
        <v>https://pbs.twimg.com/profile_images/1449026286337540096/j8wlT2Py_normal.jpg</v>
      </c>
      <c r="W129" s="82">
        <v>44697.031539351854</v>
      </c>
      <c r="X129" s="87">
        <v>44697</v>
      </c>
      <c r="Y129" s="85" t="s">
        <v>652</v>
      </c>
      <c r="Z129" s="83" t="str">
        <f>HYPERLINK("https://twitter.com/ssidhugurpreet/status/1526000834928005121")</f>
        <v>https://twitter.com/ssidhugurpreet/status/1526000834928005121</v>
      </c>
      <c r="AA129" s="80"/>
      <c r="AB129" s="80"/>
      <c r="AC129" s="85" t="s">
        <v>706</v>
      </c>
      <c r="AD129" s="80"/>
      <c r="AE129" s="80" t="b">
        <v>0</v>
      </c>
      <c r="AF129" s="80">
        <v>0</v>
      </c>
      <c r="AG129" s="85" t="s">
        <v>267</v>
      </c>
      <c r="AH129" s="80" t="b">
        <v>0</v>
      </c>
      <c r="AI129" s="80" t="s">
        <v>268</v>
      </c>
      <c r="AJ129" s="80"/>
      <c r="AK129" s="85" t="s">
        <v>267</v>
      </c>
      <c r="AL129" s="80" t="b">
        <v>0</v>
      </c>
      <c r="AM129" s="80">
        <v>3</v>
      </c>
      <c r="AN129" s="85" t="s">
        <v>702</v>
      </c>
      <c r="AO129" s="85" t="s">
        <v>272</v>
      </c>
      <c r="AP129" s="80" t="b">
        <v>0</v>
      </c>
      <c r="AQ129" s="85" t="s">
        <v>702</v>
      </c>
      <c r="AR129" s="80" t="s">
        <v>218</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561</v>
      </c>
      <c r="B130" s="65" t="s">
        <v>559</v>
      </c>
      <c r="C130" s="66" t="s">
        <v>514</v>
      </c>
      <c r="D130" s="67">
        <v>10</v>
      </c>
      <c r="E130" s="66"/>
      <c r="F130" s="69">
        <v>15</v>
      </c>
      <c r="G130" s="66"/>
      <c r="H130" s="70"/>
      <c r="I130" s="71"/>
      <c r="J130" s="71"/>
      <c r="K130" s="35" t="s">
        <v>65</v>
      </c>
      <c r="L130" s="72">
        <v>130</v>
      </c>
      <c r="M130" s="72"/>
      <c r="N130" s="73"/>
      <c r="O130" s="80" t="s">
        <v>263</v>
      </c>
      <c r="P130" s="82">
        <v>44697.02980324074</v>
      </c>
      <c r="Q130" s="80" t="s">
        <v>581</v>
      </c>
      <c r="R130" s="80"/>
      <c r="S130" s="80"/>
      <c r="T130" s="80"/>
      <c r="U130" s="83" t="str">
        <f>HYPERLINK("https://pbs.twimg.com/ext_tw_video_thumb/1524368758437216256/pu/img/3UwSYL_0rta3dEGi.jpg")</f>
        <v>https://pbs.twimg.com/ext_tw_video_thumb/1524368758437216256/pu/img/3UwSYL_0rta3dEGi.jpg</v>
      </c>
      <c r="V130" s="83" t="str">
        <f>HYPERLINK("https://pbs.twimg.com/ext_tw_video_thumb/1524368758437216256/pu/img/3UwSYL_0rta3dEGi.jpg")</f>
        <v>https://pbs.twimg.com/ext_tw_video_thumb/1524368758437216256/pu/img/3UwSYL_0rta3dEGi.jpg</v>
      </c>
      <c r="W130" s="82">
        <v>44697.02980324074</v>
      </c>
      <c r="X130" s="87">
        <v>44697</v>
      </c>
      <c r="Y130" s="85" t="s">
        <v>645</v>
      </c>
      <c r="Z130" s="83" t="str">
        <f>HYPERLINK("https://twitter.com/ssidhugurpreet/status/1526000207132930048")</f>
        <v>https://twitter.com/ssidhugurpreet/status/1526000207132930048</v>
      </c>
      <c r="AA130" s="80"/>
      <c r="AB130" s="80"/>
      <c r="AC130" s="85" t="s">
        <v>699</v>
      </c>
      <c r="AD130" s="80"/>
      <c r="AE130" s="80" t="b">
        <v>0</v>
      </c>
      <c r="AF130" s="80">
        <v>0</v>
      </c>
      <c r="AG130" s="85" t="s">
        <v>267</v>
      </c>
      <c r="AH130" s="80" t="b">
        <v>0</v>
      </c>
      <c r="AI130" s="80" t="s">
        <v>268</v>
      </c>
      <c r="AJ130" s="80"/>
      <c r="AK130" s="85" t="s">
        <v>267</v>
      </c>
      <c r="AL130" s="80" t="b">
        <v>0</v>
      </c>
      <c r="AM130" s="80">
        <v>16</v>
      </c>
      <c r="AN130" s="85" t="s">
        <v>698</v>
      </c>
      <c r="AO130" s="85" t="s">
        <v>272</v>
      </c>
      <c r="AP130" s="80" t="b">
        <v>0</v>
      </c>
      <c r="AQ130" s="85" t="s">
        <v>698</v>
      </c>
      <c r="AR130" s="80" t="s">
        <v>218</v>
      </c>
      <c r="AS130" s="80">
        <v>0</v>
      </c>
      <c r="AT130" s="80">
        <v>0</v>
      </c>
      <c r="AU130" s="80"/>
      <c r="AV130" s="80"/>
      <c r="AW130" s="80"/>
      <c r="AX130" s="80"/>
      <c r="AY130" s="80"/>
      <c r="AZ130" s="80"/>
      <c r="BA130" s="80"/>
      <c r="BB130" s="80"/>
      <c r="BC130" s="80">
        <v>3</v>
      </c>
      <c r="BD130" s="79" t="str">
        <f>REPLACE(INDEX(GroupVertices[Group],MATCH(Edges[[#This Row],[Vertex 1]],GroupVertices[Vertex],0)),1,1,"")</f>
        <v>1</v>
      </c>
      <c r="BE130" s="79" t="str">
        <f>REPLACE(INDEX(GroupVertices[Group],MATCH(Edges[[#This Row],[Vertex 2]],GroupVertices[Vertex],0)),1,1,"")</f>
        <v>2</v>
      </c>
      <c r="BF130" s="49">
        <v>0</v>
      </c>
      <c r="BG130" s="50">
        <v>0</v>
      </c>
      <c r="BH130" s="49">
        <v>2</v>
      </c>
      <c r="BI130" s="50">
        <v>4.651162790697675</v>
      </c>
      <c r="BJ130" s="49">
        <v>0</v>
      </c>
      <c r="BK130" s="50">
        <v>0</v>
      </c>
      <c r="BL130" s="49">
        <v>41</v>
      </c>
      <c r="BM130" s="50">
        <v>95.34883720930233</v>
      </c>
      <c r="BN130" s="49">
        <v>43</v>
      </c>
    </row>
    <row r="131" spans="1:66" ht="15">
      <c r="A131" s="65" t="s">
        <v>561</v>
      </c>
      <c r="B131" s="65" t="s">
        <v>559</v>
      </c>
      <c r="C131" s="66" t="s">
        <v>514</v>
      </c>
      <c r="D131" s="67">
        <v>10</v>
      </c>
      <c r="E131" s="66"/>
      <c r="F131" s="69">
        <v>15</v>
      </c>
      <c r="G131" s="66"/>
      <c r="H131" s="70"/>
      <c r="I131" s="71"/>
      <c r="J131" s="71"/>
      <c r="K131" s="35" t="s">
        <v>65</v>
      </c>
      <c r="L131" s="72">
        <v>131</v>
      </c>
      <c r="M131" s="72"/>
      <c r="N131" s="73"/>
      <c r="O131" s="80" t="s">
        <v>263</v>
      </c>
      <c r="P131" s="82">
        <v>44697.030694444446</v>
      </c>
      <c r="Q131" s="80" t="s">
        <v>580</v>
      </c>
      <c r="R131" s="80"/>
      <c r="S131" s="80"/>
      <c r="T131" s="85" t="s">
        <v>596</v>
      </c>
      <c r="U131" s="83" t="str">
        <f>HYPERLINK("https://pbs.twimg.com/media/FSc09v5aQAAY6bm.jpg")</f>
        <v>https://pbs.twimg.com/media/FSc09v5aQAAY6bm.jpg</v>
      </c>
      <c r="V131" s="83" t="str">
        <f>HYPERLINK("https://pbs.twimg.com/media/FSc09v5aQAAY6bm.jpg")</f>
        <v>https://pbs.twimg.com/media/FSc09v5aQAAY6bm.jpg</v>
      </c>
      <c r="W131" s="82">
        <v>44697.030694444446</v>
      </c>
      <c r="X131" s="87">
        <v>44697</v>
      </c>
      <c r="Y131" s="85" t="s">
        <v>646</v>
      </c>
      <c r="Z131" s="83" t="str">
        <f>HYPERLINK("https://twitter.com/ssidhugurpreet/status/1526000528181694464")</f>
        <v>https://twitter.com/ssidhugurpreet/status/1526000528181694464</v>
      </c>
      <c r="AA131" s="80"/>
      <c r="AB131" s="80"/>
      <c r="AC131" s="85" t="s">
        <v>700</v>
      </c>
      <c r="AD131" s="80"/>
      <c r="AE131" s="80" t="b">
        <v>0</v>
      </c>
      <c r="AF131" s="80">
        <v>0</v>
      </c>
      <c r="AG131" s="85" t="s">
        <v>267</v>
      </c>
      <c r="AH131" s="80" t="b">
        <v>0</v>
      </c>
      <c r="AI131" s="80" t="s">
        <v>268</v>
      </c>
      <c r="AJ131" s="80"/>
      <c r="AK131" s="85" t="s">
        <v>267</v>
      </c>
      <c r="AL131" s="80" t="b">
        <v>0</v>
      </c>
      <c r="AM131" s="80">
        <v>19</v>
      </c>
      <c r="AN131" s="85" t="s">
        <v>696</v>
      </c>
      <c r="AO131" s="85" t="s">
        <v>272</v>
      </c>
      <c r="AP131" s="80" t="b">
        <v>0</v>
      </c>
      <c r="AQ131" s="85" t="s">
        <v>696</v>
      </c>
      <c r="AR131" s="80" t="s">
        <v>218</v>
      </c>
      <c r="AS131" s="80">
        <v>0</v>
      </c>
      <c r="AT131" s="80">
        <v>0</v>
      </c>
      <c r="AU131" s="80"/>
      <c r="AV131" s="80"/>
      <c r="AW131" s="80"/>
      <c r="AX131" s="80"/>
      <c r="AY131" s="80"/>
      <c r="AZ131" s="80"/>
      <c r="BA131" s="80"/>
      <c r="BB131" s="80"/>
      <c r="BC131" s="80">
        <v>3</v>
      </c>
      <c r="BD131" s="79" t="str">
        <f>REPLACE(INDEX(GroupVertices[Group],MATCH(Edges[[#This Row],[Vertex 1]],GroupVertices[Vertex],0)),1,1,"")</f>
        <v>1</v>
      </c>
      <c r="BE131" s="79" t="str">
        <f>REPLACE(INDEX(GroupVertices[Group],MATCH(Edges[[#This Row],[Vertex 2]],GroupVertices[Vertex],0)),1,1,"")</f>
        <v>2</v>
      </c>
      <c r="BF131" s="49">
        <v>0</v>
      </c>
      <c r="BG131" s="50">
        <v>0</v>
      </c>
      <c r="BH131" s="49">
        <v>5</v>
      </c>
      <c r="BI131" s="50">
        <v>12.820512820512821</v>
      </c>
      <c r="BJ131" s="49">
        <v>0</v>
      </c>
      <c r="BK131" s="50">
        <v>0</v>
      </c>
      <c r="BL131" s="49">
        <v>34</v>
      </c>
      <c r="BM131" s="50">
        <v>87.17948717948718</v>
      </c>
      <c r="BN131" s="49">
        <v>39</v>
      </c>
    </row>
    <row r="132" spans="1:66" ht="15">
      <c r="A132" s="65" t="s">
        <v>561</v>
      </c>
      <c r="B132" s="65" t="s">
        <v>559</v>
      </c>
      <c r="C132" s="66" t="s">
        <v>514</v>
      </c>
      <c r="D132" s="67">
        <v>10</v>
      </c>
      <c r="E132" s="66"/>
      <c r="F132" s="69">
        <v>15</v>
      </c>
      <c r="G132" s="66"/>
      <c r="H132" s="70"/>
      <c r="I132" s="71"/>
      <c r="J132" s="71"/>
      <c r="K132" s="35" t="s">
        <v>65</v>
      </c>
      <c r="L132" s="72">
        <v>132</v>
      </c>
      <c r="M132" s="72"/>
      <c r="N132" s="73"/>
      <c r="O132" s="80" t="s">
        <v>262</v>
      </c>
      <c r="P132" s="82">
        <v>44697.031539351854</v>
      </c>
      <c r="Q132" s="80" t="s">
        <v>583</v>
      </c>
      <c r="R132" s="80"/>
      <c r="S132" s="80"/>
      <c r="T132" s="80"/>
      <c r="U132" s="80"/>
      <c r="V132" s="83" t="str">
        <f>HYPERLINK("https://pbs.twimg.com/profile_images/1449026286337540096/j8wlT2Py_normal.jpg")</f>
        <v>https://pbs.twimg.com/profile_images/1449026286337540096/j8wlT2Py_normal.jpg</v>
      </c>
      <c r="W132" s="82">
        <v>44697.031539351854</v>
      </c>
      <c r="X132" s="87">
        <v>44697</v>
      </c>
      <c r="Y132" s="85" t="s">
        <v>652</v>
      </c>
      <c r="Z132" s="83" t="str">
        <f>HYPERLINK("https://twitter.com/ssidhugurpreet/status/1526000834928005121")</f>
        <v>https://twitter.com/ssidhugurpreet/status/1526000834928005121</v>
      </c>
      <c r="AA132" s="80"/>
      <c r="AB132" s="80"/>
      <c r="AC132" s="85" t="s">
        <v>706</v>
      </c>
      <c r="AD132" s="80"/>
      <c r="AE132" s="80" t="b">
        <v>0</v>
      </c>
      <c r="AF132" s="80">
        <v>0</v>
      </c>
      <c r="AG132" s="85" t="s">
        <v>267</v>
      </c>
      <c r="AH132" s="80" t="b">
        <v>0</v>
      </c>
      <c r="AI132" s="80" t="s">
        <v>268</v>
      </c>
      <c r="AJ132" s="80"/>
      <c r="AK132" s="85" t="s">
        <v>267</v>
      </c>
      <c r="AL132" s="80" t="b">
        <v>0</v>
      </c>
      <c r="AM132" s="80">
        <v>3</v>
      </c>
      <c r="AN132" s="85" t="s">
        <v>702</v>
      </c>
      <c r="AO132" s="85" t="s">
        <v>272</v>
      </c>
      <c r="AP132" s="80" t="b">
        <v>0</v>
      </c>
      <c r="AQ132" s="85" t="s">
        <v>702</v>
      </c>
      <c r="AR132" s="80" t="s">
        <v>218</v>
      </c>
      <c r="AS132" s="80">
        <v>0</v>
      </c>
      <c r="AT132" s="80">
        <v>0</v>
      </c>
      <c r="AU132" s="80"/>
      <c r="AV132" s="80"/>
      <c r="AW132" s="80"/>
      <c r="AX132" s="80"/>
      <c r="AY132" s="80"/>
      <c r="AZ132" s="80"/>
      <c r="BA132" s="80"/>
      <c r="BB132" s="80"/>
      <c r="BC132" s="80">
        <v>3</v>
      </c>
      <c r="BD132" s="79" t="str">
        <f>REPLACE(INDEX(GroupVertices[Group],MATCH(Edges[[#This Row],[Vertex 1]],GroupVertices[Vertex],0)),1,1,"")</f>
        <v>1</v>
      </c>
      <c r="BE132" s="79" t="str">
        <f>REPLACE(INDEX(GroupVertices[Group],MATCH(Edges[[#This Row],[Vertex 2]],GroupVertices[Vertex],0)),1,1,"")</f>
        <v>2</v>
      </c>
      <c r="BF132" s="49">
        <v>0</v>
      </c>
      <c r="BG132" s="50">
        <v>0</v>
      </c>
      <c r="BH132" s="49">
        <v>2</v>
      </c>
      <c r="BI132" s="50">
        <v>6.666666666666667</v>
      </c>
      <c r="BJ132" s="49">
        <v>0</v>
      </c>
      <c r="BK132" s="50">
        <v>0</v>
      </c>
      <c r="BL132" s="49">
        <v>28</v>
      </c>
      <c r="BM132" s="50">
        <v>93.33333333333333</v>
      </c>
      <c r="BN132" s="49">
        <v>30</v>
      </c>
    </row>
    <row r="133" spans="1:66" ht="15">
      <c r="A133" s="65" t="s">
        <v>559</v>
      </c>
      <c r="B133" s="65" t="s">
        <v>559</v>
      </c>
      <c r="C133" s="66" t="s">
        <v>514</v>
      </c>
      <c r="D133" s="67">
        <v>10</v>
      </c>
      <c r="E133" s="66"/>
      <c r="F133" s="69">
        <v>15</v>
      </c>
      <c r="G133" s="66"/>
      <c r="H133" s="70"/>
      <c r="I133" s="71"/>
      <c r="J133" s="71"/>
      <c r="K133" s="35" t="s">
        <v>65</v>
      </c>
      <c r="L133" s="72">
        <v>133</v>
      </c>
      <c r="M133" s="72"/>
      <c r="N133" s="73"/>
      <c r="O133" s="80" t="s">
        <v>263</v>
      </c>
      <c r="P133" s="82">
        <v>44692.5190625</v>
      </c>
      <c r="Q133" s="80" t="s">
        <v>580</v>
      </c>
      <c r="R133" s="80"/>
      <c r="S133" s="80"/>
      <c r="T133" s="85" t="s">
        <v>596</v>
      </c>
      <c r="U133" s="83" t="str">
        <f>HYPERLINK("https://pbs.twimg.com/media/FSc09v5aQAAY6bm.jpg")</f>
        <v>https://pbs.twimg.com/media/FSc09v5aQAAY6bm.jpg</v>
      </c>
      <c r="V133" s="83" t="str">
        <f>HYPERLINK("https://pbs.twimg.com/media/FSc09v5aQAAY6bm.jpg")</f>
        <v>https://pbs.twimg.com/media/FSc09v5aQAAY6bm.jpg</v>
      </c>
      <c r="W133" s="82">
        <v>44692.5190625</v>
      </c>
      <c r="X133" s="87">
        <v>44692</v>
      </c>
      <c r="Y133" s="85" t="s">
        <v>643</v>
      </c>
      <c r="Z133" s="83" t="str">
        <f>HYPERLINK("https://twitter.com/letusbacktonz/status/1524365566693486592")</f>
        <v>https://twitter.com/letusbacktonz/status/1524365566693486592</v>
      </c>
      <c r="AA133" s="80"/>
      <c r="AB133" s="80"/>
      <c r="AC133" s="85" t="s">
        <v>697</v>
      </c>
      <c r="AD133" s="80"/>
      <c r="AE133" s="80" t="b">
        <v>0</v>
      </c>
      <c r="AF133" s="80">
        <v>0</v>
      </c>
      <c r="AG133" s="85" t="s">
        <v>267</v>
      </c>
      <c r="AH133" s="80" t="b">
        <v>0</v>
      </c>
      <c r="AI133" s="80" t="s">
        <v>268</v>
      </c>
      <c r="AJ133" s="80"/>
      <c r="AK133" s="85" t="s">
        <v>267</v>
      </c>
      <c r="AL133" s="80" t="b">
        <v>0</v>
      </c>
      <c r="AM133" s="80">
        <v>19</v>
      </c>
      <c r="AN133" s="85" t="s">
        <v>696</v>
      </c>
      <c r="AO133" s="85" t="s">
        <v>272</v>
      </c>
      <c r="AP133" s="80" t="b">
        <v>0</v>
      </c>
      <c r="AQ133" s="85" t="s">
        <v>696</v>
      </c>
      <c r="AR133" s="80" t="s">
        <v>218</v>
      </c>
      <c r="AS133" s="80">
        <v>0</v>
      </c>
      <c r="AT133" s="80">
        <v>0</v>
      </c>
      <c r="AU133" s="80"/>
      <c r="AV133" s="80"/>
      <c r="AW133" s="80"/>
      <c r="AX133" s="80"/>
      <c r="AY133" s="80"/>
      <c r="AZ133" s="80"/>
      <c r="BA133" s="80"/>
      <c r="BB133" s="80"/>
      <c r="BC133" s="80">
        <v>2</v>
      </c>
      <c r="BD133" s="79" t="str">
        <f>REPLACE(INDEX(GroupVertices[Group],MATCH(Edges[[#This Row],[Vertex 1]],GroupVertices[Vertex],0)),1,1,"")</f>
        <v>2</v>
      </c>
      <c r="BE133" s="79" t="str">
        <f>REPLACE(INDEX(GroupVertices[Group],MATCH(Edges[[#This Row],[Vertex 2]],GroupVertices[Vertex],0)),1,1,"")</f>
        <v>2</v>
      </c>
      <c r="BF133" s="49">
        <v>0</v>
      </c>
      <c r="BG133" s="50">
        <v>0</v>
      </c>
      <c r="BH133" s="49">
        <v>5</v>
      </c>
      <c r="BI133" s="50">
        <v>12.820512820512821</v>
      </c>
      <c r="BJ133" s="49">
        <v>0</v>
      </c>
      <c r="BK133" s="50">
        <v>0</v>
      </c>
      <c r="BL133" s="49">
        <v>34</v>
      </c>
      <c r="BM133" s="50">
        <v>87.17948717948718</v>
      </c>
      <c r="BN133" s="49">
        <v>39</v>
      </c>
    </row>
    <row r="134" spans="1:66" ht="15">
      <c r="A134" s="65" t="s">
        <v>559</v>
      </c>
      <c r="B134" s="65" t="s">
        <v>579</v>
      </c>
      <c r="C134" s="66" t="s">
        <v>513</v>
      </c>
      <c r="D134" s="67">
        <v>5</v>
      </c>
      <c r="E134" s="66"/>
      <c r="F134" s="69">
        <v>50</v>
      </c>
      <c r="G134" s="66"/>
      <c r="H134" s="70"/>
      <c r="I134" s="71"/>
      <c r="J134" s="71"/>
      <c r="K134" s="35" t="s">
        <v>65</v>
      </c>
      <c r="L134" s="72">
        <v>134</v>
      </c>
      <c r="M134" s="72"/>
      <c r="N134" s="73"/>
      <c r="O134" s="80" t="s">
        <v>261</v>
      </c>
      <c r="P134" s="82">
        <v>44693.23284722222</v>
      </c>
      <c r="Q134" s="80" t="s">
        <v>586</v>
      </c>
      <c r="R134" s="83" t="str">
        <f>HYPERLINK("https://twitter.com/LetusbacktoNZ/status/1524623401868214272")</f>
        <v>https://twitter.com/LetusbacktoNZ/status/1524623401868214272</v>
      </c>
      <c r="S134" s="80" t="s">
        <v>265</v>
      </c>
      <c r="T134" s="80"/>
      <c r="U134" s="80"/>
      <c r="V134" s="83" t="str">
        <f>HYPERLINK("https://pbs.twimg.com/profile_images/1423569281292271617/RHqRplkb_normal.jpg")</f>
        <v>https://pbs.twimg.com/profile_images/1423569281292271617/RHqRplkb_normal.jpg</v>
      </c>
      <c r="W134" s="82">
        <v>44693.23284722222</v>
      </c>
      <c r="X134" s="87">
        <v>44693</v>
      </c>
      <c r="Y134" s="85" t="s">
        <v>639</v>
      </c>
      <c r="Z134" s="83" t="str">
        <f>HYPERLINK("https://twitter.com/letusbacktonz/status/1524624235989442561")</f>
        <v>https://twitter.com/letusbacktonz/status/1524624235989442561</v>
      </c>
      <c r="AA134" s="80"/>
      <c r="AB134" s="80"/>
      <c r="AC134" s="85" t="s">
        <v>693</v>
      </c>
      <c r="AD134" s="80"/>
      <c r="AE134" s="80" t="b">
        <v>0</v>
      </c>
      <c r="AF134" s="80">
        <v>1</v>
      </c>
      <c r="AG134" s="85" t="s">
        <v>303</v>
      </c>
      <c r="AH134" s="80" t="b">
        <v>1</v>
      </c>
      <c r="AI134" s="80" t="s">
        <v>269</v>
      </c>
      <c r="AJ134" s="80"/>
      <c r="AK134" s="85" t="s">
        <v>692</v>
      </c>
      <c r="AL134" s="80" t="b">
        <v>0</v>
      </c>
      <c r="AM134" s="80">
        <v>1</v>
      </c>
      <c r="AN134" s="85" t="s">
        <v>267</v>
      </c>
      <c r="AO134" s="85" t="s">
        <v>270</v>
      </c>
      <c r="AP134" s="80" t="b">
        <v>0</v>
      </c>
      <c r="AQ134" s="85" t="s">
        <v>693</v>
      </c>
      <c r="AR134" s="80" t="s">
        <v>218</v>
      </c>
      <c r="AS134" s="80">
        <v>0</v>
      </c>
      <c r="AT134" s="80">
        <v>0</v>
      </c>
      <c r="AU134" s="80"/>
      <c r="AV134" s="80"/>
      <c r="AW134" s="80"/>
      <c r="AX134" s="80"/>
      <c r="AY134" s="80"/>
      <c r="AZ134" s="80"/>
      <c r="BA134" s="80"/>
      <c r="BB134" s="80"/>
      <c r="BC134" s="80">
        <v>1</v>
      </c>
      <c r="BD134" s="79" t="str">
        <f>REPLACE(INDEX(GroupVertices[Group],MATCH(Edges[[#This Row],[Vertex 1]],GroupVertices[Vertex],0)),1,1,"")</f>
        <v>2</v>
      </c>
      <c r="BE134" s="79" t="str">
        <f>REPLACE(INDEX(GroupVertices[Group],MATCH(Edges[[#This Row],[Vertex 2]],GroupVertices[Vertex],0)),1,1,"")</f>
        <v>3</v>
      </c>
      <c r="BF134" s="49"/>
      <c r="BG134" s="50"/>
      <c r="BH134" s="49"/>
      <c r="BI134" s="50"/>
      <c r="BJ134" s="49"/>
      <c r="BK134" s="50"/>
      <c r="BL134" s="49"/>
      <c r="BM134" s="50"/>
      <c r="BN134" s="49"/>
    </row>
    <row r="135" spans="1:66" ht="15">
      <c r="A135" s="65" t="s">
        <v>559</v>
      </c>
      <c r="B135" s="65" t="s">
        <v>521</v>
      </c>
      <c r="C135" s="66" t="s">
        <v>513</v>
      </c>
      <c r="D135" s="67">
        <v>5</v>
      </c>
      <c r="E135" s="66"/>
      <c r="F135" s="69">
        <v>50</v>
      </c>
      <c r="G135" s="66"/>
      <c r="H135" s="70"/>
      <c r="I135" s="71"/>
      <c r="J135" s="71"/>
      <c r="K135" s="35" t="s">
        <v>65</v>
      </c>
      <c r="L135" s="72">
        <v>135</v>
      </c>
      <c r="M135" s="72"/>
      <c r="N135" s="73"/>
      <c r="O135" s="80" t="s">
        <v>261</v>
      </c>
      <c r="P135" s="82">
        <v>44693.23284722222</v>
      </c>
      <c r="Q135" s="80" t="s">
        <v>586</v>
      </c>
      <c r="R135" s="83" t="str">
        <f>HYPERLINK("https://twitter.com/LetusbacktoNZ/status/1524623401868214272")</f>
        <v>https://twitter.com/LetusbacktoNZ/status/1524623401868214272</v>
      </c>
      <c r="S135" s="80" t="s">
        <v>265</v>
      </c>
      <c r="T135" s="80"/>
      <c r="U135" s="80"/>
      <c r="V135" s="83" t="str">
        <f>HYPERLINK("https://pbs.twimg.com/profile_images/1423569281292271617/RHqRplkb_normal.jpg")</f>
        <v>https://pbs.twimg.com/profile_images/1423569281292271617/RHqRplkb_normal.jpg</v>
      </c>
      <c r="W135" s="82">
        <v>44693.23284722222</v>
      </c>
      <c r="X135" s="87">
        <v>44693</v>
      </c>
      <c r="Y135" s="85" t="s">
        <v>639</v>
      </c>
      <c r="Z135" s="83" t="str">
        <f>HYPERLINK("https://twitter.com/letusbacktonz/status/1524624235989442561")</f>
        <v>https://twitter.com/letusbacktonz/status/1524624235989442561</v>
      </c>
      <c r="AA135" s="80"/>
      <c r="AB135" s="80"/>
      <c r="AC135" s="85" t="s">
        <v>693</v>
      </c>
      <c r="AD135" s="80"/>
      <c r="AE135" s="80" t="b">
        <v>0</v>
      </c>
      <c r="AF135" s="80">
        <v>1</v>
      </c>
      <c r="AG135" s="85" t="s">
        <v>303</v>
      </c>
      <c r="AH135" s="80" t="b">
        <v>1</v>
      </c>
      <c r="AI135" s="80" t="s">
        <v>269</v>
      </c>
      <c r="AJ135" s="80"/>
      <c r="AK135" s="85" t="s">
        <v>692</v>
      </c>
      <c r="AL135" s="80" t="b">
        <v>0</v>
      </c>
      <c r="AM135" s="80">
        <v>1</v>
      </c>
      <c r="AN135" s="85" t="s">
        <v>267</v>
      </c>
      <c r="AO135" s="85" t="s">
        <v>270</v>
      </c>
      <c r="AP135" s="80" t="b">
        <v>0</v>
      </c>
      <c r="AQ135" s="85" t="s">
        <v>693</v>
      </c>
      <c r="AR135" s="80" t="s">
        <v>218</v>
      </c>
      <c r="AS135" s="80">
        <v>0</v>
      </c>
      <c r="AT135" s="80">
        <v>0</v>
      </c>
      <c r="AU135" s="80"/>
      <c r="AV135" s="80"/>
      <c r="AW135" s="80"/>
      <c r="AX135" s="80"/>
      <c r="AY135" s="80"/>
      <c r="AZ135" s="80"/>
      <c r="BA135" s="80"/>
      <c r="BB135" s="80"/>
      <c r="BC135" s="80">
        <v>1</v>
      </c>
      <c r="BD135" s="79" t="str">
        <f>REPLACE(INDEX(GroupVertices[Group],MATCH(Edges[[#This Row],[Vertex 1]],GroupVertices[Vertex],0)),1,1,"")</f>
        <v>2</v>
      </c>
      <c r="BE135" s="79" t="str">
        <f>REPLACE(INDEX(GroupVertices[Group],MATCH(Edges[[#This Row],[Vertex 2]],GroupVertices[Vertex],0)),1,1,"")</f>
        <v>3</v>
      </c>
      <c r="BF135" s="49">
        <v>0</v>
      </c>
      <c r="BG135" s="50">
        <v>0</v>
      </c>
      <c r="BH135" s="49">
        <v>0</v>
      </c>
      <c r="BI135" s="50">
        <v>0</v>
      </c>
      <c r="BJ135" s="49">
        <v>0</v>
      </c>
      <c r="BK135" s="50">
        <v>0</v>
      </c>
      <c r="BL135" s="49">
        <v>20</v>
      </c>
      <c r="BM135" s="50">
        <v>100</v>
      </c>
      <c r="BN135" s="49">
        <v>20</v>
      </c>
    </row>
    <row r="136" spans="1:66" ht="15">
      <c r="A136" s="65" t="s">
        <v>559</v>
      </c>
      <c r="B136" s="65" t="s">
        <v>559</v>
      </c>
      <c r="C136" s="66" t="s">
        <v>514</v>
      </c>
      <c r="D136" s="67">
        <v>10</v>
      </c>
      <c r="E136" s="66"/>
      <c r="F136" s="69">
        <v>15</v>
      </c>
      <c r="G136" s="66"/>
      <c r="H136" s="70"/>
      <c r="I136" s="71"/>
      <c r="J136" s="71"/>
      <c r="K136" s="35" t="s">
        <v>65</v>
      </c>
      <c r="L136" s="72">
        <v>136</v>
      </c>
      <c r="M136" s="72"/>
      <c r="N136" s="73"/>
      <c r="O136" s="80" t="s">
        <v>218</v>
      </c>
      <c r="P136" s="82">
        <v>44695.21769675926</v>
      </c>
      <c r="Q136" s="80" t="s">
        <v>591</v>
      </c>
      <c r="R136" s="83" t="str">
        <f>HYPERLINK("https://www.indianweekender.co.nz/Pages/ArticleDetails/52/19649/Editorials/Why-govt-has-no-rationale-to-not-extend-expired-visas-of-migrant-workers-stuck?fbclid=IwAR2N6zafme4riiGzBLZrjOoQ2GFiFPa-YmoKXQrWtoZPkyviyXZRZBzs64k")</f>
        <v>https://www.indianweekender.co.nz/Pages/ArticleDetails/52/19649/Editorials/Why-govt-has-no-rationale-to-not-extend-expired-visas-of-migrant-workers-stuck?fbclid=IwAR2N6zafme4riiGzBLZrjOoQ2GFiFPa-YmoKXQrWtoZPkyviyXZRZBzs64k</v>
      </c>
      <c r="S136" s="80" t="s">
        <v>266</v>
      </c>
      <c r="T136" s="85" t="s">
        <v>599</v>
      </c>
      <c r="U136" s="80"/>
      <c r="V136" s="83" t="str">
        <f>HYPERLINK("https://pbs.twimg.com/profile_images/1423569281292271617/RHqRplkb_normal.jpg")</f>
        <v>https://pbs.twimg.com/profile_images/1423569281292271617/RHqRplkb_normal.jpg</v>
      </c>
      <c r="W136" s="82">
        <v>44695.21769675926</v>
      </c>
      <c r="X136" s="87">
        <v>44695</v>
      </c>
      <c r="Y136" s="85" t="s">
        <v>653</v>
      </c>
      <c r="Z136" s="83" t="str">
        <f>HYPERLINK("https://twitter.com/letusbacktonz/status/1525343522484011009")</f>
        <v>https://twitter.com/letusbacktonz/status/1525343522484011009</v>
      </c>
      <c r="AA136" s="80"/>
      <c r="AB136" s="80"/>
      <c r="AC136" s="85" t="s">
        <v>707</v>
      </c>
      <c r="AD136" s="80"/>
      <c r="AE136" s="80" t="b">
        <v>0</v>
      </c>
      <c r="AF136" s="80">
        <v>10</v>
      </c>
      <c r="AG136" s="85" t="s">
        <v>267</v>
      </c>
      <c r="AH136" s="80" t="b">
        <v>0</v>
      </c>
      <c r="AI136" s="80" t="s">
        <v>268</v>
      </c>
      <c r="AJ136" s="80"/>
      <c r="AK136" s="85" t="s">
        <v>267</v>
      </c>
      <c r="AL136" s="80" t="b">
        <v>0</v>
      </c>
      <c r="AM136" s="80">
        <v>11</v>
      </c>
      <c r="AN136" s="85" t="s">
        <v>267</v>
      </c>
      <c r="AO136" s="85" t="s">
        <v>270</v>
      </c>
      <c r="AP136" s="80" t="b">
        <v>0</v>
      </c>
      <c r="AQ136" s="85" t="s">
        <v>707</v>
      </c>
      <c r="AR136" s="80" t="s">
        <v>218</v>
      </c>
      <c r="AS136" s="80">
        <v>0</v>
      </c>
      <c r="AT136" s="80">
        <v>0</v>
      </c>
      <c r="AU136" s="80"/>
      <c r="AV136" s="80"/>
      <c r="AW136" s="80"/>
      <c r="AX136" s="80"/>
      <c r="AY136" s="80"/>
      <c r="AZ136" s="80"/>
      <c r="BA136" s="80"/>
      <c r="BB136" s="80"/>
      <c r="BC136" s="80">
        <v>2</v>
      </c>
      <c r="BD136" s="79" t="str">
        <f>REPLACE(INDEX(GroupVertices[Group],MATCH(Edges[[#This Row],[Vertex 1]],GroupVertices[Vertex],0)),1,1,"")</f>
        <v>2</v>
      </c>
      <c r="BE136" s="79" t="str">
        <f>REPLACE(INDEX(GroupVertices[Group],MATCH(Edges[[#This Row],[Vertex 2]],GroupVertices[Vertex],0)),1,1,"")</f>
        <v>2</v>
      </c>
      <c r="BF136" s="49">
        <v>1</v>
      </c>
      <c r="BG136" s="50">
        <v>2.3255813953488373</v>
      </c>
      <c r="BH136" s="49">
        <v>4</v>
      </c>
      <c r="BI136" s="50">
        <v>9.30232558139535</v>
      </c>
      <c r="BJ136" s="49">
        <v>0</v>
      </c>
      <c r="BK136" s="50">
        <v>0</v>
      </c>
      <c r="BL136" s="49">
        <v>38</v>
      </c>
      <c r="BM136" s="50">
        <v>88.37209302325581</v>
      </c>
      <c r="BN136" s="49">
        <v>43</v>
      </c>
    </row>
    <row r="137" spans="1:66" ht="15">
      <c r="A137" s="65" t="s">
        <v>563</v>
      </c>
      <c r="B137" s="65" t="s">
        <v>559</v>
      </c>
      <c r="C137" s="66" t="s">
        <v>513</v>
      </c>
      <c r="D137" s="67">
        <v>5</v>
      </c>
      <c r="E137" s="66"/>
      <c r="F137" s="69">
        <v>50</v>
      </c>
      <c r="G137" s="66"/>
      <c r="H137" s="70"/>
      <c r="I137" s="71"/>
      <c r="J137" s="71"/>
      <c r="K137" s="35" t="s">
        <v>65</v>
      </c>
      <c r="L137" s="72">
        <v>137</v>
      </c>
      <c r="M137" s="72"/>
      <c r="N137" s="73"/>
      <c r="O137" s="80" t="s">
        <v>261</v>
      </c>
      <c r="P137" s="82">
        <v>44697.813726851855</v>
      </c>
      <c r="Q137" s="80" t="s">
        <v>592</v>
      </c>
      <c r="R137" s="83" t="str">
        <f>HYPERLINK("https://nodexlgraphgallery.org/Pages/Graph.aspx?graphID=276416")</f>
        <v>https://nodexlgraphgallery.org/Pages/Graph.aspx?graphID=276416</v>
      </c>
      <c r="S137" s="80" t="s">
        <v>595</v>
      </c>
      <c r="T137" s="85" t="s">
        <v>600</v>
      </c>
      <c r="U137" s="80"/>
      <c r="V137" s="83" t="str">
        <f>HYPERLINK("https://pbs.twimg.com/profile_images/508785422617440256/-sHWScrw_normal.png")</f>
        <v>https://pbs.twimg.com/profile_images/508785422617440256/-sHWScrw_normal.png</v>
      </c>
      <c r="W137" s="82">
        <v>44697.813726851855</v>
      </c>
      <c r="X137" s="87">
        <v>44697</v>
      </c>
      <c r="Y137" s="85" t="s">
        <v>654</v>
      </c>
      <c r="Z137" s="83" t="str">
        <f>HYPERLINK("https://twitter.com/smartkiwis/status/1526284290048159744")</f>
        <v>https://twitter.com/smartkiwis/status/1526284290048159744</v>
      </c>
      <c r="AA137" s="80"/>
      <c r="AB137" s="80"/>
      <c r="AC137" s="85" t="s">
        <v>708</v>
      </c>
      <c r="AD137" s="80"/>
      <c r="AE137" s="80" t="b">
        <v>0</v>
      </c>
      <c r="AF137" s="80">
        <v>0</v>
      </c>
      <c r="AG137" s="85" t="s">
        <v>267</v>
      </c>
      <c r="AH137" s="80" t="b">
        <v>0</v>
      </c>
      <c r="AI137" s="80" t="s">
        <v>268</v>
      </c>
      <c r="AJ137" s="80"/>
      <c r="AK137" s="85" t="s">
        <v>267</v>
      </c>
      <c r="AL137" s="80" t="b">
        <v>0</v>
      </c>
      <c r="AM137" s="80">
        <v>0</v>
      </c>
      <c r="AN137" s="85" t="s">
        <v>267</v>
      </c>
      <c r="AO137" s="85" t="s">
        <v>270</v>
      </c>
      <c r="AP137" s="80" t="b">
        <v>0</v>
      </c>
      <c r="AQ137" s="85" t="s">
        <v>708</v>
      </c>
      <c r="AR137" s="80" t="s">
        <v>218</v>
      </c>
      <c r="AS137" s="80">
        <v>0</v>
      </c>
      <c r="AT137" s="80">
        <v>0</v>
      </c>
      <c r="AU137" s="80"/>
      <c r="AV137" s="80"/>
      <c r="AW137" s="80"/>
      <c r="AX137" s="80"/>
      <c r="AY137" s="80"/>
      <c r="AZ137" s="80"/>
      <c r="BA137" s="80"/>
      <c r="BB137" s="80"/>
      <c r="BC137" s="80">
        <v>1</v>
      </c>
      <c r="BD137" s="79" t="str">
        <f>REPLACE(INDEX(GroupVertices[Group],MATCH(Edges[[#This Row],[Vertex 1]],GroupVertices[Vertex],0)),1,1,"")</f>
        <v>3</v>
      </c>
      <c r="BE137" s="79" t="str">
        <f>REPLACE(INDEX(GroupVertices[Group],MATCH(Edges[[#This Row],[Vertex 2]],GroupVertices[Vertex],0)),1,1,"")</f>
        <v>2</v>
      </c>
      <c r="BF137" s="49"/>
      <c r="BG137" s="50"/>
      <c r="BH137" s="49"/>
      <c r="BI137" s="50"/>
      <c r="BJ137" s="49"/>
      <c r="BK137" s="50"/>
      <c r="BL137" s="49"/>
      <c r="BM137" s="50"/>
      <c r="BN137" s="49"/>
    </row>
    <row r="138" spans="1:66" ht="15">
      <c r="A138" s="65" t="s">
        <v>563</v>
      </c>
      <c r="B138" s="65" t="s">
        <v>257</v>
      </c>
      <c r="C138" s="66" t="s">
        <v>513</v>
      </c>
      <c r="D138" s="67">
        <v>5</v>
      </c>
      <c r="E138" s="66"/>
      <c r="F138" s="69">
        <v>50</v>
      </c>
      <c r="G138" s="66"/>
      <c r="H138" s="70"/>
      <c r="I138" s="71"/>
      <c r="J138" s="71"/>
      <c r="K138" s="35" t="s">
        <v>65</v>
      </c>
      <c r="L138" s="72">
        <v>138</v>
      </c>
      <c r="M138" s="72"/>
      <c r="N138" s="73"/>
      <c r="O138" s="80" t="s">
        <v>261</v>
      </c>
      <c r="P138" s="82">
        <v>44697.813726851855</v>
      </c>
      <c r="Q138" s="80" t="s">
        <v>592</v>
      </c>
      <c r="R138" s="83" t="str">
        <f>HYPERLINK("https://nodexlgraphgallery.org/Pages/Graph.aspx?graphID=276416")</f>
        <v>https://nodexlgraphgallery.org/Pages/Graph.aspx?graphID=276416</v>
      </c>
      <c r="S138" s="80" t="s">
        <v>595</v>
      </c>
      <c r="T138" s="85" t="s">
        <v>600</v>
      </c>
      <c r="U138" s="80"/>
      <c r="V138" s="83" t="str">
        <f>HYPERLINK("https://pbs.twimg.com/profile_images/508785422617440256/-sHWScrw_normal.png")</f>
        <v>https://pbs.twimg.com/profile_images/508785422617440256/-sHWScrw_normal.png</v>
      </c>
      <c r="W138" s="82">
        <v>44697.813726851855</v>
      </c>
      <c r="X138" s="87">
        <v>44697</v>
      </c>
      <c r="Y138" s="85" t="s">
        <v>654</v>
      </c>
      <c r="Z138" s="83" t="str">
        <f>HYPERLINK("https://twitter.com/smartkiwis/status/1526284290048159744")</f>
        <v>https://twitter.com/smartkiwis/status/1526284290048159744</v>
      </c>
      <c r="AA138" s="80"/>
      <c r="AB138" s="80"/>
      <c r="AC138" s="85" t="s">
        <v>708</v>
      </c>
      <c r="AD138" s="80"/>
      <c r="AE138" s="80" t="b">
        <v>0</v>
      </c>
      <c r="AF138" s="80">
        <v>0</v>
      </c>
      <c r="AG138" s="85" t="s">
        <v>267</v>
      </c>
      <c r="AH138" s="80" t="b">
        <v>0</v>
      </c>
      <c r="AI138" s="80" t="s">
        <v>268</v>
      </c>
      <c r="AJ138" s="80"/>
      <c r="AK138" s="85" t="s">
        <v>267</v>
      </c>
      <c r="AL138" s="80" t="b">
        <v>0</v>
      </c>
      <c r="AM138" s="80">
        <v>0</v>
      </c>
      <c r="AN138" s="85" t="s">
        <v>267</v>
      </c>
      <c r="AO138" s="85" t="s">
        <v>270</v>
      </c>
      <c r="AP138" s="80" t="b">
        <v>0</v>
      </c>
      <c r="AQ138" s="85" t="s">
        <v>708</v>
      </c>
      <c r="AR138" s="80" t="s">
        <v>218</v>
      </c>
      <c r="AS138" s="80">
        <v>0</v>
      </c>
      <c r="AT138" s="80">
        <v>0</v>
      </c>
      <c r="AU138" s="80"/>
      <c r="AV138" s="80"/>
      <c r="AW138" s="80"/>
      <c r="AX138" s="80"/>
      <c r="AY138" s="80"/>
      <c r="AZ138" s="80"/>
      <c r="BA138" s="80"/>
      <c r="BB138" s="80"/>
      <c r="BC138" s="80">
        <v>1</v>
      </c>
      <c r="BD138" s="79" t="str">
        <f>REPLACE(INDEX(GroupVertices[Group],MATCH(Edges[[#This Row],[Vertex 1]],GroupVertices[Vertex],0)),1,1,"")</f>
        <v>3</v>
      </c>
      <c r="BE138" s="79" t="str">
        <f>REPLACE(INDEX(GroupVertices[Group],MATCH(Edges[[#This Row],[Vertex 2]],GroupVertices[Vertex],0)),1,1,"")</f>
        <v>3</v>
      </c>
      <c r="BF138" s="49"/>
      <c r="BG138" s="50"/>
      <c r="BH138" s="49"/>
      <c r="BI138" s="50"/>
      <c r="BJ138" s="49"/>
      <c r="BK138" s="50"/>
      <c r="BL138" s="49"/>
      <c r="BM138" s="50"/>
      <c r="BN138" s="49"/>
    </row>
    <row r="139" spans="1:66" ht="15">
      <c r="A139" s="65" t="s">
        <v>563</v>
      </c>
      <c r="B139" s="65" t="s">
        <v>521</v>
      </c>
      <c r="C139" s="66" t="s">
        <v>513</v>
      </c>
      <c r="D139" s="67">
        <v>5</v>
      </c>
      <c r="E139" s="66"/>
      <c r="F139" s="69">
        <v>50</v>
      </c>
      <c r="G139" s="66"/>
      <c r="H139" s="70"/>
      <c r="I139" s="71"/>
      <c r="J139" s="71"/>
      <c r="K139" s="35" t="s">
        <v>65</v>
      </c>
      <c r="L139" s="72">
        <v>139</v>
      </c>
      <c r="M139" s="72"/>
      <c r="N139" s="73"/>
      <c r="O139" s="80" t="s">
        <v>261</v>
      </c>
      <c r="P139" s="82">
        <v>44697.813726851855</v>
      </c>
      <c r="Q139" s="80" t="s">
        <v>592</v>
      </c>
      <c r="R139" s="83" t="str">
        <f>HYPERLINK("https://nodexlgraphgallery.org/Pages/Graph.aspx?graphID=276416")</f>
        <v>https://nodexlgraphgallery.org/Pages/Graph.aspx?graphID=276416</v>
      </c>
      <c r="S139" s="80" t="s">
        <v>595</v>
      </c>
      <c r="T139" s="85" t="s">
        <v>600</v>
      </c>
      <c r="U139" s="80"/>
      <c r="V139" s="83" t="str">
        <f>HYPERLINK("https://pbs.twimg.com/profile_images/508785422617440256/-sHWScrw_normal.png")</f>
        <v>https://pbs.twimg.com/profile_images/508785422617440256/-sHWScrw_normal.png</v>
      </c>
      <c r="W139" s="82">
        <v>44697.813726851855</v>
      </c>
      <c r="X139" s="87">
        <v>44697</v>
      </c>
      <c r="Y139" s="85" t="s">
        <v>654</v>
      </c>
      <c r="Z139" s="83" t="str">
        <f>HYPERLINK("https://twitter.com/smartkiwis/status/1526284290048159744")</f>
        <v>https://twitter.com/smartkiwis/status/1526284290048159744</v>
      </c>
      <c r="AA139" s="80"/>
      <c r="AB139" s="80"/>
      <c r="AC139" s="85" t="s">
        <v>708</v>
      </c>
      <c r="AD139" s="80"/>
      <c r="AE139" s="80" t="b">
        <v>0</v>
      </c>
      <c r="AF139" s="80">
        <v>0</v>
      </c>
      <c r="AG139" s="85" t="s">
        <v>267</v>
      </c>
      <c r="AH139" s="80" t="b">
        <v>0</v>
      </c>
      <c r="AI139" s="80" t="s">
        <v>268</v>
      </c>
      <c r="AJ139" s="80"/>
      <c r="AK139" s="85" t="s">
        <v>267</v>
      </c>
      <c r="AL139" s="80" t="b">
        <v>0</v>
      </c>
      <c r="AM139" s="80">
        <v>0</v>
      </c>
      <c r="AN139" s="85" t="s">
        <v>267</v>
      </c>
      <c r="AO139" s="85" t="s">
        <v>270</v>
      </c>
      <c r="AP139" s="80" t="b">
        <v>0</v>
      </c>
      <c r="AQ139" s="85" t="s">
        <v>708</v>
      </c>
      <c r="AR139" s="80" t="s">
        <v>218</v>
      </c>
      <c r="AS139" s="80">
        <v>0</v>
      </c>
      <c r="AT139" s="80">
        <v>0</v>
      </c>
      <c r="AU139" s="80"/>
      <c r="AV139" s="80"/>
      <c r="AW139" s="80"/>
      <c r="AX139" s="80"/>
      <c r="AY139" s="80"/>
      <c r="AZ139" s="80"/>
      <c r="BA139" s="80"/>
      <c r="BB139" s="80"/>
      <c r="BC139" s="80">
        <v>1</v>
      </c>
      <c r="BD139" s="79" t="str">
        <f>REPLACE(INDEX(GroupVertices[Group],MATCH(Edges[[#This Row],[Vertex 1]],GroupVertices[Vertex],0)),1,1,"")</f>
        <v>3</v>
      </c>
      <c r="BE139" s="79" t="str">
        <f>REPLACE(INDEX(GroupVertices[Group],MATCH(Edges[[#This Row],[Vertex 2]],GroupVertices[Vertex],0)),1,1,"")</f>
        <v>3</v>
      </c>
      <c r="BF139" s="49"/>
      <c r="BG139" s="50"/>
      <c r="BH139" s="49"/>
      <c r="BI139" s="50"/>
      <c r="BJ139" s="49"/>
      <c r="BK139" s="50"/>
      <c r="BL139" s="49"/>
      <c r="BM139" s="50"/>
      <c r="BN139" s="49"/>
    </row>
    <row r="140" spans="1:66" ht="15">
      <c r="A140" s="65" t="s">
        <v>563</v>
      </c>
      <c r="B140" s="65" t="s">
        <v>256</v>
      </c>
      <c r="C140" s="66" t="s">
        <v>513</v>
      </c>
      <c r="D140" s="67">
        <v>5</v>
      </c>
      <c r="E140" s="66"/>
      <c r="F140" s="69">
        <v>50</v>
      </c>
      <c r="G140" s="66"/>
      <c r="H140" s="70"/>
      <c r="I140" s="71"/>
      <c r="J140" s="71"/>
      <c r="K140" s="35" t="s">
        <v>65</v>
      </c>
      <c r="L140" s="72">
        <v>140</v>
      </c>
      <c r="M140" s="72"/>
      <c r="N140" s="73"/>
      <c r="O140" s="80" t="s">
        <v>261</v>
      </c>
      <c r="P140" s="82">
        <v>44697.813726851855</v>
      </c>
      <c r="Q140" s="80" t="s">
        <v>592</v>
      </c>
      <c r="R140" s="83" t="str">
        <f>HYPERLINK("https://nodexlgraphgallery.org/Pages/Graph.aspx?graphID=276416")</f>
        <v>https://nodexlgraphgallery.org/Pages/Graph.aspx?graphID=276416</v>
      </c>
      <c r="S140" s="80" t="s">
        <v>595</v>
      </c>
      <c r="T140" s="85" t="s">
        <v>600</v>
      </c>
      <c r="U140" s="80"/>
      <c r="V140" s="83" t="str">
        <f>HYPERLINK("https://pbs.twimg.com/profile_images/508785422617440256/-sHWScrw_normal.png")</f>
        <v>https://pbs.twimg.com/profile_images/508785422617440256/-sHWScrw_normal.png</v>
      </c>
      <c r="W140" s="82">
        <v>44697.813726851855</v>
      </c>
      <c r="X140" s="87">
        <v>44697</v>
      </c>
      <c r="Y140" s="85" t="s">
        <v>654</v>
      </c>
      <c r="Z140" s="83" t="str">
        <f>HYPERLINK("https://twitter.com/smartkiwis/status/1526284290048159744")</f>
        <v>https://twitter.com/smartkiwis/status/1526284290048159744</v>
      </c>
      <c r="AA140" s="80"/>
      <c r="AB140" s="80"/>
      <c r="AC140" s="85" t="s">
        <v>708</v>
      </c>
      <c r="AD140" s="80"/>
      <c r="AE140" s="80" t="b">
        <v>0</v>
      </c>
      <c r="AF140" s="80">
        <v>0</v>
      </c>
      <c r="AG140" s="85" t="s">
        <v>267</v>
      </c>
      <c r="AH140" s="80" t="b">
        <v>0</v>
      </c>
      <c r="AI140" s="80" t="s">
        <v>268</v>
      </c>
      <c r="AJ140" s="80"/>
      <c r="AK140" s="85" t="s">
        <v>267</v>
      </c>
      <c r="AL140" s="80" t="b">
        <v>0</v>
      </c>
      <c r="AM140" s="80">
        <v>0</v>
      </c>
      <c r="AN140" s="85" t="s">
        <v>267</v>
      </c>
      <c r="AO140" s="85" t="s">
        <v>270</v>
      </c>
      <c r="AP140" s="80" t="b">
        <v>0</v>
      </c>
      <c r="AQ140" s="85" t="s">
        <v>708</v>
      </c>
      <c r="AR140" s="80" t="s">
        <v>218</v>
      </c>
      <c r="AS140" s="80">
        <v>0</v>
      </c>
      <c r="AT140" s="80">
        <v>0</v>
      </c>
      <c r="AU140" s="80"/>
      <c r="AV140" s="80"/>
      <c r="AW140" s="80"/>
      <c r="AX140" s="80"/>
      <c r="AY140" s="80"/>
      <c r="AZ140" s="80"/>
      <c r="BA140" s="80"/>
      <c r="BB140" s="80"/>
      <c r="BC140" s="80">
        <v>1</v>
      </c>
      <c r="BD140" s="79" t="str">
        <f>REPLACE(INDEX(GroupVertices[Group],MATCH(Edges[[#This Row],[Vertex 1]],GroupVertices[Vertex],0)),1,1,"")</f>
        <v>3</v>
      </c>
      <c r="BE140" s="79" t="str">
        <f>REPLACE(INDEX(GroupVertices[Group],MATCH(Edges[[#This Row],[Vertex 2]],GroupVertices[Vertex],0)),1,1,"")</f>
        <v>3</v>
      </c>
      <c r="BF140" s="49">
        <v>1</v>
      </c>
      <c r="BG140" s="50">
        <v>4.166666666666667</v>
      </c>
      <c r="BH140" s="49">
        <v>1</v>
      </c>
      <c r="BI140" s="50">
        <v>4.166666666666667</v>
      </c>
      <c r="BJ140" s="49">
        <v>0</v>
      </c>
      <c r="BK140" s="50">
        <v>0</v>
      </c>
      <c r="BL140" s="49">
        <v>22</v>
      </c>
      <c r="BM140" s="50">
        <v>91.66666666666667</v>
      </c>
      <c r="BN140" s="49">
        <v>24</v>
      </c>
    </row>
    <row r="141" spans="1:66" ht="15">
      <c r="A141" s="65" t="s">
        <v>563</v>
      </c>
      <c r="B141" s="65" t="s">
        <v>579</v>
      </c>
      <c r="C141" s="66" t="s">
        <v>513</v>
      </c>
      <c r="D141" s="67">
        <v>5</v>
      </c>
      <c r="E141" s="66"/>
      <c r="F141" s="69">
        <v>50</v>
      </c>
      <c r="G141" s="66"/>
      <c r="H141" s="70"/>
      <c r="I141" s="71"/>
      <c r="J141" s="71"/>
      <c r="K141" s="35" t="s">
        <v>65</v>
      </c>
      <c r="L141" s="72">
        <v>141</v>
      </c>
      <c r="M141" s="72"/>
      <c r="N141" s="73"/>
      <c r="O141" s="80" t="s">
        <v>261</v>
      </c>
      <c r="P141" s="82">
        <v>44697.813726851855</v>
      </c>
      <c r="Q141" s="80" t="s">
        <v>592</v>
      </c>
      <c r="R141" s="83" t="str">
        <f>HYPERLINK("https://nodexlgraphgallery.org/Pages/Graph.aspx?graphID=276416")</f>
        <v>https://nodexlgraphgallery.org/Pages/Graph.aspx?graphID=276416</v>
      </c>
      <c r="S141" s="80" t="s">
        <v>595</v>
      </c>
      <c r="T141" s="85" t="s">
        <v>600</v>
      </c>
      <c r="U141" s="80"/>
      <c r="V141" s="83" t="str">
        <f>HYPERLINK("https://pbs.twimg.com/profile_images/508785422617440256/-sHWScrw_normal.png")</f>
        <v>https://pbs.twimg.com/profile_images/508785422617440256/-sHWScrw_normal.png</v>
      </c>
      <c r="W141" s="82">
        <v>44697.813726851855</v>
      </c>
      <c r="X141" s="87">
        <v>44697</v>
      </c>
      <c r="Y141" s="85" t="s">
        <v>654</v>
      </c>
      <c r="Z141" s="83" t="str">
        <f>HYPERLINK("https://twitter.com/smartkiwis/status/1526284290048159744")</f>
        <v>https://twitter.com/smartkiwis/status/1526284290048159744</v>
      </c>
      <c r="AA141" s="80"/>
      <c r="AB141" s="80"/>
      <c r="AC141" s="85" t="s">
        <v>708</v>
      </c>
      <c r="AD141" s="80"/>
      <c r="AE141" s="80" t="b">
        <v>0</v>
      </c>
      <c r="AF141" s="80">
        <v>0</v>
      </c>
      <c r="AG141" s="85" t="s">
        <v>267</v>
      </c>
      <c r="AH141" s="80" t="b">
        <v>0</v>
      </c>
      <c r="AI141" s="80" t="s">
        <v>268</v>
      </c>
      <c r="AJ141" s="80"/>
      <c r="AK141" s="85" t="s">
        <v>267</v>
      </c>
      <c r="AL141" s="80" t="b">
        <v>0</v>
      </c>
      <c r="AM141" s="80">
        <v>0</v>
      </c>
      <c r="AN141" s="85" t="s">
        <v>267</v>
      </c>
      <c r="AO141" s="85" t="s">
        <v>270</v>
      </c>
      <c r="AP141" s="80" t="b">
        <v>0</v>
      </c>
      <c r="AQ141" s="85" t="s">
        <v>708</v>
      </c>
      <c r="AR141" s="80" t="s">
        <v>218</v>
      </c>
      <c r="AS141" s="80">
        <v>0</v>
      </c>
      <c r="AT141" s="80">
        <v>0</v>
      </c>
      <c r="AU141" s="80"/>
      <c r="AV141" s="80"/>
      <c r="AW141" s="80"/>
      <c r="AX141" s="80"/>
      <c r="AY141" s="80"/>
      <c r="AZ141" s="80"/>
      <c r="BA141" s="80"/>
      <c r="BB141" s="80"/>
      <c r="BC141" s="80">
        <v>1</v>
      </c>
      <c r="BD141" s="79" t="str">
        <f>REPLACE(INDEX(GroupVertices[Group],MATCH(Edges[[#This Row],[Vertex 1]],GroupVertices[Vertex],0)),1,1,"")</f>
        <v>3</v>
      </c>
      <c r="BE141" s="79" t="str">
        <f>REPLACE(INDEX(GroupVertices[Group],MATCH(Edges[[#This Row],[Vertex 2]],GroupVertices[Vertex],0)),1,1,"")</f>
        <v>3</v>
      </c>
      <c r="BF141" s="49"/>
      <c r="BG141" s="50"/>
      <c r="BH141" s="49"/>
      <c r="BI141" s="50"/>
      <c r="BJ141" s="49"/>
      <c r="BK141" s="50"/>
      <c r="BL141" s="49"/>
      <c r="BM141" s="50"/>
      <c r="BN141" s="49"/>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1"/>
    <dataValidation allowBlank="1" showErrorMessage="1" sqref="N2:N1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1"/>
    <dataValidation allowBlank="1" showInputMessage="1" promptTitle="Edge Color" prompt="To select an optional edge color, right-click and select Select Color on the right-click menu." sqref="C3:C141"/>
    <dataValidation allowBlank="1" showInputMessage="1" promptTitle="Edge Width" prompt="Enter an optional edge width between 1 and 10." errorTitle="Invalid Edge Width" error="The optional edge width must be a whole number between 1 and 10." sqref="D3:D141"/>
    <dataValidation allowBlank="1" showInputMessage="1" promptTitle="Edge Opacity" prompt="Enter an optional edge opacity between 0 (transparent) and 100 (opaque)." errorTitle="Invalid Edge Opacity" error="The optional edge opacity must be a whole number between 0 and 10." sqref="F3:F1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1">
      <formula1>ValidEdgeVisibilities</formula1>
    </dataValidation>
    <dataValidation allowBlank="1" showInputMessage="1" showErrorMessage="1" promptTitle="Vertex 1 Name" prompt="Enter the name of the edge's first vertex." sqref="A3:A141"/>
    <dataValidation allowBlank="1" showInputMessage="1" showErrorMessage="1" promptTitle="Vertex 2 Name" prompt="Enter the name of the edge's second vertex." sqref="B3:B141"/>
    <dataValidation allowBlank="1" showInputMessage="1" showErrorMessage="1" promptTitle="Edge Label" prompt="Enter an optional edge label." errorTitle="Invalid Edge Visibility" error="You have entered an unrecognized edge visibility.  Try selecting from the drop-down list instead." sqref="H3:H1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1"/>
  </dataValidations>
  <hyperlinks>
    <hyperlink ref="R94" r:id="rId1" display="https://www.newshub.co.nz/home/politics/2022/05/green-party-co-leader-marama-davidson-slams-government-s-new-immigration-policies-labels-them-racist-inhumane-and-discriminatory.html?cid=soc3%3Anewshubfb&amp;fbclid=IwAR3bXR4HspOrRRMRqByv9DhUnsp1gOrtf2pCfYOt7eM5fBx3UdmAOpEGcFQ"/>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CBC30-5AEF-47D2-8D36-7EBA4C502314}">
  <dimension ref="A1:C1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406</v>
      </c>
      <c r="B2" s="96" t="s">
        <v>407</v>
      </c>
      <c r="C2" s="54" t="s">
        <v>408</v>
      </c>
    </row>
    <row r="3" spans="1:3" ht="15">
      <c r="A3" s="95" t="s">
        <v>321</v>
      </c>
      <c r="B3" s="95" t="s">
        <v>321</v>
      </c>
      <c r="C3" s="35">
        <v>52</v>
      </c>
    </row>
    <row r="4" spans="1:3" ht="15">
      <c r="A4" s="95" t="s">
        <v>321</v>
      </c>
      <c r="B4" s="115" t="s">
        <v>322</v>
      </c>
      <c r="C4" s="35">
        <v>39</v>
      </c>
    </row>
    <row r="5" spans="1:3" ht="15">
      <c r="A5" s="95" t="s">
        <v>322</v>
      </c>
      <c r="B5" s="115" t="s">
        <v>321</v>
      </c>
      <c r="C5" s="35">
        <v>9</v>
      </c>
    </row>
    <row r="6" spans="1:3" ht="15">
      <c r="A6" s="95" t="s">
        <v>322</v>
      </c>
      <c r="B6" s="115" t="s">
        <v>322</v>
      </c>
      <c r="C6" s="35">
        <v>21</v>
      </c>
    </row>
    <row r="7" spans="1:3" ht="15">
      <c r="A7" s="95" t="s">
        <v>322</v>
      </c>
      <c r="B7" s="115" t="s">
        <v>323</v>
      </c>
      <c r="C7" s="35">
        <v>2</v>
      </c>
    </row>
    <row r="8" spans="1:3" ht="15">
      <c r="A8" s="95" t="s">
        <v>322</v>
      </c>
      <c r="B8" s="115" t="s">
        <v>324</v>
      </c>
      <c r="C8" s="35">
        <v>1</v>
      </c>
    </row>
    <row r="9" spans="1:3" ht="15">
      <c r="A9" s="95" t="s">
        <v>323</v>
      </c>
      <c r="B9" s="115" t="s">
        <v>322</v>
      </c>
      <c r="C9" s="35">
        <v>1</v>
      </c>
    </row>
    <row r="10" spans="1:3" ht="15">
      <c r="A10" s="95" t="s">
        <v>323</v>
      </c>
      <c r="B10" s="115" t="s">
        <v>323</v>
      </c>
      <c r="C10" s="35">
        <v>4</v>
      </c>
    </row>
    <row r="11" spans="1:3" ht="15">
      <c r="A11" s="95" t="s">
        <v>324</v>
      </c>
      <c r="B11" s="115" t="s">
        <v>321</v>
      </c>
      <c r="C11" s="35">
        <v>3</v>
      </c>
    </row>
    <row r="12" spans="1:3" ht="15">
      <c r="A12" s="95" t="s">
        <v>324</v>
      </c>
      <c r="B12" s="115" t="s">
        <v>322</v>
      </c>
      <c r="C12" s="35">
        <v>4</v>
      </c>
    </row>
    <row r="13" spans="1:3" ht="15">
      <c r="A13" s="116" t="s">
        <v>324</v>
      </c>
      <c r="B13" s="115" t="s">
        <v>324</v>
      </c>
      <c r="C13" s="35">
        <v>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D389C-EAD3-470C-8259-311BC0462CC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428</v>
      </c>
      <c r="B1" s="13" t="s">
        <v>17</v>
      </c>
    </row>
    <row r="2" spans="1:2" ht="15">
      <c r="A2" s="79" t="s">
        <v>429</v>
      </c>
      <c r="B2" s="79" t="s">
        <v>435</v>
      </c>
    </row>
    <row r="3" spans="1:2" ht="15">
      <c r="A3" s="80" t="s">
        <v>430</v>
      </c>
      <c r="B3" s="79" t="s">
        <v>436</v>
      </c>
    </row>
    <row r="4" spans="1:2" ht="15">
      <c r="A4" s="80" t="s">
        <v>431</v>
      </c>
      <c r="B4" s="79" t="s">
        <v>437</v>
      </c>
    </row>
    <row r="5" spans="1:2" ht="15">
      <c r="A5" s="80" t="s">
        <v>432</v>
      </c>
      <c r="B5" s="79" t="s">
        <v>438</v>
      </c>
    </row>
    <row r="6" spans="1:2" ht="15">
      <c r="A6" s="80" t="s">
        <v>433</v>
      </c>
      <c r="B6" s="79" t="s">
        <v>439</v>
      </c>
    </row>
    <row r="7" spans="1:2" ht="15">
      <c r="A7" s="80" t="s">
        <v>434</v>
      </c>
      <c r="B7"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9306C-E8BA-4E24-B2AE-62EDD35BC899}">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440</v>
      </c>
      <c r="B1" s="13" t="s">
        <v>34</v>
      </c>
    </row>
    <row r="2" spans="1:2" ht="15">
      <c r="A2" s="90" t="s">
        <v>559</v>
      </c>
      <c r="B2" s="79">
        <v>1882.277778</v>
      </c>
    </row>
    <row r="3" spans="1:2" ht="15">
      <c r="A3" s="91" t="s">
        <v>563</v>
      </c>
      <c r="B3" s="79">
        <v>187</v>
      </c>
    </row>
    <row r="4" spans="1:2" ht="15">
      <c r="A4" s="91" t="s">
        <v>519</v>
      </c>
      <c r="B4" s="79">
        <v>164.166667</v>
      </c>
    </row>
    <row r="5" spans="1:2" ht="15">
      <c r="A5" s="91" t="s">
        <v>258</v>
      </c>
      <c r="B5" s="79">
        <v>90.166667</v>
      </c>
    </row>
    <row r="6" spans="1:2" ht="15">
      <c r="A6" s="91" t="s">
        <v>555</v>
      </c>
      <c r="B6" s="79">
        <v>4.111111</v>
      </c>
    </row>
    <row r="7" spans="1:2" ht="15">
      <c r="A7" s="91" t="s">
        <v>562</v>
      </c>
      <c r="B7" s="79">
        <v>1.5</v>
      </c>
    </row>
    <row r="8" spans="1:2" ht="15">
      <c r="A8" s="91" t="s">
        <v>557</v>
      </c>
      <c r="B8" s="79">
        <v>1.111111</v>
      </c>
    </row>
    <row r="9" spans="1:2" ht="15">
      <c r="A9" s="91" t="s">
        <v>558</v>
      </c>
      <c r="B9" s="79">
        <v>1.111111</v>
      </c>
    </row>
    <row r="10" spans="1:2" ht="15">
      <c r="A10" s="91" t="s">
        <v>561</v>
      </c>
      <c r="B10" s="79">
        <v>1.111111</v>
      </c>
    </row>
    <row r="11" spans="1:2" ht="15">
      <c r="A11" s="91" t="s">
        <v>550</v>
      </c>
      <c r="B11" s="79">
        <v>0.111111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C279B-7C6A-4380-8E43-DAC6DED9AA9E}">
  <dimension ref="A1:J85"/>
  <sheetViews>
    <sheetView workbookViewId="0" topLeftCell="J19">
      <selection activeCell="A37" sqref="A37"/>
    </sheetView>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10" ht="14.4" customHeight="1">
      <c r="A1" s="13" t="s">
        <v>441</v>
      </c>
      <c r="B1" s="13" t="s">
        <v>442</v>
      </c>
      <c r="C1" s="79" t="s">
        <v>443</v>
      </c>
      <c r="D1" s="79" t="s">
        <v>445</v>
      </c>
      <c r="E1" s="13" t="s">
        <v>444</v>
      </c>
      <c r="F1" s="13" t="s">
        <v>447</v>
      </c>
      <c r="G1" s="13" t="s">
        <v>446</v>
      </c>
      <c r="H1" s="13" t="s">
        <v>449</v>
      </c>
      <c r="I1" s="79" t="s">
        <v>448</v>
      </c>
      <c r="J1" s="79" t="s">
        <v>450</v>
      </c>
    </row>
    <row r="2" spans="1:10" ht="15">
      <c r="A2" s="84" t="s">
        <v>907</v>
      </c>
      <c r="B2" s="79">
        <v>2</v>
      </c>
      <c r="C2" s="79"/>
      <c r="D2" s="79"/>
      <c r="E2" s="84" t="s">
        <v>907</v>
      </c>
      <c r="F2" s="79">
        <v>2</v>
      </c>
      <c r="G2" s="84" t="s">
        <v>908</v>
      </c>
      <c r="H2" s="79">
        <v>1</v>
      </c>
      <c r="I2" s="79"/>
      <c r="J2" s="79"/>
    </row>
    <row r="3" spans="1:10" ht="15">
      <c r="A3" s="83" t="s">
        <v>908</v>
      </c>
      <c r="B3" s="79">
        <v>1</v>
      </c>
      <c r="C3" s="79"/>
      <c r="D3" s="79"/>
      <c r="E3" s="84" t="s">
        <v>909</v>
      </c>
      <c r="F3" s="79">
        <v>1</v>
      </c>
      <c r="G3" s="79"/>
      <c r="H3" s="79"/>
      <c r="I3" s="79"/>
      <c r="J3" s="79"/>
    </row>
    <row r="4" spans="1:10" ht="15">
      <c r="A4" s="83" t="s">
        <v>909</v>
      </c>
      <c r="B4" s="79">
        <v>1</v>
      </c>
      <c r="C4" s="79"/>
      <c r="D4" s="79"/>
      <c r="E4" s="84" t="s">
        <v>911</v>
      </c>
      <c r="F4" s="79">
        <v>1</v>
      </c>
      <c r="G4" s="79"/>
      <c r="H4" s="79"/>
      <c r="I4" s="79"/>
      <c r="J4" s="79"/>
    </row>
    <row r="5" spans="1:10" ht="15">
      <c r="A5" s="83" t="s">
        <v>910</v>
      </c>
      <c r="B5" s="79">
        <v>1</v>
      </c>
      <c r="C5" s="79"/>
      <c r="D5" s="79"/>
      <c r="E5" s="84" t="s">
        <v>593</v>
      </c>
      <c r="F5" s="79">
        <v>1</v>
      </c>
      <c r="G5" s="79"/>
      <c r="H5" s="79"/>
      <c r="I5" s="79"/>
      <c r="J5" s="79"/>
    </row>
    <row r="6" spans="1:10" ht="15">
      <c r="A6" s="83" t="s">
        <v>593</v>
      </c>
      <c r="B6" s="79">
        <v>1</v>
      </c>
      <c r="C6" s="79"/>
      <c r="D6" s="79"/>
      <c r="E6" s="84" t="s">
        <v>910</v>
      </c>
      <c r="F6" s="79">
        <v>1</v>
      </c>
      <c r="G6" s="79"/>
      <c r="H6" s="79"/>
      <c r="I6" s="79"/>
      <c r="J6" s="79"/>
    </row>
    <row r="7" spans="1:10" ht="15">
      <c r="A7" s="83" t="s">
        <v>911</v>
      </c>
      <c r="B7" s="79">
        <v>1</v>
      </c>
      <c r="C7" s="79"/>
      <c r="D7" s="79"/>
      <c r="E7" s="79"/>
      <c r="F7" s="79"/>
      <c r="G7" s="79"/>
      <c r="H7" s="79"/>
      <c r="I7" s="79"/>
      <c r="J7" s="79"/>
    </row>
    <row r="10" spans="1:10" ht="14.4" customHeight="1">
      <c r="A10" s="13" t="s">
        <v>452</v>
      </c>
      <c r="B10" s="13" t="s">
        <v>442</v>
      </c>
      <c r="C10" s="79" t="s">
        <v>453</v>
      </c>
      <c r="D10" s="79" t="s">
        <v>445</v>
      </c>
      <c r="E10" s="13" t="s">
        <v>454</v>
      </c>
      <c r="F10" s="13" t="s">
        <v>447</v>
      </c>
      <c r="G10" s="13" t="s">
        <v>455</v>
      </c>
      <c r="H10" s="13" t="s">
        <v>449</v>
      </c>
      <c r="I10" s="79" t="s">
        <v>456</v>
      </c>
      <c r="J10" s="79" t="s">
        <v>450</v>
      </c>
    </row>
    <row r="11" spans="1:10" ht="15">
      <c r="A11" s="79" t="s">
        <v>266</v>
      </c>
      <c r="B11" s="79">
        <v>4</v>
      </c>
      <c r="C11" s="79"/>
      <c r="D11" s="79"/>
      <c r="E11" s="79" t="s">
        <v>266</v>
      </c>
      <c r="F11" s="79">
        <v>4</v>
      </c>
      <c r="G11" s="79" t="s">
        <v>595</v>
      </c>
      <c r="H11" s="79">
        <v>1</v>
      </c>
      <c r="I11" s="79"/>
      <c r="J11" s="79"/>
    </row>
    <row r="12" spans="1:10" ht="15">
      <c r="A12" s="80" t="s">
        <v>595</v>
      </c>
      <c r="B12" s="79">
        <v>1</v>
      </c>
      <c r="C12" s="79"/>
      <c r="D12" s="79"/>
      <c r="E12" s="79" t="s">
        <v>265</v>
      </c>
      <c r="F12" s="79">
        <v>1</v>
      </c>
      <c r="G12" s="79"/>
      <c r="H12" s="79"/>
      <c r="I12" s="79"/>
      <c r="J12" s="79"/>
    </row>
    <row r="13" spans="1:10" ht="15">
      <c r="A13" s="80" t="s">
        <v>265</v>
      </c>
      <c r="B13" s="79">
        <v>1</v>
      </c>
      <c r="C13" s="79"/>
      <c r="D13" s="79"/>
      <c r="E13" s="79" t="s">
        <v>594</v>
      </c>
      <c r="F13" s="79">
        <v>1</v>
      </c>
      <c r="G13" s="79"/>
      <c r="H13" s="79"/>
      <c r="I13" s="79"/>
      <c r="J13" s="79"/>
    </row>
    <row r="14" spans="1:10" ht="14.4" customHeight="1">
      <c r="A14" s="80" t="s">
        <v>594</v>
      </c>
      <c r="B14" s="79">
        <v>1</v>
      </c>
      <c r="C14" s="79"/>
      <c r="D14" s="79"/>
      <c r="E14" s="79"/>
      <c r="F14" s="79"/>
      <c r="G14" s="79"/>
      <c r="H14" s="79"/>
      <c r="I14" s="79"/>
      <c r="J14" s="79"/>
    </row>
    <row r="17" spans="1:10" ht="14.4" customHeight="1">
      <c r="A17" s="13" t="s">
        <v>458</v>
      </c>
      <c r="B17" s="13" t="s">
        <v>442</v>
      </c>
      <c r="C17" s="13" t="s">
        <v>459</v>
      </c>
      <c r="D17" s="13" t="s">
        <v>445</v>
      </c>
      <c r="E17" s="13" t="s">
        <v>460</v>
      </c>
      <c r="F17" s="13" t="s">
        <v>447</v>
      </c>
      <c r="G17" s="13" t="s">
        <v>461</v>
      </c>
      <c r="H17" s="13" t="s">
        <v>449</v>
      </c>
      <c r="I17" s="13" t="s">
        <v>462</v>
      </c>
      <c r="J17" s="13" t="s">
        <v>450</v>
      </c>
    </row>
    <row r="18" spans="1:10" ht="15">
      <c r="A18" s="79" t="s">
        <v>596</v>
      </c>
      <c r="B18" s="79">
        <v>19</v>
      </c>
      <c r="C18" s="79" t="s">
        <v>596</v>
      </c>
      <c r="D18" s="79">
        <v>16</v>
      </c>
      <c r="E18" s="79" t="s">
        <v>596</v>
      </c>
      <c r="F18" s="79">
        <v>2</v>
      </c>
      <c r="G18" s="79" t="s">
        <v>260</v>
      </c>
      <c r="H18" s="79">
        <v>1</v>
      </c>
      <c r="I18" s="79" t="s">
        <v>596</v>
      </c>
      <c r="J18" s="79">
        <v>1</v>
      </c>
    </row>
    <row r="19" spans="1:10" ht="15">
      <c r="A19" s="80" t="s">
        <v>260</v>
      </c>
      <c r="B19" s="79">
        <v>1</v>
      </c>
      <c r="C19" s="79"/>
      <c r="D19" s="79"/>
      <c r="E19" s="79" t="s">
        <v>599</v>
      </c>
      <c r="F19" s="79">
        <v>1</v>
      </c>
      <c r="G19" s="79" t="s">
        <v>914</v>
      </c>
      <c r="H19" s="79">
        <v>1</v>
      </c>
      <c r="I19" s="79"/>
      <c r="J19" s="79"/>
    </row>
    <row r="20" spans="1:10" ht="15">
      <c r="A20" s="80" t="s">
        <v>914</v>
      </c>
      <c r="B20" s="79">
        <v>1</v>
      </c>
      <c r="C20" s="79"/>
      <c r="D20" s="79"/>
      <c r="E20" s="79" t="s">
        <v>597</v>
      </c>
      <c r="F20" s="79">
        <v>1</v>
      </c>
      <c r="G20" s="79" t="s">
        <v>354</v>
      </c>
      <c r="H20" s="79">
        <v>1</v>
      </c>
      <c r="I20" s="79"/>
      <c r="J20" s="79"/>
    </row>
    <row r="21" spans="1:10" ht="14.4" customHeight="1">
      <c r="A21" s="80" t="s">
        <v>354</v>
      </c>
      <c r="B21" s="79">
        <v>1</v>
      </c>
      <c r="C21" s="79"/>
      <c r="D21" s="79"/>
      <c r="E21" s="79" t="s">
        <v>598</v>
      </c>
      <c r="F21" s="79">
        <v>1</v>
      </c>
      <c r="G21" s="79" t="s">
        <v>579</v>
      </c>
      <c r="H21" s="79">
        <v>1</v>
      </c>
      <c r="I21" s="79"/>
      <c r="J21" s="79"/>
    </row>
    <row r="22" spans="1:10" ht="15">
      <c r="A22" s="80" t="s">
        <v>579</v>
      </c>
      <c r="B22" s="79">
        <v>1</v>
      </c>
      <c r="C22" s="79"/>
      <c r="D22" s="79"/>
      <c r="E22" s="79"/>
      <c r="F22" s="79"/>
      <c r="G22" s="79" t="s">
        <v>915</v>
      </c>
      <c r="H22" s="79">
        <v>1</v>
      </c>
      <c r="I22" s="79"/>
      <c r="J22" s="79"/>
    </row>
    <row r="23" spans="1:10" ht="15">
      <c r="A23" s="80" t="s">
        <v>915</v>
      </c>
      <c r="B23" s="79">
        <v>1</v>
      </c>
      <c r="C23" s="79"/>
      <c r="D23" s="79"/>
      <c r="E23" s="79"/>
      <c r="F23" s="79"/>
      <c r="G23" s="79" t="s">
        <v>916</v>
      </c>
      <c r="H23" s="79">
        <v>1</v>
      </c>
      <c r="I23" s="79"/>
      <c r="J23" s="79"/>
    </row>
    <row r="24" spans="1:10" ht="15">
      <c r="A24" s="80" t="s">
        <v>916</v>
      </c>
      <c r="B24" s="79">
        <v>1</v>
      </c>
      <c r="C24" s="79"/>
      <c r="D24" s="79"/>
      <c r="E24" s="79"/>
      <c r="F24" s="79"/>
      <c r="G24" s="79"/>
      <c r="H24" s="79"/>
      <c r="I24" s="79"/>
      <c r="J24" s="79"/>
    </row>
    <row r="25" spans="1:10" ht="15">
      <c r="A25" s="80" t="s">
        <v>598</v>
      </c>
      <c r="B25" s="79">
        <v>1</v>
      </c>
      <c r="C25" s="79"/>
      <c r="D25" s="79"/>
      <c r="E25" s="79"/>
      <c r="F25" s="79"/>
      <c r="G25" s="79"/>
      <c r="H25" s="79"/>
      <c r="I25" s="79"/>
      <c r="J25" s="79"/>
    </row>
    <row r="26" spans="1:10" ht="15">
      <c r="A26" s="80" t="s">
        <v>597</v>
      </c>
      <c r="B26" s="79">
        <v>1</v>
      </c>
      <c r="C26" s="79"/>
      <c r="D26" s="79"/>
      <c r="E26" s="79"/>
      <c r="F26" s="79"/>
      <c r="G26" s="79"/>
      <c r="H26" s="79"/>
      <c r="I26" s="79"/>
      <c r="J26" s="79"/>
    </row>
    <row r="27" spans="1:10" ht="14.4" customHeight="1">
      <c r="A27" s="80" t="s">
        <v>599</v>
      </c>
      <c r="B27" s="79">
        <v>1</v>
      </c>
      <c r="C27" s="79"/>
      <c r="D27" s="79"/>
      <c r="E27" s="79"/>
      <c r="F27" s="79"/>
      <c r="G27" s="79"/>
      <c r="H27" s="79"/>
      <c r="I27" s="79"/>
      <c r="J27" s="79"/>
    </row>
    <row r="30" spans="1:10" ht="14.4" customHeight="1">
      <c r="A30" s="13" t="s">
        <v>464</v>
      </c>
      <c r="B30" s="13" t="s">
        <v>442</v>
      </c>
      <c r="C30" s="13" t="s">
        <v>465</v>
      </c>
      <c r="D30" s="13" t="s">
        <v>445</v>
      </c>
      <c r="E30" s="13" t="s">
        <v>466</v>
      </c>
      <c r="F30" s="13" t="s">
        <v>447</v>
      </c>
      <c r="G30" s="13" t="s">
        <v>467</v>
      </c>
      <c r="H30" s="13" t="s">
        <v>449</v>
      </c>
      <c r="I30" s="13" t="s">
        <v>468</v>
      </c>
      <c r="J30" s="13" t="s">
        <v>450</v>
      </c>
    </row>
    <row r="31" spans="1:10" ht="15">
      <c r="A31" s="88" t="s">
        <v>538</v>
      </c>
      <c r="B31" s="88">
        <v>79</v>
      </c>
      <c r="C31" s="88" t="s">
        <v>538</v>
      </c>
      <c r="D31" s="88">
        <v>63</v>
      </c>
      <c r="E31" s="88" t="s">
        <v>538</v>
      </c>
      <c r="F31" s="88">
        <v>12</v>
      </c>
      <c r="G31" s="88" t="s">
        <v>895</v>
      </c>
      <c r="H31" s="88">
        <v>2</v>
      </c>
      <c r="I31" s="88" t="s">
        <v>538</v>
      </c>
      <c r="J31" s="88">
        <v>4</v>
      </c>
    </row>
    <row r="32" spans="1:10" ht="15">
      <c r="A32" s="85" t="s">
        <v>874</v>
      </c>
      <c r="B32" s="88">
        <v>57</v>
      </c>
      <c r="C32" s="88" t="s">
        <v>874</v>
      </c>
      <c r="D32" s="88">
        <v>47</v>
      </c>
      <c r="E32" s="88" t="s">
        <v>874</v>
      </c>
      <c r="F32" s="88">
        <v>7</v>
      </c>
      <c r="G32" s="88" t="s">
        <v>579</v>
      </c>
      <c r="H32" s="88">
        <v>2</v>
      </c>
      <c r="I32" s="88" t="s">
        <v>344</v>
      </c>
      <c r="J32" s="88">
        <v>3</v>
      </c>
    </row>
    <row r="33" spans="1:10" ht="15">
      <c r="A33" s="85" t="s">
        <v>344</v>
      </c>
      <c r="B33" s="88">
        <v>54</v>
      </c>
      <c r="C33" s="88" t="s">
        <v>344</v>
      </c>
      <c r="D33" s="88">
        <v>46</v>
      </c>
      <c r="E33" s="88" t="s">
        <v>369</v>
      </c>
      <c r="F33" s="88">
        <v>7</v>
      </c>
      <c r="G33" s="88"/>
      <c r="H33" s="88"/>
      <c r="I33" s="88" t="s">
        <v>874</v>
      </c>
      <c r="J33" s="88">
        <v>3</v>
      </c>
    </row>
    <row r="34" spans="1:10" ht="14.4" customHeight="1">
      <c r="A34" s="85" t="s">
        <v>356</v>
      </c>
      <c r="B34" s="88">
        <v>54</v>
      </c>
      <c r="C34" s="88" t="s">
        <v>356</v>
      </c>
      <c r="D34" s="88">
        <v>46</v>
      </c>
      <c r="E34" s="88" t="s">
        <v>875</v>
      </c>
      <c r="F34" s="88">
        <v>5</v>
      </c>
      <c r="G34" s="88"/>
      <c r="H34" s="88"/>
      <c r="I34" s="88" t="s">
        <v>356</v>
      </c>
      <c r="J34" s="88">
        <v>3</v>
      </c>
    </row>
    <row r="35" spans="1:10" ht="15">
      <c r="A35" s="85" t="s">
        <v>341</v>
      </c>
      <c r="B35" s="88">
        <v>38</v>
      </c>
      <c r="C35" s="88" t="s">
        <v>875</v>
      </c>
      <c r="D35" s="88">
        <v>31</v>
      </c>
      <c r="E35" s="88" t="s">
        <v>344</v>
      </c>
      <c r="F35" s="88">
        <v>5</v>
      </c>
      <c r="G35" s="88"/>
      <c r="H35" s="88"/>
      <c r="I35" s="88" t="s">
        <v>559</v>
      </c>
      <c r="J35" s="88">
        <v>2</v>
      </c>
    </row>
    <row r="36" spans="1:10" ht="15">
      <c r="A36" s="85" t="s">
        <v>875</v>
      </c>
      <c r="B36" s="88">
        <v>38</v>
      </c>
      <c r="C36" s="88" t="s">
        <v>519</v>
      </c>
      <c r="D36" s="88">
        <v>31</v>
      </c>
      <c r="E36" s="88" t="s">
        <v>356</v>
      </c>
      <c r="F36" s="88">
        <v>5</v>
      </c>
      <c r="G36" s="88"/>
      <c r="H36" s="88"/>
      <c r="I36" s="88" t="s">
        <v>520</v>
      </c>
      <c r="J36" s="88">
        <v>2</v>
      </c>
    </row>
    <row r="37" spans="1:10" ht="15">
      <c r="A37" s="85" t="s">
        <v>519</v>
      </c>
      <c r="B37" s="88">
        <v>37</v>
      </c>
      <c r="C37" s="88" t="s">
        <v>341</v>
      </c>
      <c r="D37" s="88">
        <v>31</v>
      </c>
      <c r="E37" s="88" t="s">
        <v>341</v>
      </c>
      <c r="F37" s="88">
        <v>5</v>
      </c>
      <c r="G37" s="88"/>
      <c r="H37" s="88"/>
      <c r="I37" s="88" t="s">
        <v>906</v>
      </c>
      <c r="J37" s="88">
        <v>2</v>
      </c>
    </row>
    <row r="38" spans="1:10" ht="15">
      <c r="A38" s="85" t="s">
        <v>369</v>
      </c>
      <c r="B38" s="88">
        <v>24</v>
      </c>
      <c r="C38" s="88" t="s">
        <v>877</v>
      </c>
      <c r="D38" s="88">
        <v>16</v>
      </c>
      <c r="E38" s="88" t="s">
        <v>519</v>
      </c>
      <c r="F38" s="88">
        <v>4</v>
      </c>
      <c r="G38" s="88"/>
      <c r="H38" s="88"/>
      <c r="I38" s="88" t="s">
        <v>364</v>
      </c>
      <c r="J38" s="88">
        <v>2</v>
      </c>
    </row>
    <row r="39" spans="1:10" ht="15">
      <c r="A39" s="85" t="s">
        <v>258</v>
      </c>
      <c r="B39" s="88">
        <v>20</v>
      </c>
      <c r="C39" s="88" t="s">
        <v>878</v>
      </c>
      <c r="D39" s="88">
        <v>16</v>
      </c>
      <c r="E39" s="88" t="s">
        <v>258</v>
      </c>
      <c r="F39" s="88">
        <v>3</v>
      </c>
      <c r="G39" s="88"/>
      <c r="H39" s="88"/>
      <c r="I39" s="88" t="s">
        <v>341</v>
      </c>
      <c r="J39" s="88">
        <v>2</v>
      </c>
    </row>
    <row r="40" spans="1:10" ht="14.4" customHeight="1">
      <c r="A40" s="85" t="s">
        <v>362</v>
      </c>
      <c r="B40" s="88">
        <v>20</v>
      </c>
      <c r="C40" s="88" t="s">
        <v>879</v>
      </c>
      <c r="D40" s="88">
        <v>16</v>
      </c>
      <c r="E40" s="88" t="s">
        <v>536</v>
      </c>
      <c r="F40" s="88">
        <v>3</v>
      </c>
      <c r="G40" s="88"/>
      <c r="H40" s="88"/>
      <c r="I40" s="88" t="s">
        <v>519</v>
      </c>
      <c r="J40" s="88">
        <v>2</v>
      </c>
    </row>
    <row r="43" spans="1:10" ht="14.4" customHeight="1">
      <c r="A43" s="13" t="s">
        <v>470</v>
      </c>
      <c r="B43" s="13" t="s">
        <v>442</v>
      </c>
      <c r="C43" s="13" t="s">
        <v>471</v>
      </c>
      <c r="D43" s="13" t="s">
        <v>445</v>
      </c>
      <c r="E43" s="13" t="s">
        <v>472</v>
      </c>
      <c r="F43" s="13" t="s">
        <v>447</v>
      </c>
      <c r="G43" s="79" t="s">
        <v>473</v>
      </c>
      <c r="H43" s="79" t="s">
        <v>449</v>
      </c>
      <c r="I43" s="13" t="s">
        <v>474</v>
      </c>
      <c r="J43" s="13" t="s">
        <v>450</v>
      </c>
    </row>
    <row r="44" spans="1:10" ht="15">
      <c r="A44" s="88" t="s">
        <v>922</v>
      </c>
      <c r="B44" s="88">
        <v>37</v>
      </c>
      <c r="C44" s="88" t="s">
        <v>923</v>
      </c>
      <c r="D44" s="88">
        <v>31</v>
      </c>
      <c r="E44" s="88" t="s">
        <v>922</v>
      </c>
      <c r="F44" s="88">
        <v>4</v>
      </c>
      <c r="G44" s="88"/>
      <c r="H44" s="88"/>
      <c r="I44" s="88" t="s">
        <v>935</v>
      </c>
      <c r="J44" s="88">
        <v>2</v>
      </c>
    </row>
    <row r="45" spans="1:10" ht="15">
      <c r="A45" s="85" t="s">
        <v>923</v>
      </c>
      <c r="B45" s="88">
        <v>36</v>
      </c>
      <c r="C45" s="88" t="s">
        <v>922</v>
      </c>
      <c r="D45" s="88">
        <v>31</v>
      </c>
      <c r="E45" s="88" t="s">
        <v>923</v>
      </c>
      <c r="F45" s="88">
        <v>3</v>
      </c>
      <c r="G45" s="88"/>
      <c r="H45" s="88"/>
      <c r="I45" s="88" t="s">
        <v>936</v>
      </c>
      <c r="J45" s="88">
        <v>2</v>
      </c>
    </row>
    <row r="46" spans="1:10" ht="15">
      <c r="A46" s="85" t="s">
        <v>924</v>
      </c>
      <c r="B46" s="88">
        <v>20</v>
      </c>
      <c r="C46" s="88" t="s">
        <v>927</v>
      </c>
      <c r="D46" s="88">
        <v>16</v>
      </c>
      <c r="E46" s="88" t="s">
        <v>933</v>
      </c>
      <c r="F46" s="88">
        <v>3</v>
      </c>
      <c r="G46" s="88"/>
      <c r="H46" s="88"/>
      <c r="I46" s="88" t="s">
        <v>937</v>
      </c>
      <c r="J46" s="88">
        <v>2</v>
      </c>
    </row>
    <row r="47" spans="1:10" ht="14.4" customHeight="1">
      <c r="A47" s="85" t="s">
        <v>925</v>
      </c>
      <c r="B47" s="88">
        <v>20</v>
      </c>
      <c r="C47" s="88" t="s">
        <v>928</v>
      </c>
      <c r="D47" s="88">
        <v>16</v>
      </c>
      <c r="E47" s="88" t="s">
        <v>924</v>
      </c>
      <c r="F47" s="88">
        <v>3</v>
      </c>
      <c r="G47" s="88"/>
      <c r="H47" s="88"/>
      <c r="I47" s="88" t="s">
        <v>923</v>
      </c>
      <c r="J47" s="88">
        <v>2</v>
      </c>
    </row>
    <row r="48" spans="1:10" ht="15">
      <c r="A48" s="85" t="s">
        <v>926</v>
      </c>
      <c r="B48" s="88">
        <v>20</v>
      </c>
      <c r="C48" s="88" t="s">
        <v>929</v>
      </c>
      <c r="D48" s="88">
        <v>16</v>
      </c>
      <c r="E48" s="88" t="s">
        <v>925</v>
      </c>
      <c r="F48" s="88">
        <v>3</v>
      </c>
      <c r="G48" s="88"/>
      <c r="H48" s="88"/>
      <c r="I48" s="88" t="s">
        <v>922</v>
      </c>
      <c r="J48" s="88">
        <v>2</v>
      </c>
    </row>
    <row r="49" spans="1:10" ht="15">
      <c r="A49" s="85" t="s">
        <v>927</v>
      </c>
      <c r="B49" s="88">
        <v>19</v>
      </c>
      <c r="C49" s="88" t="s">
        <v>924</v>
      </c>
      <c r="D49" s="88">
        <v>16</v>
      </c>
      <c r="E49" s="88" t="s">
        <v>926</v>
      </c>
      <c r="F49" s="88">
        <v>3</v>
      </c>
      <c r="G49" s="88"/>
      <c r="H49" s="88"/>
      <c r="I49" s="88"/>
      <c r="J49" s="88"/>
    </row>
    <row r="50" spans="1:10" ht="15">
      <c r="A50" s="85" t="s">
        <v>928</v>
      </c>
      <c r="B50" s="88">
        <v>19</v>
      </c>
      <c r="C50" s="88" t="s">
        <v>930</v>
      </c>
      <c r="D50" s="88">
        <v>16</v>
      </c>
      <c r="E50" s="88" t="s">
        <v>934</v>
      </c>
      <c r="F50" s="88">
        <v>2</v>
      </c>
      <c r="G50" s="88"/>
      <c r="H50" s="88"/>
      <c r="I50" s="88"/>
      <c r="J50" s="88"/>
    </row>
    <row r="51" spans="1:10" ht="15">
      <c r="A51" s="85" t="s">
        <v>929</v>
      </c>
      <c r="B51" s="88">
        <v>19</v>
      </c>
      <c r="C51" s="88" t="s">
        <v>931</v>
      </c>
      <c r="D51" s="88">
        <v>16</v>
      </c>
      <c r="E51" s="88" t="s">
        <v>927</v>
      </c>
      <c r="F51" s="88">
        <v>2</v>
      </c>
      <c r="G51" s="88"/>
      <c r="H51" s="88"/>
      <c r="I51" s="88"/>
      <c r="J51" s="88"/>
    </row>
    <row r="52" spans="1:10" ht="15">
      <c r="A52" s="85" t="s">
        <v>930</v>
      </c>
      <c r="B52" s="88">
        <v>19</v>
      </c>
      <c r="C52" s="88" t="s">
        <v>925</v>
      </c>
      <c r="D52" s="88">
        <v>16</v>
      </c>
      <c r="E52" s="88" t="s">
        <v>928</v>
      </c>
      <c r="F52" s="88">
        <v>2</v>
      </c>
      <c r="G52" s="88"/>
      <c r="H52" s="88"/>
      <c r="I52" s="88"/>
      <c r="J52" s="88"/>
    </row>
    <row r="53" spans="1:10" ht="14.4" customHeight="1">
      <c r="A53" s="85" t="s">
        <v>931</v>
      </c>
      <c r="B53" s="88">
        <v>19</v>
      </c>
      <c r="C53" s="88" t="s">
        <v>932</v>
      </c>
      <c r="D53" s="88">
        <v>16</v>
      </c>
      <c r="E53" s="88" t="s">
        <v>929</v>
      </c>
      <c r="F53" s="88">
        <v>2</v>
      </c>
      <c r="G53" s="88"/>
      <c r="H53" s="88"/>
      <c r="I53" s="88"/>
      <c r="J53" s="88"/>
    </row>
    <row r="56" spans="1:10" ht="14.4" customHeight="1">
      <c r="A56" s="13" t="s">
        <v>476</v>
      </c>
      <c r="B56" s="13" t="s">
        <v>442</v>
      </c>
      <c r="C56" s="13" t="s">
        <v>478</v>
      </c>
      <c r="D56" s="13" t="s">
        <v>445</v>
      </c>
      <c r="E56" s="13" t="s">
        <v>479</v>
      </c>
      <c r="F56" s="13" t="s">
        <v>447</v>
      </c>
      <c r="G56" s="79" t="s">
        <v>482</v>
      </c>
      <c r="H56" s="79" t="s">
        <v>449</v>
      </c>
      <c r="I56" s="13" t="s">
        <v>484</v>
      </c>
      <c r="J56" s="13" t="s">
        <v>450</v>
      </c>
    </row>
    <row r="57" spans="1:10" ht="15">
      <c r="A57" s="79" t="s">
        <v>559</v>
      </c>
      <c r="B57" s="79">
        <v>10</v>
      </c>
      <c r="C57" s="79" t="s">
        <v>559</v>
      </c>
      <c r="D57" s="79">
        <v>8</v>
      </c>
      <c r="E57" s="79" t="s">
        <v>562</v>
      </c>
      <c r="F57" s="79">
        <v>2</v>
      </c>
      <c r="G57" s="79"/>
      <c r="H57" s="79"/>
      <c r="I57" s="79" t="s">
        <v>559</v>
      </c>
      <c r="J57" s="79">
        <v>2</v>
      </c>
    </row>
    <row r="58" spans="1:10" ht="15">
      <c r="A58" s="80" t="s">
        <v>562</v>
      </c>
      <c r="B58" s="79">
        <v>2</v>
      </c>
      <c r="C58" s="79"/>
      <c r="D58" s="79"/>
      <c r="E58" s="79" t="s">
        <v>258</v>
      </c>
      <c r="F58" s="79">
        <v>1</v>
      </c>
      <c r="G58" s="79"/>
      <c r="H58" s="79"/>
      <c r="I58" s="79"/>
      <c r="J58" s="79"/>
    </row>
    <row r="59" spans="1:10" ht="15">
      <c r="A59" s="80" t="s">
        <v>258</v>
      </c>
      <c r="B59" s="79">
        <v>1</v>
      </c>
      <c r="C59" s="79"/>
      <c r="D59" s="79"/>
      <c r="E59" s="79"/>
      <c r="F59" s="79"/>
      <c r="G59" s="79"/>
      <c r="H59" s="79"/>
      <c r="I59" s="79"/>
      <c r="J59" s="79"/>
    </row>
    <row r="60" ht="14.4" customHeight="1"/>
    <row r="62" spans="1:10" ht="14.4" customHeight="1">
      <c r="A62" s="13" t="s">
        <v>477</v>
      </c>
      <c r="B62" s="13" t="s">
        <v>442</v>
      </c>
      <c r="C62" s="13" t="s">
        <v>480</v>
      </c>
      <c r="D62" s="13" t="s">
        <v>445</v>
      </c>
      <c r="E62" s="13" t="s">
        <v>481</v>
      </c>
      <c r="F62" s="13" t="s">
        <v>447</v>
      </c>
      <c r="G62" s="13" t="s">
        <v>483</v>
      </c>
      <c r="H62" s="13" t="s">
        <v>449</v>
      </c>
      <c r="I62" s="13" t="s">
        <v>485</v>
      </c>
      <c r="J62" s="13" t="s">
        <v>450</v>
      </c>
    </row>
    <row r="63" spans="1:10" ht="15">
      <c r="A63" s="79" t="s">
        <v>519</v>
      </c>
      <c r="B63" s="79">
        <v>37</v>
      </c>
      <c r="C63" s="79" t="s">
        <v>519</v>
      </c>
      <c r="D63" s="79">
        <v>31</v>
      </c>
      <c r="E63" s="79" t="s">
        <v>519</v>
      </c>
      <c r="F63" s="79">
        <v>4</v>
      </c>
      <c r="G63" s="79" t="s">
        <v>579</v>
      </c>
      <c r="H63" s="79">
        <v>1</v>
      </c>
      <c r="I63" s="79" t="s">
        <v>520</v>
      </c>
      <c r="J63" s="79">
        <v>2</v>
      </c>
    </row>
    <row r="64" spans="1:10" ht="15">
      <c r="A64" s="80" t="s">
        <v>258</v>
      </c>
      <c r="B64" s="79">
        <v>19</v>
      </c>
      <c r="C64" s="79" t="s">
        <v>258</v>
      </c>
      <c r="D64" s="79">
        <v>16</v>
      </c>
      <c r="E64" s="79" t="s">
        <v>258</v>
      </c>
      <c r="F64" s="79">
        <v>2</v>
      </c>
      <c r="G64" s="79" t="s">
        <v>256</v>
      </c>
      <c r="H64" s="79">
        <v>1</v>
      </c>
      <c r="I64" s="79" t="s">
        <v>519</v>
      </c>
      <c r="J64" s="79">
        <v>2</v>
      </c>
    </row>
    <row r="65" spans="1:10" ht="15">
      <c r="A65" s="80" t="s">
        <v>520</v>
      </c>
      <c r="B65" s="79">
        <v>3</v>
      </c>
      <c r="C65" s="79"/>
      <c r="D65" s="79"/>
      <c r="E65" s="79" t="s">
        <v>578</v>
      </c>
      <c r="F65" s="79">
        <v>2</v>
      </c>
      <c r="G65" s="79" t="s">
        <v>521</v>
      </c>
      <c r="H65" s="79">
        <v>1</v>
      </c>
      <c r="I65" s="79" t="s">
        <v>258</v>
      </c>
      <c r="J65" s="79">
        <v>1</v>
      </c>
    </row>
    <row r="66" spans="1:10" ht="14.4" customHeight="1">
      <c r="A66" s="80" t="s">
        <v>579</v>
      </c>
      <c r="B66" s="79">
        <v>2</v>
      </c>
      <c r="C66" s="79"/>
      <c r="D66" s="79"/>
      <c r="E66" s="79" t="s">
        <v>521</v>
      </c>
      <c r="F66" s="79">
        <v>1</v>
      </c>
      <c r="G66" s="79" t="s">
        <v>257</v>
      </c>
      <c r="H66" s="79">
        <v>1</v>
      </c>
      <c r="I66" s="79"/>
      <c r="J66" s="79"/>
    </row>
    <row r="67" spans="1:10" ht="15">
      <c r="A67" s="80" t="s">
        <v>521</v>
      </c>
      <c r="B67" s="79">
        <v>2</v>
      </c>
      <c r="C67" s="79"/>
      <c r="D67" s="79"/>
      <c r="E67" s="79" t="s">
        <v>577</v>
      </c>
      <c r="F67" s="79">
        <v>1</v>
      </c>
      <c r="G67" s="79" t="s">
        <v>559</v>
      </c>
      <c r="H67" s="79">
        <v>1</v>
      </c>
      <c r="I67" s="79"/>
      <c r="J67" s="79"/>
    </row>
    <row r="68" spans="1:10" ht="14.4" customHeight="1">
      <c r="A68" s="80" t="s">
        <v>578</v>
      </c>
      <c r="B68" s="79">
        <v>2</v>
      </c>
      <c r="C68" s="79"/>
      <c r="D68" s="79"/>
      <c r="E68" s="79" t="s">
        <v>576</v>
      </c>
      <c r="F68" s="79">
        <v>1</v>
      </c>
      <c r="G68" s="79"/>
      <c r="H68" s="79"/>
      <c r="I68" s="79"/>
      <c r="J68" s="79"/>
    </row>
    <row r="69" spans="1:10" ht="15">
      <c r="A69" s="80" t="s">
        <v>256</v>
      </c>
      <c r="B69" s="79">
        <v>1</v>
      </c>
      <c r="C69" s="79"/>
      <c r="D69" s="79"/>
      <c r="E69" s="79" t="s">
        <v>575</v>
      </c>
      <c r="F69" s="79">
        <v>1</v>
      </c>
      <c r="G69" s="79"/>
      <c r="H69" s="79"/>
      <c r="I69" s="79"/>
      <c r="J69" s="79"/>
    </row>
    <row r="70" spans="1:10" ht="15">
      <c r="A70" s="80" t="s">
        <v>257</v>
      </c>
      <c r="B70" s="79">
        <v>1</v>
      </c>
      <c r="C70" s="79"/>
      <c r="D70" s="79"/>
      <c r="E70" s="79" t="s">
        <v>574</v>
      </c>
      <c r="F70" s="79">
        <v>1</v>
      </c>
      <c r="G70" s="79"/>
      <c r="H70" s="79"/>
      <c r="I70" s="79"/>
      <c r="J70" s="79"/>
    </row>
    <row r="71" spans="1:10" ht="15">
      <c r="A71" s="80" t="s">
        <v>559</v>
      </c>
      <c r="B71" s="79">
        <v>1</v>
      </c>
      <c r="C71" s="79"/>
      <c r="D71" s="79"/>
      <c r="E71" s="79" t="s">
        <v>573</v>
      </c>
      <c r="F71" s="79">
        <v>1</v>
      </c>
      <c r="G71" s="79"/>
      <c r="H71" s="79"/>
      <c r="I71" s="79"/>
      <c r="J71" s="79"/>
    </row>
    <row r="72" spans="1:10" ht="15">
      <c r="A72" s="80" t="s">
        <v>577</v>
      </c>
      <c r="B72" s="79">
        <v>1</v>
      </c>
      <c r="C72" s="79"/>
      <c r="D72" s="79"/>
      <c r="E72" s="79" t="s">
        <v>579</v>
      </c>
      <c r="F72" s="79">
        <v>1</v>
      </c>
      <c r="G72" s="79"/>
      <c r="H72" s="79"/>
      <c r="I72" s="79"/>
      <c r="J72" s="79"/>
    </row>
    <row r="75" spans="1:10" ht="14.4" customHeight="1">
      <c r="A75" s="13" t="s">
        <v>488</v>
      </c>
      <c r="B75" s="13" t="s">
        <v>442</v>
      </c>
      <c r="C75" s="13" t="s">
        <v>489</v>
      </c>
      <c r="D75" s="13" t="s">
        <v>445</v>
      </c>
      <c r="E75" s="13" t="s">
        <v>490</v>
      </c>
      <c r="F75" s="13" t="s">
        <v>447</v>
      </c>
      <c r="G75" s="13" t="s">
        <v>491</v>
      </c>
      <c r="H75" s="13" t="s">
        <v>449</v>
      </c>
      <c r="I75" s="13" t="s">
        <v>492</v>
      </c>
      <c r="J75" s="13" t="s">
        <v>450</v>
      </c>
    </row>
    <row r="76" spans="1:10" ht="15">
      <c r="A76" s="90" t="s">
        <v>256</v>
      </c>
      <c r="B76" s="79">
        <v>33251</v>
      </c>
      <c r="C76" s="90" t="s">
        <v>549</v>
      </c>
      <c r="D76" s="79">
        <v>8493</v>
      </c>
      <c r="E76" s="90" t="s">
        <v>566</v>
      </c>
      <c r="F76" s="79">
        <v>28311</v>
      </c>
      <c r="G76" s="90" t="s">
        <v>256</v>
      </c>
      <c r="H76" s="79">
        <v>33251</v>
      </c>
      <c r="I76" s="90" t="s">
        <v>520</v>
      </c>
      <c r="J76" s="79">
        <v>4375</v>
      </c>
    </row>
    <row r="77" spans="1:10" ht="15">
      <c r="A77" s="91" t="s">
        <v>566</v>
      </c>
      <c r="B77" s="79">
        <v>28311</v>
      </c>
      <c r="C77" s="90" t="s">
        <v>541</v>
      </c>
      <c r="D77" s="79">
        <v>8372</v>
      </c>
      <c r="E77" s="90" t="s">
        <v>569</v>
      </c>
      <c r="F77" s="79">
        <v>20393</v>
      </c>
      <c r="G77" s="90" t="s">
        <v>579</v>
      </c>
      <c r="H77" s="79">
        <v>24653</v>
      </c>
      <c r="I77" s="90" t="s">
        <v>556</v>
      </c>
      <c r="J77" s="79">
        <v>384</v>
      </c>
    </row>
    <row r="78" spans="1:10" ht="15">
      <c r="A78" s="91" t="s">
        <v>579</v>
      </c>
      <c r="B78" s="79">
        <v>24653</v>
      </c>
      <c r="C78" s="90" t="s">
        <v>258</v>
      </c>
      <c r="D78" s="79">
        <v>6921</v>
      </c>
      <c r="E78" s="90" t="s">
        <v>574</v>
      </c>
      <c r="F78" s="79">
        <v>19681</v>
      </c>
      <c r="G78" s="90" t="s">
        <v>521</v>
      </c>
      <c r="H78" s="79">
        <v>13459</v>
      </c>
      <c r="I78" s="90" t="s">
        <v>555</v>
      </c>
      <c r="J78" s="79">
        <v>148</v>
      </c>
    </row>
    <row r="79" spans="1:10" ht="14.4" customHeight="1">
      <c r="A79" s="91" t="s">
        <v>569</v>
      </c>
      <c r="B79" s="79">
        <v>20393</v>
      </c>
      <c r="C79" s="90" t="s">
        <v>561</v>
      </c>
      <c r="D79" s="79">
        <v>5747</v>
      </c>
      <c r="E79" s="90" t="s">
        <v>571</v>
      </c>
      <c r="F79" s="79">
        <v>17931</v>
      </c>
      <c r="G79" s="90" t="s">
        <v>257</v>
      </c>
      <c r="H79" s="79">
        <v>11422</v>
      </c>
      <c r="I79" s="90"/>
      <c r="J79" s="79"/>
    </row>
    <row r="80" spans="1:10" ht="15">
      <c r="A80" s="91" t="s">
        <v>574</v>
      </c>
      <c r="B80" s="79">
        <v>19681</v>
      </c>
      <c r="C80" s="90" t="s">
        <v>553</v>
      </c>
      <c r="D80" s="79">
        <v>4567</v>
      </c>
      <c r="E80" s="90" t="s">
        <v>577</v>
      </c>
      <c r="F80" s="79">
        <v>15491</v>
      </c>
      <c r="G80" s="90" t="s">
        <v>563</v>
      </c>
      <c r="H80" s="79">
        <v>630</v>
      </c>
      <c r="I80" s="90"/>
      <c r="J80" s="79"/>
    </row>
    <row r="81" spans="1:10" ht="14.4" customHeight="1">
      <c r="A81" s="91" t="s">
        <v>571</v>
      </c>
      <c r="B81" s="79">
        <v>17931</v>
      </c>
      <c r="C81" s="90" t="s">
        <v>544</v>
      </c>
      <c r="D81" s="79">
        <v>4518</v>
      </c>
      <c r="E81" s="90" t="s">
        <v>565</v>
      </c>
      <c r="F81" s="79">
        <v>8245</v>
      </c>
      <c r="G81" s="90"/>
      <c r="H81" s="79"/>
      <c r="I81" s="90"/>
      <c r="J81" s="79"/>
    </row>
    <row r="82" spans="1:10" ht="15">
      <c r="A82" s="91" t="s">
        <v>577</v>
      </c>
      <c r="B82" s="79">
        <v>15491</v>
      </c>
      <c r="C82" s="90" t="s">
        <v>550</v>
      </c>
      <c r="D82" s="79">
        <v>3039</v>
      </c>
      <c r="E82" s="90" t="s">
        <v>568</v>
      </c>
      <c r="F82" s="79">
        <v>8153</v>
      </c>
      <c r="G82" s="90"/>
      <c r="H82" s="79"/>
      <c r="I82" s="90"/>
      <c r="J82" s="79"/>
    </row>
    <row r="83" spans="1:10" ht="15">
      <c r="A83" s="91" t="s">
        <v>521</v>
      </c>
      <c r="B83" s="79">
        <v>13459</v>
      </c>
      <c r="C83" s="90" t="s">
        <v>554</v>
      </c>
      <c r="D83" s="79">
        <v>2445</v>
      </c>
      <c r="E83" s="90" t="s">
        <v>570</v>
      </c>
      <c r="F83" s="79">
        <v>7827</v>
      </c>
      <c r="G83" s="90"/>
      <c r="H83" s="79"/>
      <c r="I83" s="90"/>
      <c r="J83" s="79"/>
    </row>
    <row r="84" spans="1:10" ht="15">
      <c r="A84" s="91" t="s">
        <v>257</v>
      </c>
      <c r="B84" s="79">
        <v>11422</v>
      </c>
      <c r="C84" s="90" t="s">
        <v>519</v>
      </c>
      <c r="D84" s="79">
        <v>1867</v>
      </c>
      <c r="E84" s="90" t="s">
        <v>259</v>
      </c>
      <c r="F84" s="79">
        <v>6935</v>
      </c>
      <c r="G84" s="90"/>
      <c r="H84" s="79"/>
      <c r="I84" s="90"/>
      <c r="J84" s="79"/>
    </row>
    <row r="85" spans="1:10" ht="15">
      <c r="A85" s="91" t="s">
        <v>549</v>
      </c>
      <c r="B85" s="79">
        <v>8493</v>
      </c>
      <c r="C85" s="90" t="s">
        <v>548</v>
      </c>
      <c r="D85" s="79">
        <v>1817</v>
      </c>
      <c r="E85" s="90" t="s">
        <v>573</v>
      </c>
      <c r="F85" s="79">
        <v>5806</v>
      </c>
      <c r="G85" s="90"/>
      <c r="H85" s="79"/>
      <c r="I85" s="90"/>
      <c r="J85" s="79"/>
    </row>
    <row r="92" ht="14.4" customHeight="1"/>
  </sheetData>
  <hyperlinks>
    <hyperlink ref="A2" r:id="rId1" display="https://www.stuff.co.nz/business/128606699/immigration-is-being-reset-back-to-where-we-started"/>
    <hyperlink ref="A3" r:id="rId2" display="https://nodexlgraphgallery.org/Pages/Graph.aspx?graphID=276416"/>
    <hyperlink ref="A4" r:id="rId3" display="https://twitter.com/LetusbacktoNZ/status/1524623401868214272"/>
    <hyperlink ref="A5" r:id="rId4" display="https://www.mondaq.com/australia/work-visas/1164678/extension-of-subclass-485-489-491-494-visas-for-holders-impacted-by-australian-covid-19-border-closures"/>
    <hyperlink ref="A6" r:id="rId5" display="https://www.newshub.co.nz/home/politics/2022/05/green-party-co-leader-marama-davidson-slams-government-s-new-immigration-policies-labels-them-racist-inhumane-and-discriminatory.html?cid=soc3%3Anewshubfb&amp;fbclid=IwAR3bXR4HspOrRRMRqByv9DhUnsp1gOrtf2pCfYOt7eM5fBx3UdmAOpEGcFQ"/>
    <hyperlink ref="A7" r:id="rId6" display="https://www.indianweekender.co.nz/Pages/ArticleDetails/52/19649/Editorials/Why-govt-has-no-rationale-to-not-extend-expired-visas-of-migrant-workers-stuck?fbclid=IwAR2N6zafme4riiGzBLZrjOoQ2GFiFPa-YmoKXQrWtoZPkyviyXZRZBzs64k"/>
    <hyperlink ref="E2" r:id="rId7" display="https://www.stuff.co.nz/business/128606699/immigration-is-being-reset-back-to-where-we-started"/>
    <hyperlink ref="E3" r:id="rId8" display="https://twitter.com/LetusbacktoNZ/status/1524623401868214272"/>
    <hyperlink ref="E4" r:id="rId9" display="https://www.indianweekender.co.nz/Pages/ArticleDetails/52/19649/Editorials/Why-govt-has-no-rationale-to-not-extend-expired-visas-of-migrant-workers-stuck?fbclid=IwAR2N6zafme4riiGzBLZrjOoQ2GFiFPa-YmoKXQrWtoZPkyviyXZRZBzs64k"/>
    <hyperlink ref="E5" r:id="rId10" display="https://www.newshub.co.nz/home/politics/2022/05/green-party-co-leader-marama-davidson-slams-government-s-new-immigration-policies-labels-them-racist-inhumane-and-discriminatory.html?cid=soc3%3Anewshubfb&amp;fbclid=IwAR3bXR4HspOrRRMRqByv9DhUnsp1gOrtf2pCfYOt7eM5fBx3UdmAOpEGcFQ"/>
    <hyperlink ref="E6" r:id="rId11" display="https://www.mondaq.com/australia/work-visas/1164678/extension-of-subclass-485-489-491-494-visas-for-holders-impacted-by-australian-covid-19-border-closures"/>
    <hyperlink ref="G2" r:id="rId12" display="https://nodexlgraphgallery.org/Pages/Graph.aspx?graphID=276416"/>
  </hyperlinks>
  <printOptions/>
  <pageMargins left="0.7" right="0.7" top="0.75" bottom="0.75" header="0.3" footer="0.3"/>
  <pageSetup orientation="portrait" paperSize="9"/>
  <tableParts>
    <tablePart r:id="rId13"/>
    <tablePart r:id="rId15"/>
    <tablePart r:id="rId16"/>
    <tablePart r:id="rId17"/>
    <tablePart r:id="rId20"/>
    <tablePart r:id="rId14"/>
    <tablePart r:id="rId19"/>
    <tablePart r:id="rId18"/>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6E328-101B-4A5E-ADCB-10DBD5C0F869}">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320</v>
      </c>
      <c r="BD2" s="13" t="s">
        <v>330</v>
      </c>
      <c r="BE2" s="13" t="s">
        <v>331</v>
      </c>
      <c r="BF2" s="54" t="s">
        <v>395</v>
      </c>
      <c r="BG2" s="54" t="s">
        <v>396</v>
      </c>
      <c r="BH2" s="54" t="s">
        <v>397</v>
      </c>
      <c r="BI2" s="54" t="s">
        <v>398</v>
      </c>
      <c r="BJ2" s="54" t="s">
        <v>399</v>
      </c>
      <c r="BK2" s="54" t="s">
        <v>400</v>
      </c>
      <c r="BL2" s="54" t="s">
        <v>401</v>
      </c>
      <c r="BM2" s="54" t="s">
        <v>402</v>
      </c>
      <c r="BN2" s="54" t="s">
        <v>403</v>
      </c>
    </row>
    <row r="3" spans="1:66" ht="15" customHeight="1">
      <c r="A3" s="65" t="s">
        <v>539</v>
      </c>
      <c r="B3" s="65" t="s">
        <v>519</v>
      </c>
      <c r="C3" s="66"/>
      <c r="D3" s="67"/>
      <c r="E3" s="68"/>
      <c r="F3" s="69"/>
      <c r="G3" s="66"/>
      <c r="H3" s="70"/>
      <c r="I3" s="71"/>
      <c r="J3" s="71"/>
      <c r="K3" s="35" t="s">
        <v>65</v>
      </c>
      <c r="L3" s="72">
        <v>3</v>
      </c>
      <c r="M3" s="72"/>
      <c r="N3" s="73"/>
      <c r="O3" s="79" t="s">
        <v>264</v>
      </c>
      <c r="P3" s="81">
        <v>44692.20657407407</v>
      </c>
      <c r="Q3" s="79" t="s">
        <v>580</v>
      </c>
      <c r="R3" s="84"/>
      <c r="S3" s="79"/>
      <c r="T3" s="88" t="s">
        <v>596</v>
      </c>
      <c r="U3" s="84" t="str">
        <f>HYPERLINK("https://pbs.twimg.com/media/FSc09v5aQAAY6bm.jpg")</f>
        <v>https://pbs.twimg.com/media/FSc09v5aQAAY6bm.jpg</v>
      </c>
      <c r="V3" s="84" t="str">
        <f>HYPERLINK("https://pbs.twimg.com/media/FSc09v5aQAAY6bm.jpg")</f>
        <v>https://pbs.twimg.com/media/FSc09v5aQAAY6bm.jpg</v>
      </c>
      <c r="W3" s="81">
        <v>44692.20657407407</v>
      </c>
      <c r="X3" s="86">
        <v>44692</v>
      </c>
      <c r="Y3" s="88" t="s">
        <v>601</v>
      </c>
      <c r="Z3" s="84" t="str">
        <f>HYPERLINK("https://twitter.com/harveen57162832/status/1524252326029971456")</f>
        <v>https://twitter.com/harveen57162832/status/1524252326029971456</v>
      </c>
      <c r="AA3" s="79"/>
      <c r="AB3" s="79"/>
      <c r="AC3" s="88" t="s">
        <v>655</v>
      </c>
      <c r="AD3" s="88"/>
      <c r="AE3" s="79" t="b">
        <v>0</v>
      </c>
      <c r="AF3" s="79">
        <v>0</v>
      </c>
      <c r="AG3" s="88" t="s">
        <v>267</v>
      </c>
      <c r="AH3" s="79" t="b">
        <v>0</v>
      </c>
      <c r="AI3" s="79" t="s">
        <v>268</v>
      </c>
      <c r="AJ3" s="79"/>
      <c r="AK3" s="88" t="s">
        <v>267</v>
      </c>
      <c r="AL3" s="79" t="b">
        <v>0</v>
      </c>
      <c r="AM3" s="79">
        <v>19</v>
      </c>
      <c r="AN3" s="88" t="s">
        <v>696</v>
      </c>
      <c r="AO3" s="88" t="s">
        <v>271</v>
      </c>
      <c r="AP3" s="79" t="b">
        <v>0</v>
      </c>
      <c r="AQ3" s="88" t="s">
        <v>696</v>
      </c>
      <c r="AR3" s="79" t="s">
        <v>218</v>
      </c>
      <c r="AS3" s="79">
        <v>0</v>
      </c>
      <c r="AT3" s="79">
        <v>0</v>
      </c>
      <c r="AU3" s="79"/>
      <c r="AV3" s="79"/>
      <c r="AW3" s="79"/>
      <c r="AX3" s="79"/>
      <c r="AY3" s="79"/>
      <c r="AZ3" s="79"/>
      <c r="BA3" s="79"/>
      <c r="BB3" s="79"/>
      <c r="BC3" s="79">
        <v>1</v>
      </c>
      <c r="BD3" s="79" t="str">
        <f>REPLACE(INDEX(GroupVertices[Group],MATCH(Edges49[[#This Row],[Vertex 1]],GroupVertices[Vertex],0)),1,1,"")</f>
        <v>1</v>
      </c>
      <c r="BE3" s="79" t="str">
        <f>REPLACE(INDEX(GroupVertices[Group],MATCH(Edges49[[#This Row],[Vertex 2]],GroupVertices[Vertex],0)),1,1,"")</f>
        <v>1</v>
      </c>
      <c r="BF3" s="49"/>
      <c r="BG3" s="50"/>
      <c r="BH3" s="49"/>
      <c r="BI3" s="50"/>
      <c r="BJ3" s="49"/>
      <c r="BK3" s="50"/>
      <c r="BL3" s="49"/>
      <c r="BM3" s="50"/>
      <c r="BN3" s="49"/>
    </row>
    <row r="4" spans="1:66" ht="15" customHeight="1">
      <c r="A4" s="65" t="s">
        <v>539</v>
      </c>
      <c r="B4" s="65" t="s">
        <v>258</v>
      </c>
      <c r="C4" s="66"/>
      <c r="D4" s="67"/>
      <c r="E4" s="66"/>
      <c r="F4" s="69"/>
      <c r="G4" s="66"/>
      <c r="H4" s="70"/>
      <c r="I4" s="71"/>
      <c r="J4" s="71"/>
      <c r="K4" s="35" t="s">
        <v>65</v>
      </c>
      <c r="L4" s="72">
        <v>4</v>
      </c>
      <c r="M4" s="72"/>
      <c r="N4" s="73"/>
      <c r="O4" s="80" t="s">
        <v>264</v>
      </c>
      <c r="P4" s="82">
        <v>44692.20657407407</v>
      </c>
      <c r="Q4" s="80" t="s">
        <v>580</v>
      </c>
      <c r="R4" s="80"/>
      <c r="S4" s="80"/>
      <c r="T4" s="85" t="s">
        <v>596</v>
      </c>
      <c r="U4" s="83" t="str">
        <f>HYPERLINK("https://pbs.twimg.com/media/FSc09v5aQAAY6bm.jpg")</f>
        <v>https://pbs.twimg.com/media/FSc09v5aQAAY6bm.jpg</v>
      </c>
      <c r="V4" s="83" t="str">
        <f>HYPERLINK("https://pbs.twimg.com/media/FSc09v5aQAAY6bm.jpg")</f>
        <v>https://pbs.twimg.com/media/FSc09v5aQAAY6bm.jpg</v>
      </c>
      <c r="W4" s="82">
        <v>44692.20657407407</v>
      </c>
      <c r="X4" s="87">
        <v>44692</v>
      </c>
      <c r="Y4" s="85" t="s">
        <v>601</v>
      </c>
      <c r="Z4" s="83" t="str">
        <f>HYPERLINK("https://twitter.com/harveen57162832/status/1524252326029971456")</f>
        <v>https://twitter.com/harveen57162832/status/1524252326029971456</v>
      </c>
      <c r="AA4" s="80"/>
      <c r="AB4" s="80"/>
      <c r="AC4" s="85" t="s">
        <v>655</v>
      </c>
      <c r="AD4" s="80"/>
      <c r="AE4" s="80" t="b">
        <v>0</v>
      </c>
      <c r="AF4" s="80">
        <v>0</v>
      </c>
      <c r="AG4" s="85" t="s">
        <v>267</v>
      </c>
      <c r="AH4" s="80" t="b">
        <v>0</v>
      </c>
      <c r="AI4" s="80" t="s">
        <v>268</v>
      </c>
      <c r="AJ4" s="80"/>
      <c r="AK4" s="85" t="s">
        <v>267</v>
      </c>
      <c r="AL4" s="80" t="b">
        <v>0</v>
      </c>
      <c r="AM4" s="80">
        <v>19</v>
      </c>
      <c r="AN4" s="85" t="s">
        <v>696</v>
      </c>
      <c r="AO4" s="85" t="s">
        <v>271</v>
      </c>
      <c r="AP4" s="80" t="b">
        <v>0</v>
      </c>
      <c r="AQ4" s="85" t="s">
        <v>696</v>
      </c>
      <c r="AR4" s="80" t="s">
        <v>218</v>
      </c>
      <c r="AS4" s="80">
        <v>0</v>
      </c>
      <c r="AT4" s="80">
        <v>0</v>
      </c>
      <c r="AU4" s="80"/>
      <c r="AV4" s="80"/>
      <c r="AW4" s="80"/>
      <c r="AX4" s="80"/>
      <c r="AY4" s="80"/>
      <c r="AZ4" s="80"/>
      <c r="BA4" s="80"/>
      <c r="BB4" s="80"/>
      <c r="BC4" s="80">
        <v>1</v>
      </c>
      <c r="BD4" s="79" t="str">
        <f>REPLACE(INDEX(GroupVertices[Group],MATCH(Edges49[[#This Row],[Vertex 1]],GroupVertices[Vertex],0)),1,1,"")</f>
        <v>1</v>
      </c>
      <c r="BE4" s="79" t="str">
        <f>REPLACE(INDEX(GroupVertices[Group],MATCH(Edges49[[#This Row],[Vertex 2]],GroupVertices[Vertex],0)),1,1,"")</f>
        <v>1</v>
      </c>
      <c r="BF4" s="49"/>
      <c r="BG4" s="50"/>
      <c r="BH4" s="49"/>
      <c r="BI4" s="50"/>
      <c r="BJ4" s="49"/>
      <c r="BK4" s="50"/>
      <c r="BL4" s="49"/>
      <c r="BM4" s="50"/>
      <c r="BN4" s="49"/>
    </row>
    <row r="5" spans="1:66" ht="15">
      <c r="A5" s="65" t="s">
        <v>539</v>
      </c>
      <c r="B5" s="65" t="s">
        <v>559</v>
      </c>
      <c r="C5" s="66"/>
      <c r="D5" s="67"/>
      <c r="E5" s="66"/>
      <c r="F5" s="69"/>
      <c r="G5" s="66"/>
      <c r="H5" s="70"/>
      <c r="I5" s="71"/>
      <c r="J5" s="71"/>
      <c r="K5" s="35" t="s">
        <v>65</v>
      </c>
      <c r="L5" s="72">
        <v>5</v>
      </c>
      <c r="M5" s="72"/>
      <c r="N5" s="73"/>
      <c r="O5" s="80" t="s">
        <v>263</v>
      </c>
      <c r="P5" s="82">
        <v>44692.20657407407</v>
      </c>
      <c r="Q5" s="80" t="s">
        <v>580</v>
      </c>
      <c r="R5" s="80"/>
      <c r="S5" s="80"/>
      <c r="T5" s="85" t="s">
        <v>596</v>
      </c>
      <c r="U5" s="83" t="str">
        <f>HYPERLINK("https://pbs.twimg.com/media/FSc09v5aQAAY6bm.jpg")</f>
        <v>https://pbs.twimg.com/media/FSc09v5aQAAY6bm.jpg</v>
      </c>
      <c r="V5" s="83" t="str">
        <f>HYPERLINK("https://pbs.twimg.com/media/FSc09v5aQAAY6bm.jpg")</f>
        <v>https://pbs.twimg.com/media/FSc09v5aQAAY6bm.jpg</v>
      </c>
      <c r="W5" s="82">
        <v>44692.20657407407</v>
      </c>
      <c r="X5" s="87">
        <v>44692</v>
      </c>
      <c r="Y5" s="85" t="s">
        <v>601</v>
      </c>
      <c r="Z5" s="83" t="str">
        <f>HYPERLINK("https://twitter.com/harveen57162832/status/1524252326029971456")</f>
        <v>https://twitter.com/harveen57162832/status/1524252326029971456</v>
      </c>
      <c r="AA5" s="80"/>
      <c r="AB5" s="80"/>
      <c r="AC5" s="85" t="s">
        <v>655</v>
      </c>
      <c r="AD5" s="80"/>
      <c r="AE5" s="80" t="b">
        <v>0</v>
      </c>
      <c r="AF5" s="80">
        <v>0</v>
      </c>
      <c r="AG5" s="85" t="s">
        <v>267</v>
      </c>
      <c r="AH5" s="80" t="b">
        <v>0</v>
      </c>
      <c r="AI5" s="80" t="s">
        <v>268</v>
      </c>
      <c r="AJ5" s="80"/>
      <c r="AK5" s="85" t="s">
        <v>267</v>
      </c>
      <c r="AL5" s="80" t="b">
        <v>0</v>
      </c>
      <c r="AM5" s="80">
        <v>19</v>
      </c>
      <c r="AN5" s="85" t="s">
        <v>696</v>
      </c>
      <c r="AO5" s="85" t="s">
        <v>271</v>
      </c>
      <c r="AP5" s="80" t="b">
        <v>0</v>
      </c>
      <c r="AQ5" s="85" t="s">
        <v>696</v>
      </c>
      <c r="AR5" s="80" t="s">
        <v>218</v>
      </c>
      <c r="AS5" s="80">
        <v>0</v>
      </c>
      <c r="AT5" s="80">
        <v>0</v>
      </c>
      <c r="AU5" s="80"/>
      <c r="AV5" s="80"/>
      <c r="AW5" s="80"/>
      <c r="AX5" s="80"/>
      <c r="AY5" s="80"/>
      <c r="AZ5" s="80"/>
      <c r="BA5" s="80"/>
      <c r="BB5" s="80"/>
      <c r="BC5" s="80">
        <v>1</v>
      </c>
      <c r="BD5" s="79" t="str">
        <f>REPLACE(INDEX(GroupVertices[Group],MATCH(Edges49[[#This Row],[Vertex 1]],GroupVertices[Vertex],0)),1,1,"")</f>
        <v>1</v>
      </c>
      <c r="BE5" s="79" t="str">
        <f>REPLACE(INDEX(GroupVertices[Group],MATCH(Edges49[[#This Row],[Vertex 2]],GroupVertices[Vertex],0)),1,1,"")</f>
        <v>2</v>
      </c>
      <c r="BF5" s="49">
        <v>0</v>
      </c>
      <c r="BG5" s="50">
        <v>0</v>
      </c>
      <c r="BH5" s="49">
        <v>5</v>
      </c>
      <c r="BI5" s="50">
        <v>12.820512820512821</v>
      </c>
      <c r="BJ5" s="49">
        <v>0</v>
      </c>
      <c r="BK5" s="50">
        <v>0</v>
      </c>
      <c r="BL5" s="49">
        <v>34</v>
      </c>
      <c r="BM5" s="50">
        <v>87.17948717948718</v>
      </c>
      <c r="BN5" s="49">
        <v>39</v>
      </c>
    </row>
    <row r="6" spans="1:66" ht="15">
      <c r="A6" s="65" t="s">
        <v>540</v>
      </c>
      <c r="B6" s="65" t="s">
        <v>519</v>
      </c>
      <c r="C6" s="66"/>
      <c r="D6" s="67"/>
      <c r="E6" s="66"/>
      <c r="F6" s="69"/>
      <c r="G6" s="66"/>
      <c r="H6" s="70"/>
      <c r="I6" s="71"/>
      <c r="J6" s="71"/>
      <c r="K6" s="35" t="s">
        <v>65</v>
      </c>
      <c r="L6" s="72">
        <v>6</v>
      </c>
      <c r="M6" s="72"/>
      <c r="N6" s="73"/>
      <c r="O6" s="80" t="s">
        <v>264</v>
      </c>
      <c r="P6" s="82">
        <v>44692.20857638889</v>
      </c>
      <c r="Q6" s="80" t="s">
        <v>580</v>
      </c>
      <c r="R6" s="80"/>
      <c r="S6" s="80"/>
      <c r="T6" s="85" t="s">
        <v>596</v>
      </c>
      <c r="U6" s="83" t="str">
        <f>HYPERLINK("https://pbs.twimg.com/media/FSc09v5aQAAY6bm.jpg")</f>
        <v>https://pbs.twimg.com/media/FSc09v5aQAAY6bm.jpg</v>
      </c>
      <c r="V6" s="83" t="str">
        <f>HYPERLINK("https://pbs.twimg.com/media/FSc09v5aQAAY6bm.jpg")</f>
        <v>https://pbs.twimg.com/media/FSc09v5aQAAY6bm.jpg</v>
      </c>
      <c r="W6" s="82">
        <v>44692.20857638889</v>
      </c>
      <c r="X6" s="87">
        <v>44692</v>
      </c>
      <c r="Y6" s="85" t="s">
        <v>602</v>
      </c>
      <c r="Z6" s="83" t="str">
        <f>HYPERLINK("https://twitter.com/preetmohan20/status/1524253050113646593")</f>
        <v>https://twitter.com/preetmohan20/status/1524253050113646593</v>
      </c>
      <c r="AA6" s="80"/>
      <c r="AB6" s="80"/>
      <c r="AC6" s="85" t="s">
        <v>656</v>
      </c>
      <c r="AD6" s="80"/>
      <c r="AE6" s="80" t="b">
        <v>0</v>
      </c>
      <c r="AF6" s="80">
        <v>0</v>
      </c>
      <c r="AG6" s="85" t="s">
        <v>267</v>
      </c>
      <c r="AH6" s="80" t="b">
        <v>0</v>
      </c>
      <c r="AI6" s="80" t="s">
        <v>268</v>
      </c>
      <c r="AJ6" s="80"/>
      <c r="AK6" s="85" t="s">
        <v>267</v>
      </c>
      <c r="AL6" s="80" t="b">
        <v>0</v>
      </c>
      <c r="AM6" s="80">
        <v>19</v>
      </c>
      <c r="AN6" s="85" t="s">
        <v>696</v>
      </c>
      <c r="AO6" s="85" t="s">
        <v>271</v>
      </c>
      <c r="AP6" s="80" t="b">
        <v>0</v>
      </c>
      <c r="AQ6" s="85" t="s">
        <v>696</v>
      </c>
      <c r="AR6" s="80" t="s">
        <v>218</v>
      </c>
      <c r="AS6" s="80">
        <v>0</v>
      </c>
      <c r="AT6" s="80">
        <v>0</v>
      </c>
      <c r="AU6" s="80"/>
      <c r="AV6" s="80"/>
      <c r="AW6" s="80"/>
      <c r="AX6" s="80"/>
      <c r="AY6" s="80"/>
      <c r="AZ6" s="80"/>
      <c r="BA6" s="80"/>
      <c r="BB6" s="80"/>
      <c r="BC6" s="80">
        <v>1</v>
      </c>
      <c r="BD6" s="79" t="str">
        <f>REPLACE(INDEX(GroupVertices[Group],MATCH(Edges49[[#This Row],[Vertex 1]],GroupVertices[Vertex],0)),1,1,"")</f>
        <v>1</v>
      </c>
      <c r="BE6" s="79" t="str">
        <f>REPLACE(INDEX(GroupVertices[Group],MATCH(Edges49[[#This Row],[Vertex 2]],GroupVertices[Vertex],0)),1,1,"")</f>
        <v>1</v>
      </c>
      <c r="BF6" s="49"/>
      <c r="BG6" s="50"/>
      <c r="BH6" s="49"/>
      <c r="BI6" s="50"/>
      <c r="BJ6" s="49"/>
      <c r="BK6" s="50"/>
      <c r="BL6" s="49"/>
      <c r="BM6" s="50"/>
      <c r="BN6" s="49"/>
    </row>
    <row r="7" spans="1:66" ht="15">
      <c r="A7" s="65" t="s">
        <v>540</v>
      </c>
      <c r="B7" s="65" t="s">
        <v>258</v>
      </c>
      <c r="C7" s="66"/>
      <c r="D7" s="67"/>
      <c r="E7" s="66"/>
      <c r="F7" s="69"/>
      <c r="G7" s="66"/>
      <c r="H7" s="70"/>
      <c r="I7" s="71"/>
      <c r="J7" s="71"/>
      <c r="K7" s="35" t="s">
        <v>65</v>
      </c>
      <c r="L7" s="72">
        <v>7</v>
      </c>
      <c r="M7" s="72"/>
      <c r="N7" s="73"/>
      <c r="O7" s="80" t="s">
        <v>264</v>
      </c>
      <c r="P7" s="82">
        <v>44692.20857638889</v>
      </c>
      <c r="Q7" s="80" t="s">
        <v>580</v>
      </c>
      <c r="R7" s="80"/>
      <c r="S7" s="80"/>
      <c r="T7" s="85" t="s">
        <v>596</v>
      </c>
      <c r="U7" s="83" t="str">
        <f>HYPERLINK("https://pbs.twimg.com/media/FSc09v5aQAAY6bm.jpg")</f>
        <v>https://pbs.twimg.com/media/FSc09v5aQAAY6bm.jpg</v>
      </c>
      <c r="V7" s="83" t="str">
        <f>HYPERLINK("https://pbs.twimg.com/media/FSc09v5aQAAY6bm.jpg")</f>
        <v>https://pbs.twimg.com/media/FSc09v5aQAAY6bm.jpg</v>
      </c>
      <c r="W7" s="82">
        <v>44692.20857638889</v>
      </c>
      <c r="X7" s="87">
        <v>44692</v>
      </c>
      <c r="Y7" s="85" t="s">
        <v>602</v>
      </c>
      <c r="Z7" s="83" t="str">
        <f>HYPERLINK("https://twitter.com/preetmohan20/status/1524253050113646593")</f>
        <v>https://twitter.com/preetmohan20/status/1524253050113646593</v>
      </c>
      <c r="AA7" s="80"/>
      <c r="AB7" s="80"/>
      <c r="AC7" s="85" t="s">
        <v>656</v>
      </c>
      <c r="AD7" s="80"/>
      <c r="AE7" s="80" t="b">
        <v>0</v>
      </c>
      <c r="AF7" s="80">
        <v>0</v>
      </c>
      <c r="AG7" s="85" t="s">
        <v>267</v>
      </c>
      <c r="AH7" s="80" t="b">
        <v>0</v>
      </c>
      <c r="AI7" s="80" t="s">
        <v>268</v>
      </c>
      <c r="AJ7" s="80"/>
      <c r="AK7" s="85" t="s">
        <v>267</v>
      </c>
      <c r="AL7" s="80" t="b">
        <v>0</v>
      </c>
      <c r="AM7" s="80">
        <v>19</v>
      </c>
      <c r="AN7" s="85" t="s">
        <v>696</v>
      </c>
      <c r="AO7" s="85" t="s">
        <v>271</v>
      </c>
      <c r="AP7" s="80" t="b">
        <v>0</v>
      </c>
      <c r="AQ7" s="85" t="s">
        <v>696</v>
      </c>
      <c r="AR7" s="80" t="s">
        <v>218</v>
      </c>
      <c r="AS7" s="80">
        <v>0</v>
      </c>
      <c r="AT7" s="80">
        <v>0</v>
      </c>
      <c r="AU7" s="80"/>
      <c r="AV7" s="80"/>
      <c r="AW7" s="80"/>
      <c r="AX7" s="80"/>
      <c r="AY7" s="80"/>
      <c r="AZ7" s="80"/>
      <c r="BA7" s="80"/>
      <c r="BB7" s="80"/>
      <c r="BC7" s="80">
        <v>1</v>
      </c>
      <c r="BD7" s="79" t="str">
        <f>REPLACE(INDEX(GroupVertices[Group],MATCH(Edges49[[#This Row],[Vertex 1]],GroupVertices[Vertex],0)),1,1,"")</f>
        <v>1</v>
      </c>
      <c r="BE7" s="79" t="str">
        <f>REPLACE(INDEX(GroupVertices[Group],MATCH(Edges49[[#This Row],[Vertex 2]],GroupVertices[Vertex],0)),1,1,"")</f>
        <v>1</v>
      </c>
      <c r="BF7" s="49"/>
      <c r="BG7" s="50"/>
      <c r="BH7" s="49"/>
      <c r="BI7" s="50"/>
      <c r="BJ7" s="49"/>
      <c r="BK7" s="50"/>
      <c r="BL7" s="49"/>
      <c r="BM7" s="50"/>
      <c r="BN7" s="49"/>
    </row>
    <row r="8" spans="1:66" ht="15">
      <c r="A8" s="65" t="s">
        <v>540</v>
      </c>
      <c r="B8" s="65" t="s">
        <v>559</v>
      </c>
      <c r="C8" s="66"/>
      <c r="D8" s="67"/>
      <c r="E8" s="66"/>
      <c r="F8" s="69"/>
      <c r="G8" s="66"/>
      <c r="H8" s="70"/>
      <c r="I8" s="71"/>
      <c r="J8" s="71"/>
      <c r="K8" s="35" t="s">
        <v>65</v>
      </c>
      <c r="L8" s="72">
        <v>8</v>
      </c>
      <c r="M8" s="72"/>
      <c r="N8" s="73"/>
      <c r="O8" s="80" t="s">
        <v>263</v>
      </c>
      <c r="P8" s="82">
        <v>44692.20857638889</v>
      </c>
      <c r="Q8" s="80" t="s">
        <v>580</v>
      </c>
      <c r="R8" s="80"/>
      <c r="S8" s="80"/>
      <c r="T8" s="85" t="s">
        <v>596</v>
      </c>
      <c r="U8" s="83" t="str">
        <f>HYPERLINK("https://pbs.twimg.com/media/FSc09v5aQAAY6bm.jpg")</f>
        <v>https://pbs.twimg.com/media/FSc09v5aQAAY6bm.jpg</v>
      </c>
      <c r="V8" s="83" t="str">
        <f>HYPERLINK("https://pbs.twimg.com/media/FSc09v5aQAAY6bm.jpg")</f>
        <v>https://pbs.twimg.com/media/FSc09v5aQAAY6bm.jpg</v>
      </c>
      <c r="W8" s="82">
        <v>44692.20857638889</v>
      </c>
      <c r="X8" s="87">
        <v>44692</v>
      </c>
      <c r="Y8" s="85" t="s">
        <v>602</v>
      </c>
      <c r="Z8" s="83" t="str">
        <f>HYPERLINK("https://twitter.com/preetmohan20/status/1524253050113646593")</f>
        <v>https://twitter.com/preetmohan20/status/1524253050113646593</v>
      </c>
      <c r="AA8" s="80"/>
      <c r="AB8" s="80"/>
      <c r="AC8" s="85" t="s">
        <v>656</v>
      </c>
      <c r="AD8" s="80"/>
      <c r="AE8" s="80" t="b">
        <v>0</v>
      </c>
      <c r="AF8" s="80">
        <v>0</v>
      </c>
      <c r="AG8" s="85" t="s">
        <v>267</v>
      </c>
      <c r="AH8" s="80" t="b">
        <v>0</v>
      </c>
      <c r="AI8" s="80" t="s">
        <v>268</v>
      </c>
      <c r="AJ8" s="80"/>
      <c r="AK8" s="85" t="s">
        <v>267</v>
      </c>
      <c r="AL8" s="80" t="b">
        <v>0</v>
      </c>
      <c r="AM8" s="80">
        <v>19</v>
      </c>
      <c r="AN8" s="85" t="s">
        <v>696</v>
      </c>
      <c r="AO8" s="85" t="s">
        <v>271</v>
      </c>
      <c r="AP8" s="80" t="b">
        <v>0</v>
      </c>
      <c r="AQ8" s="85" t="s">
        <v>696</v>
      </c>
      <c r="AR8" s="80" t="s">
        <v>218</v>
      </c>
      <c r="AS8" s="80">
        <v>0</v>
      </c>
      <c r="AT8" s="80">
        <v>0</v>
      </c>
      <c r="AU8" s="80"/>
      <c r="AV8" s="80"/>
      <c r="AW8" s="80"/>
      <c r="AX8" s="80"/>
      <c r="AY8" s="80"/>
      <c r="AZ8" s="80"/>
      <c r="BA8" s="80"/>
      <c r="BB8" s="80"/>
      <c r="BC8" s="80">
        <v>1</v>
      </c>
      <c r="BD8" s="79" t="str">
        <f>REPLACE(INDEX(GroupVertices[Group],MATCH(Edges49[[#This Row],[Vertex 1]],GroupVertices[Vertex],0)),1,1,"")</f>
        <v>1</v>
      </c>
      <c r="BE8" s="79" t="str">
        <f>REPLACE(INDEX(GroupVertices[Group],MATCH(Edges49[[#This Row],[Vertex 2]],GroupVertices[Vertex],0)),1,1,"")</f>
        <v>2</v>
      </c>
      <c r="BF8" s="49">
        <v>0</v>
      </c>
      <c r="BG8" s="50">
        <v>0</v>
      </c>
      <c r="BH8" s="49">
        <v>5</v>
      </c>
      <c r="BI8" s="50">
        <v>12.820512820512821</v>
      </c>
      <c r="BJ8" s="49">
        <v>0</v>
      </c>
      <c r="BK8" s="50">
        <v>0</v>
      </c>
      <c r="BL8" s="49">
        <v>34</v>
      </c>
      <c r="BM8" s="50">
        <v>87.17948717948718</v>
      </c>
      <c r="BN8" s="49">
        <v>39</v>
      </c>
    </row>
    <row r="9" spans="1:66" ht="15">
      <c r="A9" s="65" t="s">
        <v>541</v>
      </c>
      <c r="B9" s="65" t="s">
        <v>519</v>
      </c>
      <c r="C9" s="66"/>
      <c r="D9" s="67"/>
      <c r="E9" s="66"/>
      <c r="F9" s="69"/>
      <c r="G9" s="66"/>
      <c r="H9" s="70"/>
      <c r="I9" s="71"/>
      <c r="J9" s="71"/>
      <c r="K9" s="35" t="s">
        <v>65</v>
      </c>
      <c r="L9" s="72">
        <v>9</v>
      </c>
      <c r="M9" s="72"/>
      <c r="N9" s="73"/>
      <c r="O9" s="80" t="s">
        <v>264</v>
      </c>
      <c r="P9" s="82">
        <v>44692.2171875</v>
      </c>
      <c r="Q9" s="80" t="s">
        <v>580</v>
      </c>
      <c r="R9" s="80"/>
      <c r="S9" s="80"/>
      <c r="T9" s="85" t="s">
        <v>596</v>
      </c>
      <c r="U9" s="83" t="str">
        <f>HYPERLINK("https://pbs.twimg.com/media/FSc09v5aQAAY6bm.jpg")</f>
        <v>https://pbs.twimg.com/media/FSc09v5aQAAY6bm.jpg</v>
      </c>
      <c r="V9" s="83" t="str">
        <f>HYPERLINK("https://pbs.twimg.com/media/FSc09v5aQAAY6bm.jpg")</f>
        <v>https://pbs.twimg.com/media/FSc09v5aQAAY6bm.jpg</v>
      </c>
      <c r="W9" s="82">
        <v>44692.2171875</v>
      </c>
      <c r="X9" s="87">
        <v>44692</v>
      </c>
      <c r="Y9" s="85" t="s">
        <v>603</v>
      </c>
      <c r="Z9" s="83" t="str">
        <f>HYPERLINK("https://twitter.com/arshdee51860094/status/1524256174153281536")</f>
        <v>https://twitter.com/arshdee51860094/status/1524256174153281536</v>
      </c>
      <c r="AA9" s="80"/>
      <c r="AB9" s="80"/>
      <c r="AC9" s="85" t="s">
        <v>657</v>
      </c>
      <c r="AD9" s="80"/>
      <c r="AE9" s="80" t="b">
        <v>0</v>
      </c>
      <c r="AF9" s="80">
        <v>0</v>
      </c>
      <c r="AG9" s="85" t="s">
        <v>267</v>
      </c>
      <c r="AH9" s="80" t="b">
        <v>0</v>
      </c>
      <c r="AI9" s="80" t="s">
        <v>268</v>
      </c>
      <c r="AJ9" s="80"/>
      <c r="AK9" s="85" t="s">
        <v>267</v>
      </c>
      <c r="AL9" s="80" t="b">
        <v>0</v>
      </c>
      <c r="AM9" s="80">
        <v>19</v>
      </c>
      <c r="AN9" s="85" t="s">
        <v>696</v>
      </c>
      <c r="AO9" s="85" t="s">
        <v>271</v>
      </c>
      <c r="AP9" s="80" t="b">
        <v>0</v>
      </c>
      <c r="AQ9" s="85" t="s">
        <v>696</v>
      </c>
      <c r="AR9" s="80" t="s">
        <v>218</v>
      </c>
      <c r="AS9" s="80">
        <v>0</v>
      </c>
      <c r="AT9" s="80">
        <v>0</v>
      </c>
      <c r="AU9" s="80"/>
      <c r="AV9" s="80"/>
      <c r="AW9" s="80"/>
      <c r="AX9" s="80"/>
      <c r="AY9" s="80"/>
      <c r="AZ9" s="80"/>
      <c r="BA9" s="80"/>
      <c r="BB9" s="80"/>
      <c r="BC9" s="80">
        <v>1</v>
      </c>
      <c r="BD9" s="79" t="str">
        <f>REPLACE(INDEX(GroupVertices[Group],MATCH(Edges49[[#This Row],[Vertex 1]],GroupVertices[Vertex],0)),1,1,"")</f>
        <v>1</v>
      </c>
      <c r="BE9" s="79" t="str">
        <f>REPLACE(INDEX(GroupVertices[Group],MATCH(Edges49[[#This Row],[Vertex 2]],GroupVertices[Vertex],0)),1,1,"")</f>
        <v>1</v>
      </c>
      <c r="BF9" s="49"/>
      <c r="BG9" s="50"/>
      <c r="BH9" s="49"/>
      <c r="BI9" s="50"/>
      <c r="BJ9" s="49"/>
      <c r="BK9" s="50"/>
      <c r="BL9" s="49"/>
      <c r="BM9" s="50"/>
      <c r="BN9" s="49"/>
    </row>
    <row r="10" spans="1:66" ht="15">
      <c r="A10" s="65" t="s">
        <v>541</v>
      </c>
      <c r="B10" s="65" t="s">
        <v>258</v>
      </c>
      <c r="C10" s="66"/>
      <c r="D10" s="67"/>
      <c r="E10" s="66"/>
      <c r="F10" s="69"/>
      <c r="G10" s="66"/>
      <c r="H10" s="70"/>
      <c r="I10" s="71"/>
      <c r="J10" s="71"/>
      <c r="K10" s="35" t="s">
        <v>65</v>
      </c>
      <c r="L10" s="72">
        <v>10</v>
      </c>
      <c r="M10" s="72"/>
      <c r="N10" s="73"/>
      <c r="O10" s="80" t="s">
        <v>264</v>
      </c>
      <c r="P10" s="82">
        <v>44692.2171875</v>
      </c>
      <c r="Q10" s="80" t="s">
        <v>580</v>
      </c>
      <c r="R10" s="80"/>
      <c r="S10" s="80"/>
      <c r="T10" s="85" t="s">
        <v>596</v>
      </c>
      <c r="U10" s="83" t="str">
        <f>HYPERLINK("https://pbs.twimg.com/media/FSc09v5aQAAY6bm.jpg")</f>
        <v>https://pbs.twimg.com/media/FSc09v5aQAAY6bm.jpg</v>
      </c>
      <c r="V10" s="83" t="str">
        <f>HYPERLINK("https://pbs.twimg.com/media/FSc09v5aQAAY6bm.jpg")</f>
        <v>https://pbs.twimg.com/media/FSc09v5aQAAY6bm.jpg</v>
      </c>
      <c r="W10" s="82">
        <v>44692.2171875</v>
      </c>
      <c r="X10" s="87">
        <v>44692</v>
      </c>
      <c r="Y10" s="85" t="s">
        <v>603</v>
      </c>
      <c r="Z10" s="83" t="str">
        <f>HYPERLINK("https://twitter.com/arshdee51860094/status/1524256174153281536")</f>
        <v>https://twitter.com/arshdee51860094/status/1524256174153281536</v>
      </c>
      <c r="AA10" s="80"/>
      <c r="AB10" s="80"/>
      <c r="AC10" s="85" t="s">
        <v>657</v>
      </c>
      <c r="AD10" s="80"/>
      <c r="AE10" s="80" t="b">
        <v>0</v>
      </c>
      <c r="AF10" s="80">
        <v>0</v>
      </c>
      <c r="AG10" s="85" t="s">
        <v>267</v>
      </c>
      <c r="AH10" s="80" t="b">
        <v>0</v>
      </c>
      <c r="AI10" s="80" t="s">
        <v>268</v>
      </c>
      <c r="AJ10" s="80"/>
      <c r="AK10" s="85" t="s">
        <v>267</v>
      </c>
      <c r="AL10" s="80" t="b">
        <v>0</v>
      </c>
      <c r="AM10" s="80">
        <v>19</v>
      </c>
      <c r="AN10" s="85" t="s">
        <v>696</v>
      </c>
      <c r="AO10" s="85" t="s">
        <v>271</v>
      </c>
      <c r="AP10" s="80" t="b">
        <v>0</v>
      </c>
      <c r="AQ10" s="85" t="s">
        <v>696</v>
      </c>
      <c r="AR10" s="80" t="s">
        <v>218</v>
      </c>
      <c r="AS10" s="80">
        <v>0</v>
      </c>
      <c r="AT10" s="80">
        <v>0</v>
      </c>
      <c r="AU10" s="80"/>
      <c r="AV10" s="80"/>
      <c r="AW10" s="80"/>
      <c r="AX10" s="80"/>
      <c r="AY10" s="80"/>
      <c r="AZ10" s="80"/>
      <c r="BA10" s="80"/>
      <c r="BB10" s="80"/>
      <c r="BC10" s="80">
        <v>1</v>
      </c>
      <c r="BD10" s="79" t="str">
        <f>REPLACE(INDEX(GroupVertices[Group],MATCH(Edges49[[#This Row],[Vertex 1]],GroupVertices[Vertex],0)),1,1,"")</f>
        <v>1</v>
      </c>
      <c r="BE10" s="79" t="str">
        <f>REPLACE(INDEX(GroupVertices[Group],MATCH(Edges49[[#This Row],[Vertex 2]],GroupVertices[Vertex],0)),1,1,"")</f>
        <v>1</v>
      </c>
      <c r="BF10" s="49"/>
      <c r="BG10" s="50"/>
      <c r="BH10" s="49"/>
      <c r="BI10" s="50"/>
      <c r="BJ10" s="49"/>
      <c r="BK10" s="50"/>
      <c r="BL10" s="49"/>
      <c r="BM10" s="50"/>
      <c r="BN10" s="49"/>
    </row>
    <row r="11" spans="1:66" ht="15">
      <c r="A11" s="65" t="s">
        <v>541</v>
      </c>
      <c r="B11" s="65" t="s">
        <v>559</v>
      </c>
      <c r="C11" s="66"/>
      <c r="D11" s="67"/>
      <c r="E11" s="66"/>
      <c r="F11" s="69"/>
      <c r="G11" s="66"/>
      <c r="H11" s="70"/>
      <c r="I11" s="71"/>
      <c r="J11" s="71"/>
      <c r="K11" s="35" t="s">
        <v>65</v>
      </c>
      <c r="L11" s="72">
        <v>11</v>
      </c>
      <c r="M11" s="72"/>
      <c r="N11" s="73"/>
      <c r="O11" s="80" t="s">
        <v>263</v>
      </c>
      <c r="P11" s="82">
        <v>44692.2171875</v>
      </c>
      <c r="Q11" s="80" t="s">
        <v>580</v>
      </c>
      <c r="R11" s="80"/>
      <c r="S11" s="80"/>
      <c r="T11" s="85" t="s">
        <v>596</v>
      </c>
      <c r="U11" s="83" t="str">
        <f>HYPERLINK("https://pbs.twimg.com/media/FSc09v5aQAAY6bm.jpg")</f>
        <v>https://pbs.twimg.com/media/FSc09v5aQAAY6bm.jpg</v>
      </c>
      <c r="V11" s="83" t="str">
        <f>HYPERLINK("https://pbs.twimg.com/media/FSc09v5aQAAY6bm.jpg")</f>
        <v>https://pbs.twimg.com/media/FSc09v5aQAAY6bm.jpg</v>
      </c>
      <c r="W11" s="82">
        <v>44692.2171875</v>
      </c>
      <c r="X11" s="87">
        <v>44692</v>
      </c>
      <c r="Y11" s="85" t="s">
        <v>603</v>
      </c>
      <c r="Z11" s="83" t="str">
        <f>HYPERLINK("https://twitter.com/arshdee51860094/status/1524256174153281536")</f>
        <v>https://twitter.com/arshdee51860094/status/1524256174153281536</v>
      </c>
      <c r="AA11" s="80"/>
      <c r="AB11" s="80"/>
      <c r="AC11" s="85" t="s">
        <v>657</v>
      </c>
      <c r="AD11" s="80"/>
      <c r="AE11" s="80" t="b">
        <v>0</v>
      </c>
      <c r="AF11" s="80">
        <v>0</v>
      </c>
      <c r="AG11" s="85" t="s">
        <v>267</v>
      </c>
      <c r="AH11" s="80" t="b">
        <v>0</v>
      </c>
      <c r="AI11" s="80" t="s">
        <v>268</v>
      </c>
      <c r="AJ11" s="80"/>
      <c r="AK11" s="85" t="s">
        <v>267</v>
      </c>
      <c r="AL11" s="80" t="b">
        <v>0</v>
      </c>
      <c r="AM11" s="80">
        <v>19</v>
      </c>
      <c r="AN11" s="85" t="s">
        <v>696</v>
      </c>
      <c r="AO11" s="85" t="s">
        <v>271</v>
      </c>
      <c r="AP11" s="80" t="b">
        <v>0</v>
      </c>
      <c r="AQ11" s="85" t="s">
        <v>696</v>
      </c>
      <c r="AR11" s="80" t="s">
        <v>218</v>
      </c>
      <c r="AS11" s="80">
        <v>0</v>
      </c>
      <c r="AT11" s="80">
        <v>0</v>
      </c>
      <c r="AU11" s="80"/>
      <c r="AV11" s="80"/>
      <c r="AW11" s="80"/>
      <c r="AX11" s="80"/>
      <c r="AY11" s="80"/>
      <c r="AZ11" s="80"/>
      <c r="BA11" s="80"/>
      <c r="BB11" s="80"/>
      <c r="BC11" s="80">
        <v>1</v>
      </c>
      <c r="BD11" s="79" t="str">
        <f>REPLACE(INDEX(GroupVertices[Group],MATCH(Edges49[[#This Row],[Vertex 1]],GroupVertices[Vertex],0)),1,1,"")</f>
        <v>1</v>
      </c>
      <c r="BE11" s="79" t="str">
        <f>REPLACE(INDEX(GroupVertices[Group],MATCH(Edges49[[#This Row],[Vertex 2]],GroupVertices[Vertex],0)),1,1,"")</f>
        <v>2</v>
      </c>
      <c r="BF11" s="49">
        <v>0</v>
      </c>
      <c r="BG11" s="50">
        <v>0</v>
      </c>
      <c r="BH11" s="49">
        <v>5</v>
      </c>
      <c r="BI11" s="50">
        <v>12.820512820512821</v>
      </c>
      <c r="BJ11" s="49">
        <v>0</v>
      </c>
      <c r="BK11" s="50">
        <v>0</v>
      </c>
      <c r="BL11" s="49">
        <v>34</v>
      </c>
      <c r="BM11" s="50">
        <v>87.17948717948718</v>
      </c>
      <c r="BN11" s="49">
        <v>39</v>
      </c>
    </row>
    <row r="12" spans="1:66" ht="15">
      <c r="A12" s="65" t="s">
        <v>542</v>
      </c>
      <c r="B12" s="65" t="s">
        <v>519</v>
      </c>
      <c r="C12" s="66"/>
      <c r="D12" s="67"/>
      <c r="E12" s="66"/>
      <c r="F12" s="69"/>
      <c r="G12" s="66"/>
      <c r="H12" s="70"/>
      <c r="I12" s="71"/>
      <c r="J12" s="71"/>
      <c r="K12" s="35" t="s">
        <v>65</v>
      </c>
      <c r="L12" s="72">
        <v>12</v>
      </c>
      <c r="M12" s="72"/>
      <c r="N12" s="73"/>
      <c r="O12" s="80" t="s">
        <v>264</v>
      </c>
      <c r="P12" s="82">
        <v>44692.21761574074</v>
      </c>
      <c r="Q12" s="80" t="s">
        <v>580</v>
      </c>
      <c r="R12" s="80"/>
      <c r="S12" s="80"/>
      <c r="T12" s="85" t="s">
        <v>596</v>
      </c>
      <c r="U12" s="83" t="str">
        <f>HYPERLINK("https://pbs.twimg.com/media/FSc09v5aQAAY6bm.jpg")</f>
        <v>https://pbs.twimg.com/media/FSc09v5aQAAY6bm.jpg</v>
      </c>
      <c r="V12" s="83" t="str">
        <f>HYPERLINK("https://pbs.twimg.com/media/FSc09v5aQAAY6bm.jpg")</f>
        <v>https://pbs.twimg.com/media/FSc09v5aQAAY6bm.jpg</v>
      </c>
      <c r="W12" s="82">
        <v>44692.21761574074</v>
      </c>
      <c r="X12" s="87">
        <v>44692</v>
      </c>
      <c r="Y12" s="85" t="s">
        <v>604</v>
      </c>
      <c r="Z12" s="83" t="str">
        <f>HYPERLINK("https://twitter.com/kulvirkaurdhil4/status/1524256327886794754")</f>
        <v>https://twitter.com/kulvirkaurdhil4/status/1524256327886794754</v>
      </c>
      <c r="AA12" s="80"/>
      <c r="AB12" s="80"/>
      <c r="AC12" s="85" t="s">
        <v>658</v>
      </c>
      <c r="AD12" s="80"/>
      <c r="AE12" s="80" t="b">
        <v>0</v>
      </c>
      <c r="AF12" s="80">
        <v>0</v>
      </c>
      <c r="AG12" s="85" t="s">
        <v>267</v>
      </c>
      <c r="AH12" s="80" t="b">
        <v>0</v>
      </c>
      <c r="AI12" s="80" t="s">
        <v>268</v>
      </c>
      <c r="AJ12" s="80"/>
      <c r="AK12" s="85" t="s">
        <v>267</v>
      </c>
      <c r="AL12" s="80" t="b">
        <v>0</v>
      </c>
      <c r="AM12" s="80">
        <v>19</v>
      </c>
      <c r="AN12" s="85" t="s">
        <v>696</v>
      </c>
      <c r="AO12" s="85" t="s">
        <v>271</v>
      </c>
      <c r="AP12" s="80" t="b">
        <v>0</v>
      </c>
      <c r="AQ12" s="85" t="s">
        <v>696</v>
      </c>
      <c r="AR12" s="80" t="s">
        <v>218</v>
      </c>
      <c r="AS12" s="80">
        <v>0</v>
      </c>
      <c r="AT12" s="80">
        <v>0</v>
      </c>
      <c r="AU12" s="80"/>
      <c r="AV12" s="80"/>
      <c r="AW12" s="80"/>
      <c r="AX12" s="80"/>
      <c r="AY12" s="80"/>
      <c r="AZ12" s="80"/>
      <c r="BA12" s="80"/>
      <c r="BB12" s="80"/>
      <c r="BC12" s="80">
        <v>1</v>
      </c>
      <c r="BD12" s="79" t="str">
        <f>REPLACE(INDEX(GroupVertices[Group],MATCH(Edges49[[#This Row],[Vertex 1]],GroupVertices[Vertex],0)),1,1,"")</f>
        <v>1</v>
      </c>
      <c r="BE12" s="79" t="str">
        <f>REPLACE(INDEX(GroupVertices[Group],MATCH(Edges49[[#This Row],[Vertex 2]],GroupVertices[Vertex],0)),1,1,"")</f>
        <v>1</v>
      </c>
      <c r="BF12" s="49"/>
      <c r="BG12" s="50"/>
      <c r="BH12" s="49"/>
      <c r="BI12" s="50"/>
      <c r="BJ12" s="49"/>
      <c r="BK12" s="50"/>
      <c r="BL12" s="49"/>
      <c r="BM12" s="50"/>
      <c r="BN12" s="49"/>
    </row>
    <row r="13" spans="1:66" ht="15">
      <c r="A13" s="65" t="s">
        <v>542</v>
      </c>
      <c r="B13" s="65" t="s">
        <v>258</v>
      </c>
      <c r="C13" s="66"/>
      <c r="D13" s="67"/>
      <c r="E13" s="66"/>
      <c r="F13" s="69"/>
      <c r="G13" s="66"/>
      <c r="H13" s="70"/>
      <c r="I13" s="71"/>
      <c r="J13" s="71"/>
      <c r="K13" s="35" t="s">
        <v>65</v>
      </c>
      <c r="L13" s="72">
        <v>13</v>
      </c>
      <c r="M13" s="72"/>
      <c r="N13" s="73"/>
      <c r="O13" s="80" t="s">
        <v>264</v>
      </c>
      <c r="P13" s="82">
        <v>44692.21761574074</v>
      </c>
      <c r="Q13" s="80" t="s">
        <v>580</v>
      </c>
      <c r="R13" s="80"/>
      <c r="S13" s="80"/>
      <c r="T13" s="85" t="s">
        <v>596</v>
      </c>
      <c r="U13" s="83" t="str">
        <f>HYPERLINK("https://pbs.twimg.com/media/FSc09v5aQAAY6bm.jpg")</f>
        <v>https://pbs.twimg.com/media/FSc09v5aQAAY6bm.jpg</v>
      </c>
      <c r="V13" s="83" t="str">
        <f>HYPERLINK("https://pbs.twimg.com/media/FSc09v5aQAAY6bm.jpg")</f>
        <v>https://pbs.twimg.com/media/FSc09v5aQAAY6bm.jpg</v>
      </c>
      <c r="W13" s="82">
        <v>44692.21761574074</v>
      </c>
      <c r="X13" s="87">
        <v>44692</v>
      </c>
      <c r="Y13" s="85" t="s">
        <v>604</v>
      </c>
      <c r="Z13" s="83" t="str">
        <f>HYPERLINK("https://twitter.com/kulvirkaurdhil4/status/1524256327886794754")</f>
        <v>https://twitter.com/kulvirkaurdhil4/status/1524256327886794754</v>
      </c>
      <c r="AA13" s="80"/>
      <c r="AB13" s="80"/>
      <c r="AC13" s="85" t="s">
        <v>658</v>
      </c>
      <c r="AD13" s="80"/>
      <c r="AE13" s="80" t="b">
        <v>0</v>
      </c>
      <c r="AF13" s="80">
        <v>0</v>
      </c>
      <c r="AG13" s="85" t="s">
        <v>267</v>
      </c>
      <c r="AH13" s="80" t="b">
        <v>0</v>
      </c>
      <c r="AI13" s="80" t="s">
        <v>268</v>
      </c>
      <c r="AJ13" s="80"/>
      <c r="AK13" s="85" t="s">
        <v>267</v>
      </c>
      <c r="AL13" s="80" t="b">
        <v>0</v>
      </c>
      <c r="AM13" s="80">
        <v>19</v>
      </c>
      <c r="AN13" s="85" t="s">
        <v>696</v>
      </c>
      <c r="AO13" s="85" t="s">
        <v>271</v>
      </c>
      <c r="AP13" s="80" t="b">
        <v>0</v>
      </c>
      <c r="AQ13" s="85" t="s">
        <v>696</v>
      </c>
      <c r="AR13" s="80" t="s">
        <v>218</v>
      </c>
      <c r="AS13" s="80">
        <v>0</v>
      </c>
      <c r="AT13" s="80">
        <v>0</v>
      </c>
      <c r="AU13" s="80"/>
      <c r="AV13" s="80"/>
      <c r="AW13" s="80"/>
      <c r="AX13" s="80"/>
      <c r="AY13" s="80"/>
      <c r="AZ13" s="80"/>
      <c r="BA13" s="80"/>
      <c r="BB13" s="80"/>
      <c r="BC13" s="80">
        <v>1</v>
      </c>
      <c r="BD13" s="79" t="str">
        <f>REPLACE(INDEX(GroupVertices[Group],MATCH(Edges49[[#This Row],[Vertex 1]],GroupVertices[Vertex],0)),1,1,"")</f>
        <v>1</v>
      </c>
      <c r="BE13" s="79" t="str">
        <f>REPLACE(INDEX(GroupVertices[Group],MATCH(Edges49[[#This Row],[Vertex 2]],GroupVertices[Vertex],0)),1,1,"")</f>
        <v>1</v>
      </c>
      <c r="BF13" s="49"/>
      <c r="BG13" s="50"/>
      <c r="BH13" s="49"/>
      <c r="BI13" s="50"/>
      <c r="BJ13" s="49"/>
      <c r="BK13" s="50"/>
      <c r="BL13" s="49"/>
      <c r="BM13" s="50"/>
      <c r="BN13" s="49"/>
    </row>
    <row r="14" spans="1:66" ht="15">
      <c r="A14" s="65" t="s">
        <v>542</v>
      </c>
      <c r="B14" s="65" t="s">
        <v>559</v>
      </c>
      <c r="C14" s="66"/>
      <c r="D14" s="67"/>
      <c r="E14" s="66"/>
      <c r="F14" s="69"/>
      <c r="G14" s="66"/>
      <c r="H14" s="70"/>
      <c r="I14" s="71"/>
      <c r="J14" s="71"/>
      <c r="K14" s="35" t="s">
        <v>65</v>
      </c>
      <c r="L14" s="72">
        <v>14</v>
      </c>
      <c r="M14" s="72"/>
      <c r="N14" s="73"/>
      <c r="O14" s="80" t="s">
        <v>263</v>
      </c>
      <c r="P14" s="82">
        <v>44692.21761574074</v>
      </c>
      <c r="Q14" s="80" t="s">
        <v>580</v>
      </c>
      <c r="R14" s="80"/>
      <c r="S14" s="80"/>
      <c r="T14" s="85" t="s">
        <v>596</v>
      </c>
      <c r="U14" s="83" t="str">
        <f>HYPERLINK("https://pbs.twimg.com/media/FSc09v5aQAAY6bm.jpg")</f>
        <v>https://pbs.twimg.com/media/FSc09v5aQAAY6bm.jpg</v>
      </c>
      <c r="V14" s="83" t="str">
        <f>HYPERLINK("https://pbs.twimg.com/media/FSc09v5aQAAY6bm.jpg")</f>
        <v>https://pbs.twimg.com/media/FSc09v5aQAAY6bm.jpg</v>
      </c>
      <c r="W14" s="82">
        <v>44692.21761574074</v>
      </c>
      <c r="X14" s="87">
        <v>44692</v>
      </c>
      <c r="Y14" s="85" t="s">
        <v>604</v>
      </c>
      <c r="Z14" s="83" t="str">
        <f>HYPERLINK("https://twitter.com/kulvirkaurdhil4/status/1524256327886794754")</f>
        <v>https://twitter.com/kulvirkaurdhil4/status/1524256327886794754</v>
      </c>
      <c r="AA14" s="80"/>
      <c r="AB14" s="80"/>
      <c r="AC14" s="85" t="s">
        <v>658</v>
      </c>
      <c r="AD14" s="80"/>
      <c r="AE14" s="80" t="b">
        <v>0</v>
      </c>
      <c r="AF14" s="80">
        <v>0</v>
      </c>
      <c r="AG14" s="85" t="s">
        <v>267</v>
      </c>
      <c r="AH14" s="80" t="b">
        <v>0</v>
      </c>
      <c r="AI14" s="80" t="s">
        <v>268</v>
      </c>
      <c r="AJ14" s="80"/>
      <c r="AK14" s="85" t="s">
        <v>267</v>
      </c>
      <c r="AL14" s="80" t="b">
        <v>0</v>
      </c>
      <c r="AM14" s="80">
        <v>19</v>
      </c>
      <c r="AN14" s="85" t="s">
        <v>696</v>
      </c>
      <c r="AO14" s="85" t="s">
        <v>271</v>
      </c>
      <c r="AP14" s="80" t="b">
        <v>0</v>
      </c>
      <c r="AQ14" s="85" t="s">
        <v>696</v>
      </c>
      <c r="AR14" s="80" t="s">
        <v>218</v>
      </c>
      <c r="AS14" s="80">
        <v>0</v>
      </c>
      <c r="AT14" s="80">
        <v>0</v>
      </c>
      <c r="AU14" s="80"/>
      <c r="AV14" s="80"/>
      <c r="AW14" s="80"/>
      <c r="AX14" s="80"/>
      <c r="AY14" s="80"/>
      <c r="AZ14" s="80"/>
      <c r="BA14" s="80"/>
      <c r="BB14" s="80"/>
      <c r="BC14" s="80">
        <v>1</v>
      </c>
      <c r="BD14" s="79" t="str">
        <f>REPLACE(INDEX(GroupVertices[Group],MATCH(Edges49[[#This Row],[Vertex 1]],GroupVertices[Vertex],0)),1,1,"")</f>
        <v>1</v>
      </c>
      <c r="BE14" s="79" t="str">
        <f>REPLACE(INDEX(GroupVertices[Group],MATCH(Edges49[[#This Row],[Vertex 2]],GroupVertices[Vertex],0)),1,1,"")</f>
        <v>2</v>
      </c>
      <c r="BF14" s="49">
        <v>0</v>
      </c>
      <c r="BG14" s="50">
        <v>0</v>
      </c>
      <c r="BH14" s="49">
        <v>5</v>
      </c>
      <c r="BI14" s="50">
        <v>12.820512820512821</v>
      </c>
      <c r="BJ14" s="49">
        <v>0</v>
      </c>
      <c r="BK14" s="50">
        <v>0</v>
      </c>
      <c r="BL14" s="49">
        <v>34</v>
      </c>
      <c r="BM14" s="50">
        <v>87.17948717948718</v>
      </c>
      <c r="BN14" s="49">
        <v>39</v>
      </c>
    </row>
    <row r="15" spans="1:66" ht="15">
      <c r="A15" s="65" t="s">
        <v>543</v>
      </c>
      <c r="B15" s="65" t="s">
        <v>519</v>
      </c>
      <c r="C15" s="66"/>
      <c r="D15" s="67"/>
      <c r="E15" s="66"/>
      <c r="F15" s="69"/>
      <c r="G15" s="66"/>
      <c r="H15" s="70"/>
      <c r="I15" s="71"/>
      <c r="J15" s="71"/>
      <c r="K15" s="35" t="s">
        <v>65</v>
      </c>
      <c r="L15" s="72">
        <v>15</v>
      </c>
      <c r="M15" s="72"/>
      <c r="N15" s="73"/>
      <c r="O15" s="80" t="s">
        <v>264</v>
      </c>
      <c r="P15" s="82">
        <v>44692.52782407407</v>
      </c>
      <c r="Q15" s="80" t="s">
        <v>580</v>
      </c>
      <c r="R15" s="80"/>
      <c r="S15" s="80"/>
      <c r="T15" s="85" t="s">
        <v>596</v>
      </c>
      <c r="U15" s="83" t="str">
        <f>HYPERLINK("https://pbs.twimg.com/media/FSc09v5aQAAY6bm.jpg")</f>
        <v>https://pbs.twimg.com/media/FSc09v5aQAAY6bm.jpg</v>
      </c>
      <c r="V15" s="83" t="str">
        <f>HYPERLINK("https://pbs.twimg.com/media/FSc09v5aQAAY6bm.jpg")</f>
        <v>https://pbs.twimg.com/media/FSc09v5aQAAY6bm.jpg</v>
      </c>
      <c r="W15" s="82">
        <v>44692.52782407407</v>
      </c>
      <c r="X15" s="87">
        <v>44692</v>
      </c>
      <c r="Y15" s="85" t="s">
        <v>605</v>
      </c>
      <c r="Z15" s="83" t="str">
        <f>HYPERLINK("https://twitter.com/sahilpa45483022/status/1524368741751918592")</f>
        <v>https://twitter.com/sahilpa45483022/status/1524368741751918592</v>
      </c>
      <c r="AA15" s="80"/>
      <c r="AB15" s="80"/>
      <c r="AC15" s="85" t="s">
        <v>659</v>
      </c>
      <c r="AD15" s="80"/>
      <c r="AE15" s="80" t="b">
        <v>0</v>
      </c>
      <c r="AF15" s="80">
        <v>0</v>
      </c>
      <c r="AG15" s="85" t="s">
        <v>267</v>
      </c>
      <c r="AH15" s="80" t="b">
        <v>0</v>
      </c>
      <c r="AI15" s="80" t="s">
        <v>268</v>
      </c>
      <c r="AJ15" s="80"/>
      <c r="AK15" s="85" t="s">
        <v>267</v>
      </c>
      <c r="AL15" s="80" t="b">
        <v>0</v>
      </c>
      <c r="AM15" s="80">
        <v>19</v>
      </c>
      <c r="AN15" s="85" t="s">
        <v>696</v>
      </c>
      <c r="AO15" s="85" t="s">
        <v>272</v>
      </c>
      <c r="AP15" s="80" t="b">
        <v>0</v>
      </c>
      <c r="AQ15" s="85" t="s">
        <v>696</v>
      </c>
      <c r="AR15" s="80" t="s">
        <v>218</v>
      </c>
      <c r="AS15" s="80">
        <v>0</v>
      </c>
      <c r="AT15" s="80">
        <v>0</v>
      </c>
      <c r="AU15" s="80"/>
      <c r="AV15" s="80"/>
      <c r="AW15" s="80"/>
      <c r="AX15" s="80"/>
      <c r="AY15" s="80"/>
      <c r="AZ15" s="80"/>
      <c r="BA15" s="80"/>
      <c r="BB15" s="80"/>
      <c r="BC15" s="80">
        <v>1</v>
      </c>
      <c r="BD15" s="79" t="str">
        <f>REPLACE(INDEX(GroupVertices[Group],MATCH(Edges49[[#This Row],[Vertex 1]],GroupVertices[Vertex],0)),1,1,"")</f>
        <v>1</v>
      </c>
      <c r="BE15" s="79" t="str">
        <f>REPLACE(INDEX(GroupVertices[Group],MATCH(Edges49[[#This Row],[Vertex 2]],GroupVertices[Vertex],0)),1,1,"")</f>
        <v>1</v>
      </c>
      <c r="BF15" s="49"/>
      <c r="BG15" s="50"/>
      <c r="BH15" s="49"/>
      <c r="BI15" s="50"/>
      <c r="BJ15" s="49"/>
      <c r="BK15" s="50"/>
      <c r="BL15" s="49"/>
      <c r="BM15" s="50"/>
      <c r="BN15" s="49"/>
    </row>
    <row r="16" spans="1:66" ht="15">
      <c r="A16" s="65" t="s">
        <v>543</v>
      </c>
      <c r="B16" s="65" t="s">
        <v>258</v>
      </c>
      <c r="C16" s="66"/>
      <c r="D16" s="67"/>
      <c r="E16" s="66"/>
      <c r="F16" s="69"/>
      <c r="G16" s="66"/>
      <c r="H16" s="70"/>
      <c r="I16" s="71"/>
      <c r="J16" s="71"/>
      <c r="K16" s="35" t="s">
        <v>65</v>
      </c>
      <c r="L16" s="72">
        <v>16</v>
      </c>
      <c r="M16" s="72"/>
      <c r="N16" s="73"/>
      <c r="O16" s="80" t="s">
        <v>264</v>
      </c>
      <c r="P16" s="82">
        <v>44692.52782407407</v>
      </c>
      <c r="Q16" s="80" t="s">
        <v>580</v>
      </c>
      <c r="R16" s="80"/>
      <c r="S16" s="80"/>
      <c r="T16" s="85" t="s">
        <v>596</v>
      </c>
      <c r="U16" s="83" t="str">
        <f>HYPERLINK("https://pbs.twimg.com/media/FSc09v5aQAAY6bm.jpg")</f>
        <v>https://pbs.twimg.com/media/FSc09v5aQAAY6bm.jpg</v>
      </c>
      <c r="V16" s="83" t="str">
        <f>HYPERLINK("https://pbs.twimg.com/media/FSc09v5aQAAY6bm.jpg")</f>
        <v>https://pbs.twimg.com/media/FSc09v5aQAAY6bm.jpg</v>
      </c>
      <c r="W16" s="82">
        <v>44692.52782407407</v>
      </c>
      <c r="X16" s="87">
        <v>44692</v>
      </c>
      <c r="Y16" s="85" t="s">
        <v>605</v>
      </c>
      <c r="Z16" s="83" t="str">
        <f>HYPERLINK("https://twitter.com/sahilpa45483022/status/1524368741751918592")</f>
        <v>https://twitter.com/sahilpa45483022/status/1524368741751918592</v>
      </c>
      <c r="AA16" s="80"/>
      <c r="AB16" s="80"/>
      <c r="AC16" s="85" t="s">
        <v>659</v>
      </c>
      <c r="AD16" s="80"/>
      <c r="AE16" s="80" t="b">
        <v>0</v>
      </c>
      <c r="AF16" s="80">
        <v>0</v>
      </c>
      <c r="AG16" s="85" t="s">
        <v>267</v>
      </c>
      <c r="AH16" s="80" t="b">
        <v>0</v>
      </c>
      <c r="AI16" s="80" t="s">
        <v>268</v>
      </c>
      <c r="AJ16" s="80"/>
      <c r="AK16" s="85" t="s">
        <v>267</v>
      </c>
      <c r="AL16" s="80" t="b">
        <v>0</v>
      </c>
      <c r="AM16" s="80">
        <v>19</v>
      </c>
      <c r="AN16" s="85" t="s">
        <v>696</v>
      </c>
      <c r="AO16" s="85" t="s">
        <v>272</v>
      </c>
      <c r="AP16" s="80" t="b">
        <v>0</v>
      </c>
      <c r="AQ16" s="85" t="s">
        <v>696</v>
      </c>
      <c r="AR16" s="80" t="s">
        <v>218</v>
      </c>
      <c r="AS16" s="80">
        <v>0</v>
      </c>
      <c r="AT16" s="80">
        <v>0</v>
      </c>
      <c r="AU16" s="80"/>
      <c r="AV16" s="80"/>
      <c r="AW16" s="80"/>
      <c r="AX16" s="80"/>
      <c r="AY16" s="80"/>
      <c r="AZ16" s="80"/>
      <c r="BA16" s="80"/>
      <c r="BB16" s="80"/>
      <c r="BC16" s="80">
        <v>1</v>
      </c>
      <c r="BD16" s="79" t="str">
        <f>REPLACE(INDEX(GroupVertices[Group],MATCH(Edges49[[#This Row],[Vertex 1]],GroupVertices[Vertex],0)),1,1,"")</f>
        <v>1</v>
      </c>
      <c r="BE16" s="79" t="str">
        <f>REPLACE(INDEX(GroupVertices[Group],MATCH(Edges49[[#This Row],[Vertex 2]],GroupVertices[Vertex],0)),1,1,"")</f>
        <v>1</v>
      </c>
      <c r="BF16" s="49"/>
      <c r="BG16" s="50"/>
      <c r="BH16" s="49"/>
      <c r="BI16" s="50"/>
      <c r="BJ16" s="49"/>
      <c r="BK16" s="50"/>
      <c r="BL16" s="49"/>
      <c r="BM16" s="50"/>
      <c r="BN16" s="49"/>
    </row>
    <row r="17" spans="1:66" ht="15">
      <c r="A17" s="65" t="s">
        <v>543</v>
      </c>
      <c r="B17" s="65" t="s">
        <v>559</v>
      </c>
      <c r="C17" s="66"/>
      <c r="D17" s="67"/>
      <c r="E17" s="66"/>
      <c r="F17" s="69"/>
      <c r="G17" s="66"/>
      <c r="H17" s="70"/>
      <c r="I17" s="71"/>
      <c r="J17" s="71"/>
      <c r="K17" s="35" t="s">
        <v>65</v>
      </c>
      <c r="L17" s="72">
        <v>17</v>
      </c>
      <c r="M17" s="72"/>
      <c r="N17" s="73"/>
      <c r="O17" s="80" t="s">
        <v>263</v>
      </c>
      <c r="P17" s="82">
        <v>44692.52782407407</v>
      </c>
      <c r="Q17" s="80" t="s">
        <v>580</v>
      </c>
      <c r="R17" s="80"/>
      <c r="S17" s="80"/>
      <c r="T17" s="85" t="s">
        <v>596</v>
      </c>
      <c r="U17" s="83" t="str">
        <f>HYPERLINK("https://pbs.twimg.com/media/FSc09v5aQAAY6bm.jpg")</f>
        <v>https://pbs.twimg.com/media/FSc09v5aQAAY6bm.jpg</v>
      </c>
      <c r="V17" s="83" t="str">
        <f>HYPERLINK("https://pbs.twimg.com/media/FSc09v5aQAAY6bm.jpg")</f>
        <v>https://pbs.twimg.com/media/FSc09v5aQAAY6bm.jpg</v>
      </c>
      <c r="W17" s="82">
        <v>44692.52782407407</v>
      </c>
      <c r="X17" s="87">
        <v>44692</v>
      </c>
      <c r="Y17" s="85" t="s">
        <v>605</v>
      </c>
      <c r="Z17" s="83" t="str">
        <f>HYPERLINK("https://twitter.com/sahilpa45483022/status/1524368741751918592")</f>
        <v>https://twitter.com/sahilpa45483022/status/1524368741751918592</v>
      </c>
      <c r="AA17" s="80"/>
      <c r="AB17" s="80"/>
      <c r="AC17" s="85" t="s">
        <v>659</v>
      </c>
      <c r="AD17" s="80"/>
      <c r="AE17" s="80" t="b">
        <v>0</v>
      </c>
      <c r="AF17" s="80">
        <v>0</v>
      </c>
      <c r="AG17" s="85" t="s">
        <v>267</v>
      </c>
      <c r="AH17" s="80" t="b">
        <v>0</v>
      </c>
      <c r="AI17" s="80" t="s">
        <v>268</v>
      </c>
      <c r="AJ17" s="80"/>
      <c r="AK17" s="85" t="s">
        <v>267</v>
      </c>
      <c r="AL17" s="80" t="b">
        <v>0</v>
      </c>
      <c r="AM17" s="80">
        <v>19</v>
      </c>
      <c r="AN17" s="85" t="s">
        <v>696</v>
      </c>
      <c r="AO17" s="85" t="s">
        <v>272</v>
      </c>
      <c r="AP17" s="80" t="b">
        <v>0</v>
      </c>
      <c r="AQ17" s="85" t="s">
        <v>696</v>
      </c>
      <c r="AR17" s="80" t="s">
        <v>218</v>
      </c>
      <c r="AS17" s="80">
        <v>0</v>
      </c>
      <c r="AT17" s="80">
        <v>0</v>
      </c>
      <c r="AU17" s="80"/>
      <c r="AV17" s="80"/>
      <c r="AW17" s="80"/>
      <c r="AX17" s="80"/>
      <c r="AY17" s="80"/>
      <c r="AZ17" s="80"/>
      <c r="BA17" s="80"/>
      <c r="BB17" s="80"/>
      <c r="BC17" s="80">
        <v>1</v>
      </c>
      <c r="BD17" s="79" t="str">
        <f>REPLACE(INDEX(GroupVertices[Group],MATCH(Edges49[[#This Row],[Vertex 1]],GroupVertices[Vertex],0)),1,1,"")</f>
        <v>1</v>
      </c>
      <c r="BE17" s="79" t="str">
        <f>REPLACE(INDEX(GroupVertices[Group],MATCH(Edges49[[#This Row],[Vertex 2]],GroupVertices[Vertex],0)),1,1,"")</f>
        <v>2</v>
      </c>
      <c r="BF17" s="49">
        <v>0</v>
      </c>
      <c r="BG17" s="50">
        <v>0</v>
      </c>
      <c r="BH17" s="49">
        <v>5</v>
      </c>
      <c r="BI17" s="50">
        <v>12.820512820512821</v>
      </c>
      <c r="BJ17" s="49">
        <v>0</v>
      </c>
      <c r="BK17" s="50">
        <v>0</v>
      </c>
      <c r="BL17" s="49">
        <v>34</v>
      </c>
      <c r="BM17" s="50">
        <v>87.17948717948718</v>
      </c>
      <c r="BN17" s="49">
        <v>39</v>
      </c>
    </row>
    <row r="18" spans="1:66" ht="15">
      <c r="A18" s="65" t="s">
        <v>544</v>
      </c>
      <c r="B18" s="65" t="s">
        <v>519</v>
      </c>
      <c r="C18" s="66"/>
      <c r="D18" s="67"/>
      <c r="E18" s="66"/>
      <c r="F18" s="69"/>
      <c r="G18" s="66"/>
      <c r="H18" s="70"/>
      <c r="I18" s="71"/>
      <c r="J18" s="71"/>
      <c r="K18" s="35" t="s">
        <v>65</v>
      </c>
      <c r="L18" s="72">
        <v>18</v>
      </c>
      <c r="M18" s="72"/>
      <c r="N18" s="73"/>
      <c r="O18" s="80" t="s">
        <v>264</v>
      </c>
      <c r="P18" s="82">
        <v>44692.55068287037</v>
      </c>
      <c r="Q18" s="80" t="s">
        <v>581</v>
      </c>
      <c r="R18" s="80"/>
      <c r="S18" s="80"/>
      <c r="T18" s="80"/>
      <c r="U18" s="83" t="str">
        <f>HYPERLINK("https://pbs.twimg.com/ext_tw_video_thumb/1524368758437216256/pu/img/3UwSYL_0rta3dEGi.jpg")</f>
        <v>https://pbs.twimg.com/ext_tw_video_thumb/1524368758437216256/pu/img/3UwSYL_0rta3dEGi.jpg</v>
      </c>
      <c r="V18" s="83" t="str">
        <f>HYPERLINK("https://pbs.twimg.com/ext_tw_video_thumb/1524368758437216256/pu/img/3UwSYL_0rta3dEGi.jpg")</f>
        <v>https://pbs.twimg.com/ext_tw_video_thumb/1524368758437216256/pu/img/3UwSYL_0rta3dEGi.jpg</v>
      </c>
      <c r="W18" s="82">
        <v>44692.55068287037</v>
      </c>
      <c r="X18" s="87">
        <v>44692</v>
      </c>
      <c r="Y18" s="85" t="s">
        <v>606</v>
      </c>
      <c r="Z18" s="83" t="str">
        <f>HYPERLINK("https://twitter.com/simranj59927871/status/1524377029289791489")</f>
        <v>https://twitter.com/simranj59927871/status/1524377029289791489</v>
      </c>
      <c r="AA18" s="80"/>
      <c r="AB18" s="80"/>
      <c r="AC18" s="85" t="s">
        <v>660</v>
      </c>
      <c r="AD18" s="80"/>
      <c r="AE18" s="80" t="b">
        <v>0</v>
      </c>
      <c r="AF18" s="80">
        <v>0</v>
      </c>
      <c r="AG18" s="85" t="s">
        <v>267</v>
      </c>
      <c r="AH18" s="80" t="b">
        <v>0</v>
      </c>
      <c r="AI18" s="80" t="s">
        <v>268</v>
      </c>
      <c r="AJ18" s="80"/>
      <c r="AK18" s="85" t="s">
        <v>267</v>
      </c>
      <c r="AL18" s="80" t="b">
        <v>0</v>
      </c>
      <c r="AM18" s="80">
        <v>16</v>
      </c>
      <c r="AN18" s="85" t="s">
        <v>698</v>
      </c>
      <c r="AO18" s="85" t="s">
        <v>271</v>
      </c>
      <c r="AP18" s="80" t="b">
        <v>0</v>
      </c>
      <c r="AQ18" s="85" t="s">
        <v>698</v>
      </c>
      <c r="AR18" s="80" t="s">
        <v>218</v>
      </c>
      <c r="AS18" s="80">
        <v>0</v>
      </c>
      <c r="AT18" s="80">
        <v>0</v>
      </c>
      <c r="AU18" s="80"/>
      <c r="AV18" s="80"/>
      <c r="AW18" s="80"/>
      <c r="AX18" s="80"/>
      <c r="AY18" s="80"/>
      <c r="AZ18" s="80"/>
      <c r="BA18" s="80"/>
      <c r="BB18" s="80"/>
      <c r="BC18" s="80">
        <v>2</v>
      </c>
      <c r="BD18" s="79" t="str">
        <f>REPLACE(INDEX(GroupVertices[Group],MATCH(Edges49[[#This Row],[Vertex 1]],GroupVertices[Vertex],0)),1,1,"")</f>
        <v>1</v>
      </c>
      <c r="BE18" s="79" t="str">
        <f>REPLACE(INDEX(GroupVertices[Group],MATCH(Edges49[[#This Row],[Vertex 2]],GroupVertices[Vertex],0)),1,1,"")</f>
        <v>1</v>
      </c>
      <c r="BF18" s="49"/>
      <c r="BG18" s="50"/>
      <c r="BH18" s="49"/>
      <c r="BI18" s="50"/>
      <c r="BJ18" s="49"/>
      <c r="BK18" s="50"/>
      <c r="BL18" s="49"/>
      <c r="BM18" s="50"/>
      <c r="BN18" s="49"/>
    </row>
    <row r="19" spans="1:66" ht="15">
      <c r="A19" s="65" t="s">
        <v>544</v>
      </c>
      <c r="B19" s="65" t="s">
        <v>559</v>
      </c>
      <c r="C19" s="66"/>
      <c r="D19" s="67"/>
      <c r="E19" s="66"/>
      <c r="F19" s="69"/>
      <c r="G19" s="66"/>
      <c r="H19" s="70"/>
      <c r="I19" s="71"/>
      <c r="J19" s="71"/>
      <c r="K19" s="35" t="s">
        <v>65</v>
      </c>
      <c r="L19" s="72">
        <v>19</v>
      </c>
      <c r="M19" s="72"/>
      <c r="N19" s="73"/>
      <c r="O19" s="80" t="s">
        <v>263</v>
      </c>
      <c r="P19" s="82">
        <v>44692.55068287037</v>
      </c>
      <c r="Q19" s="80" t="s">
        <v>581</v>
      </c>
      <c r="R19" s="80"/>
      <c r="S19" s="80"/>
      <c r="T19" s="80"/>
      <c r="U19" s="83" t="str">
        <f>HYPERLINK("https://pbs.twimg.com/ext_tw_video_thumb/1524368758437216256/pu/img/3UwSYL_0rta3dEGi.jpg")</f>
        <v>https://pbs.twimg.com/ext_tw_video_thumb/1524368758437216256/pu/img/3UwSYL_0rta3dEGi.jpg</v>
      </c>
      <c r="V19" s="83" t="str">
        <f>HYPERLINK("https://pbs.twimg.com/ext_tw_video_thumb/1524368758437216256/pu/img/3UwSYL_0rta3dEGi.jpg")</f>
        <v>https://pbs.twimg.com/ext_tw_video_thumb/1524368758437216256/pu/img/3UwSYL_0rta3dEGi.jpg</v>
      </c>
      <c r="W19" s="82">
        <v>44692.55068287037</v>
      </c>
      <c r="X19" s="87">
        <v>44692</v>
      </c>
      <c r="Y19" s="85" t="s">
        <v>606</v>
      </c>
      <c r="Z19" s="83" t="str">
        <f>HYPERLINK("https://twitter.com/simranj59927871/status/1524377029289791489")</f>
        <v>https://twitter.com/simranj59927871/status/1524377029289791489</v>
      </c>
      <c r="AA19" s="80"/>
      <c r="AB19" s="80"/>
      <c r="AC19" s="85" t="s">
        <v>660</v>
      </c>
      <c r="AD19" s="80"/>
      <c r="AE19" s="80" t="b">
        <v>0</v>
      </c>
      <c r="AF19" s="80">
        <v>0</v>
      </c>
      <c r="AG19" s="85" t="s">
        <v>267</v>
      </c>
      <c r="AH19" s="80" t="b">
        <v>0</v>
      </c>
      <c r="AI19" s="80" t="s">
        <v>268</v>
      </c>
      <c r="AJ19" s="80"/>
      <c r="AK19" s="85" t="s">
        <v>267</v>
      </c>
      <c r="AL19" s="80" t="b">
        <v>0</v>
      </c>
      <c r="AM19" s="80">
        <v>16</v>
      </c>
      <c r="AN19" s="85" t="s">
        <v>698</v>
      </c>
      <c r="AO19" s="85" t="s">
        <v>271</v>
      </c>
      <c r="AP19" s="80" t="b">
        <v>0</v>
      </c>
      <c r="AQ19" s="85" t="s">
        <v>698</v>
      </c>
      <c r="AR19" s="80" t="s">
        <v>218</v>
      </c>
      <c r="AS19" s="80">
        <v>0</v>
      </c>
      <c r="AT19" s="80">
        <v>0</v>
      </c>
      <c r="AU19" s="80"/>
      <c r="AV19" s="80"/>
      <c r="AW19" s="80"/>
      <c r="AX19" s="80"/>
      <c r="AY19" s="80"/>
      <c r="AZ19" s="80"/>
      <c r="BA19" s="80"/>
      <c r="BB19" s="80"/>
      <c r="BC19" s="80">
        <v>2</v>
      </c>
      <c r="BD19" s="79" t="str">
        <f>REPLACE(INDEX(GroupVertices[Group],MATCH(Edges49[[#This Row],[Vertex 1]],GroupVertices[Vertex],0)),1,1,"")</f>
        <v>1</v>
      </c>
      <c r="BE19" s="79" t="str">
        <f>REPLACE(INDEX(GroupVertices[Group],MATCH(Edges49[[#This Row],[Vertex 2]],GroupVertices[Vertex],0)),1,1,"")</f>
        <v>2</v>
      </c>
      <c r="BF19" s="49">
        <v>0</v>
      </c>
      <c r="BG19" s="50">
        <v>0</v>
      </c>
      <c r="BH19" s="49">
        <v>2</v>
      </c>
      <c r="BI19" s="50">
        <v>4.651162790697675</v>
      </c>
      <c r="BJ19" s="49">
        <v>0</v>
      </c>
      <c r="BK19" s="50">
        <v>0</v>
      </c>
      <c r="BL19" s="49">
        <v>41</v>
      </c>
      <c r="BM19" s="50">
        <v>95.34883720930233</v>
      </c>
      <c r="BN19" s="49">
        <v>43</v>
      </c>
    </row>
    <row r="20" spans="1:66" ht="15">
      <c r="A20" s="65" t="s">
        <v>544</v>
      </c>
      <c r="B20" s="65" t="s">
        <v>519</v>
      </c>
      <c r="C20" s="66"/>
      <c r="D20" s="67"/>
      <c r="E20" s="66"/>
      <c r="F20" s="69"/>
      <c r="G20" s="66"/>
      <c r="H20" s="70"/>
      <c r="I20" s="71"/>
      <c r="J20" s="71"/>
      <c r="K20" s="35" t="s">
        <v>65</v>
      </c>
      <c r="L20" s="72">
        <v>20</v>
      </c>
      <c r="M20" s="72"/>
      <c r="N20" s="73"/>
      <c r="O20" s="80" t="s">
        <v>264</v>
      </c>
      <c r="P20" s="82">
        <v>44692.55082175926</v>
      </c>
      <c r="Q20" s="80" t="s">
        <v>580</v>
      </c>
      <c r="R20" s="80"/>
      <c r="S20" s="80"/>
      <c r="T20" s="85" t="s">
        <v>596</v>
      </c>
      <c r="U20" s="83" t="str">
        <f>HYPERLINK("https://pbs.twimg.com/media/FSc09v5aQAAY6bm.jpg")</f>
        <v>https://pbs.twimg.com/media/FSc09v5aQAAY6bm.jpg</v>
      </c>
      <c r="V20" s="83" t="str">
        <f>HYPERLINK("https://pbs.twimg.com/media/FSc09v5aQAAY6bm.jpg")</f>
        <v>https://pbs.twimg.com/media/FSc09v5aQAAY6bm.jpg</v>
      </c>
      <c r="W20" s="82">
        <v>44692.55082175926</v>
      </c>
      <c r="X20" s="87">
        <v>44692</v>
      </c>
      <c r="Y20" s="85" t="s">
        <v>607</v>
      </c>
      <c r="Z20" s="83" t="str">
        <f>HYPERLINK("https://twitter.com/simranj59927871/status/1524377076651814912")</f>
        <v>https://twitter.com/simranj59927871/status/1524377076651814912</v>
      </c>
      <c r="AA20" s="80"/>
      <c r="AB20" s="80"/>
      <c r="AC20" s="85" t="s">
        <v>661</v>
      </c>
      <c r="AD20" s="80"/>
      <c r="AE20" s="80" t="b">
        <v>0</v>
      </c>
      <c r="AF20" s="80">
        <v>0</v>
      </c>
      <c r="AG20" s="85" t="s">
        <v>267</v>
      </c>
      <c r="AH20" s="80" t="b">
        <v>0</v>
      </c>
      <c r="AI20" s="80" t="s">
        <v>268</v>
      </c>
      <c r="AJ20" s="80"/>
      <c r="AK20" s="85" t="s">
        <v>267</v>
      </c>
      <c r="AL20" s="80" t="b">
        <v>0</v>
      </c>
      <c r="AM20" s="80">
        <v>19</v>
      </c>
      <c r="AN20" s="85" t="s">
        <v>696</v>
      </c>
      <c r="AO20" s="85" t="s">
        <v>271</v>
      </c>
      <c r="AP20" s="80" t="b">
        <v>0</v>
      </c>
      <c r="AQ20" s="85" t="s">
        <v>696</v>
      </c>
      <c r="AR20" s="80" t="s">
        <v>218</v>
      </c>
      <c r="AS20" s="80">
        <v>0</v>
      </c>
      <c r="AT20" s="80">
        <v>0</v>
      </c>
      <c r="AU20" s="80"/>
      <c r="AV20" s="80"/>
      <c r="AW20" s="80"/>
      <c r="AX20" s="80"/>
      <c r="AY20" s="80"/>
      <c r="AZ20" s="80"/>
      <c r="BA20" s="80"/>
      <c r="BB20" s="80"/>
      <c r="BC20" s="80">
        <v>2</v>
      </c>
      <c r="BD20" s="79" t="str">
        <f>REPLACE(INDEX(GroupVertices[Group],MATCH(Edges49[[#This Row],[Vertex 1]],GroupVertices[Vertex],0)),1,1,"")</f>
        <v>1</v>
      </c>
      <c r="BE20" s="79" t="str">
        <f>REPLACE(INDEX(GroupVertices[Group],MATCH(Edges49[[#This Row],[Vertex 2]],GroupVertices[Vertex],0)),1,1,"")</f>
        <v>1</v>
      </c>
      <c r="BF20" s="49"/>
      <c r="BG20" s="50"/>
      <c r="BH20" s="49"/>
      <c r="BI20" s="50"/>
      <c r="BJ20" s="49"/>
      <c r="BK20" s="50"/>
      <c r="BL20" s="49"/>
      <c r="BM20" s="50"/>
      <c r="BN20" s="49"/>
    </row>
    <row r="21" spans="1:66" ht="15">
      <c r="A21" s="65" t="s">
        <v>544</v>
      </c>
      <c r="B21" s="65" t="s">
        <v>258</v>
      </c>
      <c r="C21" s="66"/>
      <c r="D21" s="67"/>
      <c r="E21" s="66"/>
      <c r="F21" s="69"/>
      <c r="G21" s="66"/>
      <c r="H21" s="70"/>
      <c r="I21" s="71"/>
      <c r="J21" s="71"/>
      <c r="K21" s="35" t="s">
        <v>65</v>
      </c>
      <c r="L21" s="72">
        <v>21</v>
      </c>
      <c r="M21" s="72"/>
      <c r="N21" s="73"/>
      <c r="O21" s="80" t="s">
        <v>264</v>
      </c>
      <c r="P21" s="82">
        <v>44692.55082175926</v>
      </c>
      <c r="Q21" s="80" t="s">
        <v>580</v>
      </c>
      <c r="R21" s="80"/>
      <c r="S21" s="80"/>
      <c r="T21" s="85" t="s">
        <v>596</v>
      </c>
      <c r="U21" s="83" t="str">
        <f>HYPERLINK("https://pbs.twimg.com/media/FSc09v5aQAAY6bm.jpg")</f>
        <v>https://pbs.twimg.com/media/FSc09v5aQAAY6bm.jpg</v>
      </c>
      <c r="V21" s="83" t="str">
        <f>HYPERLINK("https://pbs.twimg.com/media/FSc09v5aQAAY6bm.jpg")</f>
        <v>https://pbs.twimg.com/media/FSc09v5aQAAY6bm.jpg</v>
      </c>
      <c r="W21" s="82">
        <v>44692.55082175926</v>
      </c>
      <c r="X21" s="87">
        <v>44692</v>
      </c>
      <c r="Y21" s="85" t="s">
        <v>607</v>
      </c>
      <c r="Z21" s="83" t="str">
        <f>HYPERLINK("https://twitter.com/simranj59927871/status/1524377076651814912")</f>
        <v>https://twitter.com/simranj59927871/status/1524377076651814912</v>
      </c>
      <c r="AA21" s="80"/>
      <c r="AB21" s="80"/>
      <c r="AC21" s="85" t="s">
        <v>661</v>
      </c>
      <c r="AD21" s="80"/>
      <c r="AE21" s="80" t="b">
        <v>0</v>
      </c>
      <c r="AF21" s="80">
        <v>0</v>
      </c>
      <c r="AG21" s="85" t="s">
        <v>267</v>
      </c>
      <c r="AH21" s="80" t="b">
        <v>0</v>
      </c>
      <c r="AI21" s="80" t="s">
        <v>268</v>
      </c>
      <c r="AJ21" s="80"/>
      <c r="AK21" s="85" t="s">
        <v>267</v>
      </c>
      <c r="AL21" s="80" t="b">
        <v>0</v>
      </c>
      <c r="AM21" s="80">
        <v>19</v>
      </c>
      <c r="AN21" s="85" t="s">
        <v>696</v>
      </c>
      <c r="AO21" s="85" t="s">
        <v>271</v>
      </c>
      <c r="AP21" s="80" t="b">
        <v>0</v>
      </c>
      <c r="AQ21" s="85" t="s">
        <v>696</v>
      </c>
      <c r="AR21" s="80" t="s">
        <v>218</v>
      </c>
      <c r="AS21" s="80">
        <v>0</v>
      </c>
      <c r="AT21" s="80">
        <v>0</v>
      </c>
      <c r="AU21" s="80"/>
      <c r="AV21" s="80"/>
      <c r="AW21" s="80"/>
      <c r="AX21" s="80"/>
      <c r="AY21" s="80"/>
      <c r="AZ21" s="80"/>
      <c r="BA21" s="80"/>
      <c r="BB21" s="80"/>
      <c r="BC21" s="80">
        <v>1</v>
      </c>
      <c r="BD21" s="79" t="str">
        <f>REPLACE(INDEX(GroupVertices[Group],MATCH(Edges49[[#This Row],[Vertex 1]],GroupVertices[Vertex],0)),1,1,"")</f>
        <v>1</v>
      </c>
      <c r="BE21" s="79" t="str">
        <f>REPLACE(INDEX(GroupVertices[Group],MATCH(Edges49[[#This Row],[Vertex 2]],GroupVertices[Vertex],0)),1,1,"")</f>
        <v>1</v>
      </c>
      <c r="BF21" s="49"/>
      <c r="BG21" s="50"/>
      <c r="BH21" s="49"/>
      <c r="BI21" s="50"/>
      <c r="BJ21" s="49"/>
      <c r="BK21" s="50"/>
      <c r="BL21" s="49"/>
      <c r="BM21" s="50"/>
      <c r="BN21" s="49"/>
    </row>
    <row r="22" spans="1:66" ht="15">
      <c r="A22" s="65" t="s">
        <v>544</v>
      </c>
      <c r="B22" s="65" t="s">
        <v>559</v>
      </c>
      <c r="C22" s="66"/>
      <c r="D22" s="67"/>
      <c r="E22" s="66"/>
      <c r="F22" s="69"/>
      <c r="G22" s="66"/>
      <c r="H22" s="70"/>
      <c r="I22" s="71"/>
      <c r="J22" s="71"/>
      <c r="K22" s="35" t="s">
        <v>65</v>
      </c>
      <c r="L22" s="72">
        <v>22</v>
      </c>
      <c r="M22" s="72"/>
      <c r="N22" s="73"/>
      <c r="O22" s="80" t="s">
        <v>263</v>
      </c>
      <c r="P22" s="82">
        <v>44692.55082175926</v>
      </c>
      <c r="Q22" s="80" t="s">
        <v>580</v>
      </c>
      <c r="R22" s="80"/>
      <c r="S22" s="80"/>
      <c r="T22" s="85" t="s">
        <v>596</v>
      </c>
      <c r="U22" s="83" t="str">
        <f>HYPERLINK("https://pbs.twimg.com/media/FSc09v5aQAAY6bm.jpg")</f>
        <v>https://pbs.twimg.com/media/FSc09v5aQAAY6bm.jpg</v>
      </c>
      <c r="V22" s="83" t="str">
        <f>HYPERLINK("https://pbs.twimg.com/media/FSc09v5aQAAY6bm.jpg")</f>
        <v>https://pbs.twimg.com/media/FSc09v5aQAAY6bm.jpg</v>
      </c>
      <c r="W22" s="82">
        <v>44692.55082175926</v>
      </c>
      <c r="X22" s="87">
        <v>44692</v>
      </c>
      <c r="Y22" s="85" t="s">
        <v>607</v>
      </c>
      <c r="Z22" s="83" t="str">
        <f>HYPERLINK("https://twitter.com/simranj59927871/status/1524377076651814912")</f>
        <v>https://twitter.com/simranj59927871/status/1524377076651814912</v>
      </c>
      <c r="AA22" s="80"/>
      <c r="AB22" s="80"/>
      <c r="AC22" s="85" t="s">
        <v>661</v>
      </c>
      <c r="AD22" s="80"/>
      <c r="AE22" s="80" t="b">
        <v>0</v>
      </c>
      <c r="AF22" s="80">
        <v>0</v>
      </c>
      <c r="AG22" s="85" t="s">
        <v>267</v>
      </c>
      <c r="AH22" s="80" t="b">
        <v>0</v>
      </c>
      <c r="AI22" s="80" t="s">
        <v>268</v>
      </c>
      <c r="AJ22" s="80"/>
      <c r="AK22" s="85" t="s">
        <v>267</v>
      </c>
      <c r="AL22" s="80" t="b">
        <v>0</v>
      </c>
      <c r="AM22" s="80">
        <v>19</v>
      </c>
      <c r="AN22" s="85" t="s">
        <v>696</v>
      </c>
      <c r="AO22" s="85" t="s">
        <v>271</v>
      </c>
      <c r="AP22" s="80" t="b">
        <v>0</v>
      </c>
      <c r="AQ22" s="85" t="s">
        <v>696</v>
      </c>
      <c r="AR22" s="80" t="s">
        <v>218</v>
      </c>
      <c r="AS22" s="80">
        <v>0</v>
      </c>
      <c r="AT22" s="80">
        <v>0</v>
      </c>
      <c r="AU22" s="80"/>
      <c r="AV22" s="80"/>
      <c r="AW22" s="80"/>
      <c r="AX22" s="80"/>
      <c r="AY22" s="80"/>
      <c r="AZ22" s="80"/>
      <c r="BA22" s="80"/>
      <c r="BB22" s="80"/>
      <c r="BC22" s="80">
        <v>2</v>
      </c>
      <c r="BD22" s="79" t="str">
        <f>REPLACE(INDEX(GroupVertices[Group],MATCH(Edges49[[#This Row],[Vertex 1]],GroupVertices[Vertex],0)),1,1,"")</f>
        <v>1</v>
      </c>
      <c r="BE22" s="79" t="str">
        <f>REPLACE(INDEX(GroupVertices[Group],MATCH(Edges49[[#This Row],[Vertex 2]],GroupVertices[Vertex],0)),1,1,"")</f>
        <v>2</v>
      </c>
      <c r="BF22" s="49">
        <v>0</v>
      </c>
      <c r="BG22" s="50">
        <v>0</v>
      </c>
      <c r="BH22" s="49">
        <v>5</v>
      </c>
      <c r="BI22" s="50">
        <v>12.820512820512821</v>
      </c>
      <c r="BJ22" s="49">
        <v>0</v>
      </c>
      <c r="BK22" s="50">
        <v>0</v>
      </c>
      <c r="BL22" s="49">
        <v>34</v>
      </c>
      <c r="BM22" s="50">
        <v>87.17948717948718</v>
      </c>
      <c r="BN22" s="49">
        <v>39</v>
      </c>
    </row>
    <row r="23" spans="1:66" ht="15">
      <c r="A23" s="65" t="s">
        <v>545</v>
      </c>
      <c r="B23" s="65" t="s">
        <v>519</v>
      </c>
      <c r="C23" s="66"/>
      <c r="D23" s="67"/>
      <c r="E23" s="66"/>
      <c r="F23" s="69"/>
      <c r="G23" s="66"/>
      <c r="H23" s="70"/>
      <c r="I23" s="71"/>
      <c r="J23" s="71"/>
      <c r="K23" s="35" t="s">
        <v>65</v>
      </c>
      <c r="L23" s="72">
        <v>23</v>
      </c>
      <c r="M23" s="72"/>
      <c r="N23" s="73"/>
      <c r="O23" s="80" t="s">
        <v>264</v>
      </c>
      <c r="P23" s="82">
        <v>44692.77930555555</v>
      </c>
      <c r="Q23" s="80" t="s">
        <v>581</v>
      </c>
      <c r="R23" s="80"/>
      <c r="S23" s="80"/>
      <c r="T23" s="80"/>
      <c r="U23" s="83" t="str">
        <f>HYPERLINK("https://pbs.twimg.com/ext_tw_video_thumb/1524368758437216256/pu/img/3UwSYL_0rta3dEGi.jpg")</f>
        <v>https://pbs.twimg.com/ext_tw_video_thumb/1524368758437216256/pu/img/3UwSYL_0rta3dEGi.jpg</v>
      </c>
      <c r="V23" s="83" t="str">
        <f>HYPERLINK("https://pbs.twimg.com/ext_tw_video_thumb/1524368758437216256/pu/img/3UwSYL_0rta3dEGi.jpg")</f>
        <v>https://pbs.twimg.com/ext_tw_video_thumb/1524368758437216256/pu/img/3UwSYL_0rta3dEGi.jpg</v>
      </c>
      <c r="W23" s="82">
        <v>44692.77930555555</v>
      </c>
      <c r="X23" s="87">
        <v>44692</v>
      </c>
      <c r="Y23" s="85" t="s">
        <v>608</v>
      </c>
      <c r="Z23" s="83" t="str">
        <f>HYPERLINK("https://twitter.com/pathruduabilash/status/1524459877162053632")</f>
        <v>https://twitter.com/pathruduabilash/status/1524459877162053632</v>
      </c>
      <c r="AA23" s="80"/>
      <c r="AB23" s="80"/>
      <c r="AC23" s="85" t="s">
        <v>662</v>
      </c>
      <c r="AD23" s="80"/>
      <c r="AE23" s="80" t="b">
        <v>0</v>
      </c>
      <c r="AF23" s="80">
        <v>0</v>
      </c>
      <c r="AG23" s="85" t="s">
        <v>267</v>
      </c>
      <c r="AH23" s="80" t="b">
        <v>0</v>
      </c>
      <c r="AI23" s="80" t="s">
        <v>268</v>
      </c>
      <c r="AJ23" s="80"/>
      <c r="AK23" s="85" t="s">
        <v>267</v>
      </c>
      <c r="AL23" s="80" t="b">
        <v>0</v>
      </c>
      <c r="AM23" s="80">
        <v>16</v>
      </c>
      <c r="AN23" s="85" t="s">
        <v>698</v>
      </c>
      <c r="AO23" s="85" t="s">
        <v>271</v>
      </c>
      <c r="AP23" s="80" t="b">
        <v>0</v>
      </c>
      <c r="AQ23" s="85" t="s">
        <v>698</v>
      </c>
      <c r="AR23" s="80" t="s">
        <v>218</v>
      </c>
      <c r="AS23" s="80">
        <v>0</v>
      </c>
      <c r="AT23" s="80">
        <v>0</v>
      </c>
      <c r="AU23" s="80"/>
      <c r="AV23" s="80"/>
      <c r="AW23" s="80"/>
      <c r="AX23" s="80"/>
      <c r="AY23" s="80"/>
      <c r="AZ23" s="80"/>
      <c r="BA23" s="80"/>
      <c r="BB23" s="80"/>
      <c r="BC23" s="80">
        <v>1</v>
      </c>
      <c r="BD23" s="79" t="str">
        <f>REPLACE(INDEX(GroupVertices[Group],MATCH(Edges49[[#This Row],[Vertex 1]],GroupVertices[Vertex],0)),1,1,"")</f>
        <v>1</v>
      </c>
      <c r="BE23" s="79" t="str">
        <f>REPLACE(INDEX(GroupVertices[Group],MATCH(Edges49[[#This Row],[Vertex 2]],GroupVertices[Vertex],0)),1,1,"")</f>
        <v>1</v>
      </c>
      <c r="BF23" s="49"/>
      <c r="BG23" s="50"/>
      <c r="BH23" s="49"/>
      <c r="BI23" s="50"/>
      <c r="BJ23" s="49"/>
      <c r="BK23" s="50"/>
      <c r="BL23" s="49"/>
      <c r="BM23" s="50"/>
      <c r="BN23" s="49"/>
    </row>
    <row r="24" spans="1:66" ht="15">
      <c r="A24" s="65" t="s">
        <v>545</v>
      </c>
      <c r="B24" s="65" t="s">
        <v>559</v>
      </c>
      <c r="C24" s="66"/>
      <c r="D24" s="67"/>
      <c r="E24" s="66"/>
      <c r="F24" s="69"/>
      <c r="G24" s="66"/>
      <c r="H24" s="70"/>
      <c r="I24" s="71"/>
      <c r="J24" s="71"/>
      <c r="K24" s="35" t="s">
        <v>65</v>
      </c>
      <c r="L24" s="72">
        <v>24</v>
      </c>
      <c r="M24" s="72"/>
      <c r="N24" s="73"/>
      <c r="O24" s="80" t="s">
        <v>263</v>
      </c>
      <c r="P24" s="82">
        <v>44692.77930555555</v>
      </c>
      <c r="Q24" s="80" t="s">
        <v>581</v>
      </c>
      <c r="R24" s="80"/>
      <c r="S24" s="80"/>
      <c r="T24" s="80"/>
      <c r="U24" s="83" t="str">
        <f>HYPERLINK("https://pbs.twimg.com/ext_tw_video_thumb/1524368758437216256/pu/img/3UwSYL_0rta3dEGi.jpg")</f>
        <v>https://pbs.twimg.com/ext_tw_video_thumb/1524368758437216256/pu/img/3UwSYL_0rta3dEGi.jpg</v>
      </c>
      <c r="V24" s="83" t="str">
        <f>HYPERLINK("https://pbs.twimg.com/ext_tw_video_thumb/1524368758437216256/pu/img/3UwSYL_0rta3dEGi.jpg")</f>
        <v>https://pbs.twimg.com/ext_tw_video_thumb/1524368758437216256/pu/img/3UwSYL_0rta3dEGi.jpg</v>
      </c>
      <c r="W24" s="82">
        <v>44692.77930555555</v>
      </c>
      <c r="X24" s="87">
        <v>44692</v>
      </c>
      <c r="Y24" s="85" t="s">
        <v>608</v>
      </c>
      <c r="Z24" s="83" t="str">
        <f>HYPERLINK("https://twitter.com/pathruduabilash/status/1524459877162053632")</f>
        <v>https://twitter.com/pathruduabilash/status/1524459877162053632</v>
      </c>
      <c r="AA24" s="80"/>
      <c r="AB24" s="80"/>
      <c r="AC24" s="85" t="s">
        <v>662</v>
      </c>
      <c r="AD24" s="80"/>
      <c r="AE24" s="80" t="b">
        <v>0</v>
      </c>
      <c r="AF24" s="80">
        <v>0</v>
      </c>
      <c r="AG24" s="85" t="s">
        <v>267</v>
      </c>
      <c r="AH24" s="80" t="b">
        <v>0</v>
      </c>
      <c r="AI24" s="80" t="s">
        <v>268</v>
      </c>
      <c r="AJ24" s="80"/>
      <c r="AK24" s="85" t="s">
        <v>267</v>
      </c>
      <c r="AL24" s="80" t="b">
        <v>0</v>
      </c>
      <c r="AM24" s="80">
        <v>16</v>
      </c>
      <c r="AN24" s="85" t="s">
        <v>698</v>
      </c>
      <c r="AO24" s="85" t="s">
        <v>271</v>
      </c>
      <c r="AP24" s="80" t="b">
        <v>0</v>
      </c>
      <c r="AQ24" s="85" t="s">
        <v>698</v>
      </c>
      <c r="AR24" s="80" t="s">
        <v>218</v>
      </c>
      <c r="AS24" s="80">
        <v>0</v>
      </c>
      <c r="AT24" s="80">
        <v>0</v>
      </c>
      <c r="AU24" s="80"/>
      <c r="AV24" s="80"/>
      <c r="AW24" s="80"/>
      <c r="AX24" s="80"/>
      <c r="AY24" s="80"/>
      <c r="AZ24" s="80"/>
      <c r="BA24" s="80"/>
      <c r="BB24" s="80"/>
      <c r="BC24" s="80">
        <v>1</v>
      </c>
      <c r="BD24" s="79" t="str">
        <f>REPLACE(INDEX(GroupVertices[Group],MATCH(Edges49[[#This Row],[Vertex 1]],GroupVertices[Vertex],0)),1,1,"")</f>
        <v>1</v>
      </c>
      <c r="BE24" s="79" t="str">
        <f>REPLACE(INDEX(GroupVertices[Group],MATCH(Edges49[[#This Row],[Vertex 2]],GroupVertices[Vertex],0)),1,1,"")</f>
        <v>2</v>
      </c>
      <c r="BF24" s="49">
        <v>0</v>
      </c>
      <c r="BG24" s="50">
        <v>0</v>
      </c>
      <c r="BH24" s="49">
        <v>2</v>
      </c>
      <c r="BI24" s="50">
        <v>4.651162790697675</v>
      </c>
      <c r="BJ24" s="49">
        <v>0</v>
      </c>
      <c r="BK24" s="50">
        <v>0</v>
      </c>
      <c r="BL24" s="49">
        <v>41</v>
      </c>
      <c r="BM24" s="50">
        <v>95.34883720930233</v>
      </c>
      <c r="BN24" s="49">
        <v>43</v>
      </c>
    </row>
    <row r="25" spans="1:66" ht="15">
      <c r="A25" s="65" t="s">
        <v>546</v>
      </c>
      <c r="B25" s="65" t="s">
        <v>519</v>
      </c>
      <c r="C25" s="66"/>
      <c r="D25" s="67"/>
      <c r="E25" s="66"/>
      <c r="F25" s="69"/>
      <c r="G25" s="66"/>
      <c r="H25" s="70"/>
      <c r="I25" s="71"/>
      <c r="J25" s="71"/>
      <c r="K25" s="35" t="s">
        <v>65</v>
      </c>
      <c r="L25" s="72">
        <v>25</v>
      </c>
      <c r="M25" s="72"/>
      <c r="N25" s="73"/>
      <c r="O25" s="80" t="s">
        <v>264</v>
      </c>
      <c r="P25" s="82">
        <v>44692.306608796294</v>
      </c>
      <c r="Q25" s="80" t="s">
        <v>580</v>
      </c>
      <c r="R25" s="80"/>
      <c r="S25" s="80"/>
      <c r="T25" s="85" t="s">
        <v>596</v>
      </c>
      <c r="U25" s="83" t="str">
        <f>HYPERLINK("https://pbs.twimg.com/media/FSc09v5aQAAY6bm.jpg")</f>
        <v>https://pbs.twimg.com/media/FSc09v5aQAAY6bm.jpg</v>
      </c>
      <c r="V25" s="83" t="str">
        <f>HYPERLINK("https://pbs.twimg.com/media/FSc09v5aQAAY6bm.jpg")</f>
        <v>https://pbs.twimg.com/media/FSc09v5aQAAY6bm.jpg</v>
      </c>
      <c r="W25" s="82">
        <v>44692.306608796294</v>
      </c>
      <c r="X25" s="87">
        <v>44692</v>
      </c>
      <c r="Y25" s="85" t="s">
        <v>609</v>
      </c>
      <c r="Z25" s="83" t="str">
        <f>HYPERLINK("https://twitter.com/bains_gurpinder/status/1524288578758475776")</f>
        <v>https://twitter.com/bains_gurpinder/status/1524288578758475776</v>
      </c>
      <c r="AA25" s="80"/>
      <c r="AB25" s="80"/>
      <c r="AC25" s="85" t="s">
        <v>663</v>
      </c>
      <c r="AD25" s="80"/>
      <c r="AE25" s="80" t="b">
        <v>0</v>
      </c>
      <c r="AF25" s="80">
        <v>0</v>
      </c>
      <c r="AG25" s="85" t="s">
        <v>267</v>
      </c>
      <c r="AH25" s="80" t="b">
        <v>0</v>
      </c>
      <c r="AI25" s="80" t="s">
        <v>268</v>
      </c>
      <c r="AJ25" s="80"/>
      <c r="AK25" s="85" t="s">
        <v>267</v>
      </c>
      <c r="AL25" s="80" t="b">
        <v>0</v>
      </c>
      <c r="AM25" s="80">
        <v>19</v>
      </c>
      <c r="AN25" s="85" t="s">
        <v>696</v>
      </c>
      <c r="AO25" s="85" t="s">
        <v>271</v>
      </c>
      <c r="AP25" s="80" t="b">
        <v>0</v>
      </c>
      <c r="AQ25" s="85" t="s">
        <v>696</v>
      </c>
      <c r="AR25" s="80" t="s">
        <v>218</v>
      </c>
      <c r="AS25" s="80">
        <v>0</v>
      </c>
      <c r="AT25" s="80">
        <v>0</v>
      </c>
      <c r="AU25" s="80"/>
      <c r="AV25" s="80"/>
      <c r="AW25" s="80"/>
      <c r="AX25" s="80"/>
      <c r="AY25" s="80"/>
      <c r="AZ25" s="80"/>
      <c r="BA25" s="80"/>
      <c r="BB25" s="80"/>
      <c r="BC25" s="80">
        <v>2</v>
      </c>
      <c r="BD25" s="79" t="str">
        <f>REPLACE(INDEX(GroupVertices[Group],MATCH(Edges49[[#This Row],[Vertex 1]],GroupVertices[Vertex],0)),1,1,"")</f>
        <v>1</v>
      </c>
      <c r="BE25" s="79" t="str">
        <f>REPLACE(INDEX(GroupVertices[Group],MATCH(Edges49[[#This Row],[Vertex 2]],GroupVertices[Vertex],0)),1,1,"")</f>
        <v>1</v>
      </c>
      <c r="BF25" s="49"/>
      <c r="BG25" s="50"/>
      <c r="BH25" s="49"/>
      <c r="BI25" s="50"/>
      <c r="BJ25" s="49"/>
      <c r="BK25" s="50"/>
      <c r="BL25" s="49"/>
      <c r="BM25" s="50"/>
      <c r="BN25" s="49"/>
    </row>
    <row r="26" spans="1:66" ht="15">
      <c r="A26" s="65" t="s">
        <v>546</v>
      </c>
      <c r="B26" s="65" t="s">
        <v>258</v>
      </c>
      <c r="C26" s="66"/>
      <c r="D26" s="67"/>
      <c r="E26" s="66"/>
      <c r="F26" s="69"/>
      <c r="G26" s="66"/>
      <c r="H26" s="70"/>
      <c r="I26" s="71"/>
      <c r="J26" s="71"/>
      <c r="K26" s="35" t="s">
        <v>65</v>
      </c>
      <c r="L26" s="72">
        <v>26</v>
      </c>
      <c r="M26" s="72"/>
      <c r="N26" s="73"/>
      <c r="O26" s="80" t="s">
        <v>264</v>
      </c>
      <c r="P26" s="82">
        <v>44692.306608796294</v>
      </c>
      <c r="Q26" s="80" t="s">
        <v>580</v>
      </c>
      <c r="R26" s="80"/>
      <c r="S26" s="80"/>
      <c r="T26" s="85" t="s">
        <v>596</v>
      </c>
      <c r="U26" s="83" t="str">
        <f>HYPERLINK("https://pbs.twimg.com/media/FSc09v5aQAAY6bm.jpg")</f>
        <v>https://pbs.twimg.com/media/FSc09v5aQAAY6bm.jpg</v>
      </c>
      <c r="V26" s="83" t="str">
        <f>HYPERLINK("https://pbs.twimg.com/media/FSc09v5aQAAY6bm.jpg")</f>
        <v>https://pbs.twimg.com/media/FSc09v5aQAAY6bm.jpg</v>
      </c>
      <c r="W26" s="82">
        <v>44692.306608796294</v>
      </c>
      <c r="X26" s="87">
        <v>44692</v>
      </c>
      <c r="Y26" s="85" t="s">
        <v>609</v>
      </c>
      <c r="Z26" s="83" t="str">
        <f>HYPERLINK("https://twitter.com/bains_gurpinder/status/1524288578758475776")</f>
        <v>https://twitter.com/bains_gurpinder/status/1524288578758475776</v>
      </c>
      <c r="AA26" s="80"/>
      <c r="AB26" s="80"/>
      <c r="AC26" s="85" t="s">
        <v>663</v>
      </c>
      <c r="AD26" s="80"/>
      <c r="AE26" s="80" t="b">
        <v>0</v>
      </c>
      <c r="AF26" s="80">
        <v>0</v>
      </c>
      <c r="AG26" s="85" t="s">
        <v>267</v>
      </c>
      <c r="AH26" s="80" t="b">
        <v>0</v>
      </c>
      <c r="AI26" s="80" t="s">
        <v>268</v>
      </c>
      <c r="AJ26" s="80"/>
      <c r="AK26" s="85" t="s">
        <v>267</v>
      </c>
      <c r="AL26" s="80" t="b">
        <v>0</v>
      </c>
      <c r="AM26" s="80">
        <v>19</v>
      </c>
      <c r="AN26" s="85" t="s">
        <v>696</v>
      </c>
      <c r="AO26" s="85" t="s">
        <v>271</v>
      </c>
      <c r="AP26" s="80" t="b">
        <v>0</v>
      </c>
      <c r="AQ26" s="85" t="s">
        <v>696</v>
      </c>
      <c r="AR26" s="80" t="s">
        <v>218</v>
      </c>
      <c r="AS26" s="80">
        <v>0</v>
      </c>
      <c r="AT26" s="80">
        <v>0</v>
      </c>
      <c r="AU26" s="80"/>
      <c r="AV26" s="80"/>
      <c r="AW26" s="80"/>
      <c r="AX26" s="80"/>
      <c r="AY26" s="80"/>
      <c r="AZ26" s="80"/>
      <c r="BA26" s="80"/>
      <c r="BB26" s="80"/>
      <c r="BC26" s="80">
        <v>1</v>
      </c>
      <c r="BD26" s="79" t="str">
        <f>REPLACE(INDEX(GroupVertices[Group],MATCH(Edges49[[#This Row],[Vertex 1]],GroupVertices[Vertex],0)),1,1,"")</f>
        <v>1</v>
      </c>
      <c r="BE26" s="79" t="str">
        <f>REPLACE(INDEX(GroupVertices[Group],MATCH(Edges49[[#This Row],[Vertex 2]],GroupVertices[Vertex],0)),1,1,"")</f>
        <v>1</v>
      </c>
      <c r="BF26" s="49"/>
      <c r="BG26" s="50"/>
      <c r="BH26" s="49"/>
      <c r="BI26" s="50"/>
      <c r="BJ26" s="49"/>
      <c r="BK26" s="50"/>
      <c r="BL26" s="49"/>
      <c r="BM26" s="50"/>
      <c r="BN26" s="49"/>
    </row>
    <row r="27" spans="1:66" ht="15">
      <c r="A27" s="65" t="s">
        <v>546</v>
      </c>
      <c r="B27" s="65" t="s">
        <v>559</v>
      </c>
      <c r="C27" s="66"/>
      <c r="D27" s="67"/>
      <c r="E27" s="66"/>
      <c r="F27" s="69"/>
      <c r="G27" s="66"/>
      <c r="H27" s="70"/>
      <c r="I27" s="71"/>
      <c r="J27" s="71"/>
      <c r="K27" s="35" t="s">
        <v>65</v>
      </c>
      <c r="L27" s="72">
        <v>27</v>
      </c>
      <c r="M27" s="72"/>
      <c r="N27" s="73"/>
      <c r="O27" s="80" t="s">
        <v>263</v>
      </c>
      <c r="P27" s="82">
        <v>44692.306608796294</v>
      </c>
      <c r="Q27" s="80" t="s">
        <v>580</v>
      </c>
      <c r="R27" s="80"/>
      <c r="S27" s="80"/>
      <c r="T27" s="85" t="s">
        <v>596</v>
      </c>
      <c r="U27" s="83" t="str">
        <f>HYPERLINK("https://pbs.twimg.com/media/FSc09v5aQAAY6bm.jpg")</f>
        <v>https://pbs.twimg.com/media/FSc09v5aQAAY6bm.jpg</v>
      </c>
      <c r="V27" s="83" t="str">
        <f>HYPERLINK("https://pbs.twimg.com/media/FSc09v5aQAAY6bm.jpg")</f>
        <v>https://pbs.twimg.com/media/FSc09v5aQAAY6bm.jpg</v>
      </c>
      <c r="W27" s="82">
        <v>44692.306608796294</v>
      </c>
      <c r="X27" s="87">
        <v>44692</v>
      </c>
      <c r="Y27" s="85" t="s">
        <v>609</v>
      </c>
      <c r="Z27" s="83" t="str">
        <f>HYPERLINK("https://twitter.com/bains_gurpinder/status/1524288578758475776")</f>
        <v>https://twitter.com/bains_gurpinder/status/1524288578758475776</v>
      </c>
      <c r="AA27" s="80"/>
      <c r="AB27" s="80"/>
      <c r="AC27" s="85" t="s">
        <v>663</v>
      </c>
      <c r="AD27" s="80"/>
      <c r="AE27" s="80" t="b">
        <v>0</v>
      </c>
      <c r="AF27" s="80">
        <v>0</v>
      </c>
      <c r="AG27" s="85" t="s">
        <v>267</v>
      </c>
      <c r="AH27" s="80" t="b">
        <v>0</v>
      </c>
      <c r="AI27" s="80" t="s">
        <v>268</v>
      </c>
      <c r="AJ27" s="80"/>
      <c r="AK27" s="85" t="s">
        <v>267</v>
      </c>
      <c r="AL27" s="80" t="b">
        <v>0</v>
      </c>
      <c r="AM27" s="80">
        <v>19</v>
      </c>
      <c r="AN27" s="85" t="s">
        <v>696</v>
      </c>
      <c r="AO27" s="85" t="s">
        <v>271</v>
      </c>
      <c r="AP27" s="80" t="b">
        <v>0</v>
      </c>
      <c r="AQ27" s="85" t="s">
        <v>696</v>
      </c>
      <c r="AR27" s="80" t="s">
        <v>218</v>
      </c>
      <c r="AS27" s="80">
        <v>0</v>
      </c>
      <c r="AT27" s="80">
        <v>0</v>
      </c>
      <c r="AU27" s="80"/>
      <c r="AV27" s="80"/>
      <c r="AW27" s="80"/>
      <c r="AX27" s="80"/>
      <c r="AY27" s="80"/>
      <c r="AZ27" s="80"/>
      <c r="BA27" s="80"/>
      <c r="BB27" s="80"/>
      <c r="BC27" s="80">
        <v>2</v>
      </c>
      <c r="BD27" s="79" t="str">
        <f>REPLACE(INDEX(GroupVertices[Group],MATCH(Edges49[[#This Row],[Vertex 1]],GroupVertices[Vertex],0)),1,1,"")</f>
        <v>1</v>
      </c>
      <c r="BE27" s="79" t="str">
        <f>REPLACE(INDEX(GroupVertices[Group],MATCH(Edges49[[#This Row],[Vertex 2]],GroupVertices[Vertex],0)),1,1,"")</f>
        <v>2</v>
      </c>
      <c r="BF27" s="49">
        <v>0</v>
      </c>
      <c r="BG27" s="50">
        <v>0</v>
      </c>
      <c r="BH27" s="49">
        <v>5</v>
      </c>
      <c r="BI27" s="50">
        <v>12.820512820512821</v>
      </c>
      <c r="BJ27" s="49">
        <v>0</v>
      </c>
      <c r="BK27" s="50">
        <v>0</v>
      </c>
      <c r="BL27" s="49">
        <v>34</v>
      </c>
      <c r="BM27" s="50">
        <v>87.17948717948718</v>
      </c>
      <c r="BN27" s="49">
        <v>39</v>
      </c>
    </row>
    <row r="28" spans="1:66" ht="15">
      <c r="A28" s="65" t="s">
        <v>546</v>
      </c>
      <c r="B28" s="65" t="s">
        <v>519</v>
      </c>
      <c r="C28" s="66"/>
      <c r="D28" s="67"/>
      <c r="E28" s="66"/>
      <c r="F28" s="69"/>
      <c r="G28" s="66"/>
      <c r="H28" s="70"/>
      <c r="I28" s="71"/>
      <c r="J28" s="71"/>
      <c r="K28" s="35" t="s">
        <v>65</v>
      </c>
      <c r="L28" s="72">
        <v>28</v>
      </c>
      <c r="M28" s="72"/>
      <c r="N28" s="73"/>
      <c r="O28" s="80" t="s">
        <v>264</v>
      </c>
      <c r="P28" s="82">
        <v>44693.05229166667</v>
      </c>
      <c r="Q28" s="80" t="s">
        <v>581</v>
      </c>
      <c r="R28" s="80"/>
      <c r="S28" s="80"/>
      <c r="T28" s="80"/>
      <c r="U28" s="83" t="str">
        <f>HYPERLINK("https://pbs.twimg.com/ext_tw_video_thumb/1524368758437216256/pu/img/3UwSYL_0rta3dEGi.jpg")</f>
        <v>https://pbs.twimg.com/ext_tw_video_thumb/1524368758437216256/pu/img/3UwSYL_0rta3dEGi.jpg</v>
      </c>
      <c r="V28" s="83" t="str">
        <f>HYPERLINK("https://pbs.twimg.com/ext_tw_video_thumb/1524368758437216256/pu/img/3UwSYL_0rta3dEGi.jpg")</f>
        <v>https://pbs.twimg.com/ext_tw_video_thumb/1524368758437216256/pu/img/3UwSYL_0rta3dEGi.jpg</v>
      </c>
      <c r="W28" s="82">
        <v>44693.05229166667</v>
      </c>
      <c r="X28" s="87">
        <v>44693</v>
      </c>
      <c r="Y28" s="85" t="s">
        <v>610</v>
      </c>
      <c r="Z28" s="83" t="str">
        <f>HYPERLINK("https://twitter.com/bains_gurpinder/status/1524558803768729600")</f>
        <v>https://twitter.com/bains_gurpinder/status/1524558803768729600</v>
      </c>
      <c r="AA28" s="80"/>
      <c r="AB28" s="80"/>
      <c r="AC28" s="85" t="s">
        <v>664</v>
      </c>
      <c r="AD28" s="80"/>
      <c r="AE28" s="80" t="b">
        <v>0</v>
      </c>
      <c r="AF28" s="80">
        <v>0</v>
      </c>
      <c r="AG28" s="85" t="s">
        <v>267</v>
      </c>
      <c r="AH28" s="80" t="b">
        <v>0</v>
      </c>
      <c r="AI28" s="80" t="s">
        <v>268</v>
      </c>
      <c r="AJ28" s="80"/>
      <c r="AK28" s="85" t="s">
        <v>267</v>
      </c>
      <c r="AL28" s="80" t="b">
        <v>0</v>
      </c>
      <c r="AM28" s="80">
        <v>16</v>
      </c>
      <c r="AN28" s="85" t="s">
        <v>698</v>
      </c>
      <c r="AO28" s="85" t="s">
        <v>271</v>
      </c>
      <c r="AP28" s="80" t="b">
        <v>0</v>
      </c>
      <c r="AQ28" s="85" t="s">
        <v>698</v>
      </c>
      <c r="AR28" s="80" t="s">
        <v>218</v>
      </c>
      <c r="AS28" s="80">
        <v>0</v>
      </c>
      <c r="AT28" s="80">
        <v>0</v>
      </c>
      <c r="AU28" s="80"/>
      <c r="AV28" s="80"/>
      <c r="AW28" s="80"/>
      <c r="AX28" s="80"/>
      <c r="AY28" s="80"/>
      <c r="AZ28" s="80"/>
      <c r="BA28" s="80"/>
      <c r="BB28" s="80"/>
      <c r="BC28" s="80">
        <v>2</v>
      </c>
      <c r="BD28" s="79" t="str">
        <f>REPLACE(INDEX(GroupVertices[Group],MATCH(Edges49[[#This Row],[Vertex 1]],GroupVertices[Vertex],0)),1,1,"")</f>
        <v>1</v>
      </c>
      <c r="BE28" s="79" t="str">
        <f>REPLACE(INDEX(GroupVertices[Group],MATCH(Edges49[[#This Row],[Vertex 2]],GroupVertices[Vertex],0)),1,1,"")</f>
        <v>1</v>
      </c>
      <c r="BF28" s="49"/>
      <c r="BG28" s="50"/>
      <c r="BH28" s="49"/>
      <c r="BI28" s="50"/>
      <c r="BJ28" s="49"/>
      <c r="BK28" s="50"/>
      <c r="BL28" s="49"/>
      <c r="BM28" s="50"/>
      <c r="BN28" s="49"/>
    </row>
    <row r="29" spans="1:66" ht="15">
      <c r="A29" s="65" t="s">
        <v>546</v>
      </c>
      <c r="B29" s="65" t="s">
        <v>559</v>
      </c>
      <c r="C29" s="66"/>
      <c r="D29" s="67"/>
      <c r="E29" s="66"/>
      <c r="F29" s="69"/>
      <c r="G29" s="66"/>
      <c r="H29" s="70"/>
      <c r="I29" s="71"/>
      <c r="J29" s="71"/>
      <c r="K29" s="35" t="s">
        <v>65</v>
      </c>
      <c r="L29" s="72">
        <v>29</v>
      </c>
      <c r="M29" s="72"/>
      <c r="N29" s="73"/>
      <c r="O29" s="80" t="s">
        <v>263</v>
      </c>
      <c r="P29" s="82">
        <v>44693.05229166667</v>
      </c>
      <c r="Q29" s="80" t="s">
        <v>581</v>
      </c>
      <c r="R29" s="80"/>
      <c r="S29" s="80"/>
      <c r="T29" s="80"/>
      <c r="U29" s="83" t="str">
        <f>HYPERLINK("https://pbs.twimg.com/ext_tw_video_thumb/1524368758437216256/pu/img/3UwSYL_0rta3dEGi.jpg")</f>
        <v>https://pbs.twimg.com/ext_tw_video_thumb/1524368758437216256/pu/img/3UwSYL_0rta3dEGi.jpg</v>
      </c>
      <c r="V29" s="83" t="str">
        <f>HYPERLINK("https://pbs.twimg.com/ext_tw_video_thumb/1524368758437216256/pu/img/3UwSYL_0rta3dEGi.jpg")</f>
        <v>https://pbs.twimg.com/ext_tw_video_thumb/1524368758437216256/pu/img/3UwSYL_0rta3dEGi.jpg</v>
      </c>
      <c r="W29" s="82">
        <v>44693.05229166667</v>
      </c>
      <c r="X29" s="87">
        <v>44693</v>
      </c>
      <c r="Y29" s="85" t="s">
        <v>610</v>
      </c>
      <c r="Z29" s="83" t="str">
        <f>HYPERLINK("https://twitter.com/bains_gurpinder/status/1524558803768729600")</f>
        <v>https://twitter.com/bains_gurpinder/status/1524558803768729600</v>
      </c>
      <c r="AA29" s="80"/>
      <c r="AB29" s="80"/>
      <c r="AC29" s="85" t="s">
        <v>664</v>
      </c>
      <c r="AD29" s="80"/>
      <c r="AE29" s="80" t="b">
        <v>0</v>
      </c>
      <c r="AF29" s="80">
        <v>0</v>
      </c>
      <c r="AG29" s="85" t="s">
        <v>267</v>
      </c>
      <c r="AH29" s="80" t="b">
        <v>0</v>
      </c>
      <c r="AI29" s="80" t="s">
        <v>268</v>
      </c>
      <c r="AJ29" s="80"/>
      <c r="AK29" s="85" t="s">
        <v>267</v>
      </c>
      <c r="AL29" s="80" t="b">
        <v>0</v>
      </c>
      <c r="AM29" s="80">
        <v>16</v>
      </c>
      <c r="AN29" s="85" t="s">
        <v>698</v>
      </c>
      <c r="AO29" s="85" t="s">
        <v>271</v>
      </c>
      <c r="AP29" s="80" t="b">
        <v>0</v>
      </c>
      <c r="AQ29" s="85" t="s">
        <v>698</v>
      </c>
      <c r="AR29" s="80" t="s">
        <v>218</v>
      </c>
      <c r="AS29" s="80">
        <v>0</v>
      </c>
      <c r="AT29" s="80">
        <v>0</v>
      </c>
      <c r="AU29" s="80"/>
      <c r="AV29" s="80"/>
      <c r="AW29" s="80"/>
      <c r="AX29" s="80"/>
      <c r="AY29" s="80"/>
      <c r="AZ29" s="80"/>
      <c r="BA29" s="80"/>
      <c r="BB29" s="80"/>
      <c r="BC29" s="80">
        <v>2</v>
      </c>
      <c r="BD29" s="79" t="str">
        <f>REPLACE(INDEX(GroupVertices[Group],MATCH(Edges49[[#This Row],[Vertex 1]],GroupVertices[Vertex],0)),1,1,"")</f>
        <v>1</v>
      </c>
      <c r="BE29" s="79" t="str">
        <f>REPLACE(INDEX(GroupVertices[Group],MATCH(Edges49[[#This Row],[Vertex 2]],GroupVertices[Vertex],0)),1,1,"")</f>
        <v>2</v>
      </c>
      <c r="BF29" s="49">
        <v>0</v>
      </c>
      <c r="BG29" s="50">
        <v>0</v>
      </c>
      <c r="BH29" s="49">
        <v>2</v>
      </c>
      <c r="BI29" s="50">
        <v>4.651162790697675</v>
      </c>
      <c r="BJ29" s="49">
        <v>0</v>
      </c>
      <c r="BK29" s="50">
        <v>0</v>
      </c>
      <c r="BL29" s="49">
        <v>41</v>
      </c>
      <c r="BM29" s="50">
        <v>95.34883720930233</v>
      </c>
      <c r="BN29" s="49">
        <v>43</v>
      </c>
    </row>
    <row r="30" spans="1:66" ht="15">
      <c r="A30" s="65" t="s">
        <v>518</v>
      </c>
      <c r="B30" s="65" t="s">
        <v>519</v>
      </c>
      <c r="C30" s="66"/>
      <c r="D30" s="67"/>
      <c r="E30" s="66"/>
      <c r="F30" s="69"/>
      <c r="G30" s="66"/>
      <c r="H30" s="70"/>
      <c r="I30" s="71"/>
      <c r="J30" s="71"/>
      <c r="K30" s="35" t="s">
        <v>65</v>
      </c>
      <c r="L30" s="72">
        <v>30</v>
      </c>
      <c r="M30" s="72"/>
      <c r="N30" s="73"/>
      <c r="O30" s="80" t="s">
        <v>264</v>
      </c>
      <c r="P30" s="82">
        <v>44692.23375</v>
      </c>
      <c r="Q30" s="80" t="s">
        <v>580</v>
      </c>
      <c r="R30" s="80"/>
      <c r="S30" s="80"/>
      <c r="T30" s="85" t="s">
        <v>596</v>
      </c>
      <c r="U30" s="83" t="str">
        <f>HYPERLINK("https://pbs.twimg.com/media/FSc09v5aQAAY6bm.jpg")</f>
        <v>https://pbs.twimg.com/media/FSc09v5aQAAY6bm.jpg</v>
      </c>
      <c r="V30" s="83" t="str">
        <f>HYPERLINK("https://pbs.twimg.com/media/FSc09v5aQAAY6bm.jpg")</f>
        <v>https://pbs.twimg.com/media/FSc09v5aQAAY6bm.jpg</v>
      </c>
      <c r="W30" s="82">
        <v>44692.23375</v>
      </c>
      <c r="X30" s="87">
        <v>44692</v>
      </c>
      <c r="Y30" s="85" t="s">
        <v>611</v>
      </c>
      <c r="Z30" s="83" t="str">
        <f>HYPERLINK("https://twitter.com/sureshk01547631/status/1524262175203676160")</f>
        <v>https://twitter.com/sureshk01547631/status/1524262175203676160</v>
      </c>
      <c r="AA30" s="80"/>
      <c r="AB30" s="80"/>
      <c r="AC30" s="85" t="s">
        <v>665</v>
      </c>
      <c r="AD30" s="80"/>
      <c r="AE30" s="80" t="b">
        <v>0</v>
      </c>
      <c r="AF30" s="80">
        <v>0</v>
      </c>
      <c r="AG30" s="85" t="s">
        <v>267</v>
      </c>
      <c r="AH30" s="80" t="b">
        <v>0</v>
      </c>
      <c r="AI30" s="80" t="s">
        <v>268</v>
      </c>
      <c r="AJ30" s="80"/>
      <c r="AK30" s="85" t="s">
        <v>267</v>
      </c>
      <c r="AL30" s="80" t="b">
        <v>0</v>
      </c>
      <c r="AM30" s="80">
        <v>19</v>
      </c>
      <c r="AN30" s="85" t="s">
        <v>696</v>
      </c>
      <c r="AO30" s="85" t="s">
        <v>272</v>
      </c>
      <c r="AP30" s="80" t="b">
        <v>0</v>
      </c>
      <c r="AQ30" s="85" t="s">
        <v>696</v>
      </c>
      <c r="AR30" s="80" t="s">
        <v>218</v>
      </c>
      <c r="AS30" s="80">
        <v>0</v>
      </c>
      <c r="AT30" s="80">
        <v>0</v>
      </c>
      <c r="AU30" s="80"/>
      <c r="AV30" s="80"/>
      <c r="AW30" s="80"/>
      <c r="AX30" s="80"/>
      <c r="AY30" s="80"/>
      <c r="AZ30" s="80"/>
      <c r="BA30" s="80"/>
      <c r="BB30" s="80"/>
      <c r="BC30" s="80">
        <v>2</v>
      </c>
      <c r="BD30" s="79" t="str">
        <f>REPLACE(INDEX(GroupVertices[Group],MATCH(Edges49[[#This Row],[Vertex 1]],GroupVertices[Vertex],0)),1,1,"")</f>
        <v>1</v>
      </c>
      <c r="BE30" s="79" t="str">
        <f>REPLACE(INDEX(GroupVertices[Group],MATCH(Edges49[[#This Row],[Vertex 2]],GroupVertices[Vertex],0)),1,1,"")</f>
        <v>1</v>
      </c>
      <c r="BF30" s="49"/>
      <c r="BG30" s="50"/>
      <c r="BH30" s="49"/>
      <c r="BI30" s="50"/>
      <c r="BJ30" s="49"/>
      <c r="BK30" s="50"/>
      <c r="BL30" s="49"/>
      <c r="BM30" s="50"/>
      <c r="BN30" s="49"/>
    </row>
    <row r="31" spans="1:66" ht="15">
      <c r="A31" s="65" t="s">
        <v>518</v>
      </c>
      <c r="B31" s="65" t="s">
        <v>258</v>
      </c>
      <c r="C31" s="66"/>
      <c r="D31" s="67"/>
      <c r="E31" s="66"/>
      <c r="F31" s="69"/>
      <c r="G31" s="66"/>
      <c r="H31" s="70"/>
      <c r="I31" s="71"/>
      <c r="J31" s="71"/>
      <c r="K31" s="35" t="s">
        <v>65</v>
      </c>
      <c r="L31" s="72">
        <v>31</v>
      </c>
      <c r="M31" s="72"/>
      <c r="N31" s="73"/>
      <c r="O31" s="80" t="s">
        <v>264</v>
      </c>
      <c r="P31" s="82">
        <v>44692.23375</v>
      </c>
      <c r="Q31" s="80" t="s">
        <v>580</v>
      </c>
      <c r="R31" s="80"/>
      <c r="S31" s="80"/>
      <c r="T31" s="85" t="s">
        <v>596</v>
      </c>
      <c r="U31" s="83" t="str">
        <f>HYPERLINK("https://pbs.twimg.com/media/FSc09v5aQAAY6bm.jpg")</f>
        <v>https://pbs.twimg.com/media/FSc09v5aQAAY6bm.jpg</v>
      </c>
      <c r="V31" s="83" t="str">
        <f>HYPERLINK("https://pbs.twimg.com/media/FSc09v5aQAAY6bm.jpg")</f>
        <v>https://pbs.twimg.com/media/FSc09v5aQAAY6bm.jpg</v>
      </c>
      <c r="W31" s="82">
        <v>44692.23375</v>
      </c>
      <c r="X31" s="87">
        <v>44692</v>
      </c>
      <c r="Y31" s="85" t="s">
        <v>611</v>
      </c>
      <c r="Z31" s="83" t="str">
        <f>HYPERLINK("https://twitter.com/sureshk01547631/status/1524262175203676160")</f>
        <v>https://twitter.com/sureshk01547631/status/1524262175203676160</v>
      </c>
      <c r="AA31" s="80"/>
      <c r="AB31" s="80"/>
      <c r="AC31" s="85" t="s">
        <v>665</v>
      </c>
      <c r="AD31" s="80"/>
      <c r="AE31" s="80" t="b">
        <v>0</v>
      </c>
      <c r="AF31" s="80">
        <v>0</v>
      </c>
      <c r="AG31" s="85" t="s">
        <v>267</v>
      </c>
      <c r="AH31" s="80" t="b">
        <v>0</v>
      </c>
      <c r="AI31" s="80" t="s">
        <v>268</v>
      </c>
      <c r="AJ31" s="80"/>
      <c r="AK31" s="85" t="s">
        <v>267</v>
      </c>
      <c r="AL31" s="80" t="b">
        <v>0</v>
      </c>
      <c r="AM31" s="80">
        <v>19</v>
      </c>
      <c r="AN31" s="85" t="s">
        <v>696</v>
      </c>
      <c r="AO31" s="85" t="s">
        <v>272</v>
      </c>
      <c r="AP31" s="80" t="b">
        <v>0</v>
      </c>
      <c r="AQ31" s="85" t="s">
        <v>696</v>
      </c>
      <c r="AR31" s="80" t="s">
        <v>218</v>
      </c>
      <c r="AS31" s="80">
        <v>0</v>
      </c>
      <c r="AT31" s="80">
        <v>0</v>
      </c>
      <c r="AU31" s="80"/>
      <c r="AV31" s="80"/>
      <c r="AW31" s="80"/>
      <c r="AX31" s="80"/>
      <c r="AY31" s="80"/>
      <c r="AZ31" s="80"/>
      <c r="BA31" s="80"/>
      <c r="BB31" s="80"/>
      <c r="BC31" s="80">
        <v>1</v>
      </c>
      <c r="BD31" s="79" t="str">
        <f>REPLACE(INDEX(GroupVertices[Group],MATCH(Edges49[[#This Row],[Vertex 1]],GroupVertices[Vertex],0)),1,1,"")</f>
        <v>1</v>
      </c>
      <c r="BE31" s="79" t="str">
        <f>REPLACE(INDEX(GroupVertices[Group],MATCH(Edges49[[#This Row],[Vertex 2]],GroupVertices[Vertex],0)),1,1,"")</f>
        <v>1</v>
      </c>
      <c r="BF31" s="49"/>
      <c r="BG31" s="50"/>
      <c r="BH31" s="49"/>
      <c r="BI31" s="50"/>
      <c r="BJ31" s="49"/>
      <c r="BK31" s="50"/>
      <c r="BL31" s="49"/>
      <c r="BM31" s="50"/>
      <c r="BN31" s="49"/>
    </row>
    <row r="32" spans="1:66" ht="15">
      <c r="A32" s="65" t="s">
        <v>518</v>
      </c>
      <c r="B32" s="65" t="s">
        <v>559</v>
      </c>
      <c r="C32" s="66"/>
      <c r="D32" s="67"/>
      <c r="E32" s="66"/>
      <c r="F32" s="69"/>
      <c r="G32" s="66"/>
      <c r="H32" s="70"/>
      <c r="I32" s="71"/>
      <c r="J32" s="71"/>
      <c r="K32" s="35" t="s">
        <v>65</v>
      </c>
      <c r="L32" s="72">
        <v>32</v>
      </c>
      <c r="M32" s="72"/>
      <c r="N32" s="73"/>
      <c r="O32" s="80" t="s">
        <v>263</v>
      </c>
      <c r="P32" s="82">
        <v>44692.23375</v>
      </c>
      <c r="Q32" s="80" t="s">
        <v>580</v>
      </c>
      <c r="R32" s="80"/>
      <c r="S32" s="80"/>
      <c r="T32" s="85" t="s">
        <v>596</v>
      </c>
      <c r="U32" s="83" t="str">
        <f>HYPERLINK("https://pbs.twimg.com/media/FSc09v5aQAAY6bm.jpg")</f>
        <v>https://pbs.twimg.com/media/FSc09v5aQAAY6bm.jpg</v>
      </c>
      <c r="V32" s="83" t="str">
        <f>HYPERLINK("https://pbs.twimg.com/media/FSc09v5aQAAY6bm.jpg")</f>
        <v>https://pbs.twimg.com/media/FSc09v5aQAAY6bm.jpg</v>
      </c>
      <c r="W32" s="82">
        <v>44692.23375</v>
      </c>
      <c r="X32" s="87">
        <v>44692</v>
      </c>
      <c r="Y32" s="85" t="s">
        <v>611</v>
      </c>
      <c r="Z32" s="83" t="str">
        <f>HYPERLINK("https://twitter.com/sureshk01547631/status/1524262175203676160")</f>
        <v>https://twitter.com/sureshk01547631/status/1524262175203676160</v>
      </c>
      <c r="AA32" s="80"/>
      <c r="AB32" s="80"/>
      <c r="AC32" s="85" t="s">
        <v>665</v>
      </c>
      <c r="AD32" s="80"/>
      <c r="AE32" s="80" t="b">
        <v>0</v>
      </c>
      <c r="AF32" s="80">
        <v>0</v>
      </c>
      <c r="AG32" s="85" t="s">
        <v>267</v>
      </c>
      <c r="AH32" s="80" t="b">
        <v>0</v>
      </c>
      <c r="AI32" s="80" t="s">
        <v>268</v>
      </c>
      <c r="AJ32" s="80"/>
      <c r="AK32" s="85" t="s">
        <v>267</v>
      </c>
      <c r="AL32" s="80" t="b">
        <v>0</v>
      </c>
      <c r="AM32" s="80">
        <v>19</v>
      </c>
      <c r="AN32" s="85" t="s">
        <v>696</v>
      </c>
      <c r="AO32" s="85" t="s">
        <v>272</v>
      </c>
      <c r="AP32" s="80" t="b">
        <v>0</v>
      </c>
      <c r="AQ32" s="85" t="s">
        <v>696</v>
      </c>
      <c r="AR32" s="80" t="s">
        <v>218</v>
      </c>
      <c r="AS32" s="80">
        <v>0</v>
      </c>
      <c r="AT32" s="80">
        <v>0</v>
      </c>
      <c r="AU32" s="80"/>
      <c r="AV32" s="80"/>
      <c r="AW32" s="80"/>
      <c r="AX32" s="80"/>
      <c r="AY32" s="80"/>
      <c r="AZ32" s="80"/>
      <c r="BA32" s="80"/>
      <c r="BB32" s="80"/>
      <c r="BC32" s="80">
        <v>2</v>
      </c>
      <c r="BD32" s="79" t="str">
        <f>REPLACE(INDEX(GroupVertices[Group],MATCH(Edges49[[#This Row],[Vertex 1]],GroupVertices[Vertex],0)),1,1,"")</f>
        <v>1</v>
      </c>
      <c r="BE32" s="79" t="str">
        <f>REPLACE(INDEX(GroupVertices[Group],MATCH(Edges49[[#This Row],[Vertex 2]],GroupVertices[Vertex],0)),1,1,"")</f>
        <v>2</v>
      </c>
      <c r="BF32" s="49">
        <v>0</v>
      </c>
      <c r="BG32" s="50">
        <v>0</v>
      </c>
      <c r="BH32" s="49">
        <v>5</v>
      </c>
      <c r="BI32" s="50">
        <v>12.820512820512821</v>
      </c>
      <c r="BJ32" s="49">
        <v>0</v>
      </c>
      <c r="BK32" s="50">
        <v>0</v>
      </c>
      <c r="BL32" s="49">
        <v>34</v>
      </c>
      <c r="BM32" s="50">
        <v>87.17948717948718</v>
      </c>
      <c r="BN32" s="49">
        <v>39</v>
      </c>
    </row>
    <row r="33" spans="1:66" ht="15">
      <c r="A33" s="65" t="s">
        <v>518</v>
      </c>
      <c r="B33" s="65" t="s">
        <v>519</v>
      </c>
      <c r="C33" s="66"/>
      <c r="D33" s="67"/>
      <c r="E33" s="66"/>
      <c r="F33" s="69"/>
      <c r="G33" s="66"/>
      <c r="H33" s="70"/>
      <c r="I33" s="71"/>
      <c r="J33" s="71"/>
      <c r="K33" s="35" t="s">
        <v>65</v>
      </c>
      <c r="L33" s="72">
        <v>33</v>
      </c>
      <c r="M33" s="72"/>
      <c r="N33" s="73"/>
      <c r="O33" s="80" t="s">
        <v>264</v>
      </c>
      <c r="P33" s="82">
        <v>44693.06815972222</v>
      </c>
      <c r="Q33" s="80" t="s">
        <v>581</v>
      </c>
      <c r="R33" s="80"/>
      <c r="S33" s="80"/>
      <c r="T33" s="80"/>
      <c r="U33" s="83" t="str">
        <f>HYPERLINK("https://pbs.twimg.com/ext_tw_video_thumb/1524368758437216256/pu/img/3UwSYL_0rta3dEGi.jpg")</f>
        <v>https://pbs.twimg.com/ext_tw_video_thumb/1524368758437216256/pu/img/3UwSYL_0rta3dEGi.jpg</v>
      </c>
      <c r="V33" s="83" t="str">
        <f>HYPERLINK("https://pbs.twimg.com/ext_tw_video_thumb/1524368758437216256/pu/img/3UwSYL_0rta3dEGi.jpg")</f>
        <v>https://pbs.twimg.com/ext_tw_video_thumb/1524368758437216256/pu/img/3UwSYL_0rta3dEGi.jpg</v>
      </c>
      <c r="W33" s="82">
        <v>44693.06815972222</v>
      </c>
      <c r="X33" s="87">
        <v>44693</v>
      </c>
      <c r="Y33" s="85" t="s">
        <v>612</v>
      </c>
      <c r="Z33" s="83" t="str">
        <f>HYPERLINK("https://twitter.com/sureshk01547631/status/1524564554965225472")</f>
        <v>https://twitter.com/sureshk01547631/status/1524564554965225472</v>
      </c>
      <c r="AA33" s="80"/>
      <c r="AB33" s="80"/>
      <c r="AC33" s="85" t="s">
        <v>666</v>
      </c>
      <c r="AD33" s="80"/>
      <c r="AE33" s="80" t="b">
        <v>0</v>
      </c>
      <c r="AF33" s="80">
        <v>0</v>
      </c>
      <c r="AG33" s="85" t="s">
        <v>267</v>
      </c>
      <c r="AH33" s="80" t="b">
        <v>0</v>
      </c>
      <c r="AI33" s="80" t="s">
        <v>268</v>
      </c>
      <c r="AJ33" s="80"/>
      <c r="AK33" s="85" t="s">
        <v>267</v>
      </c>
      <c r="AL33" s="80" t="b">
        <v>0</v>
      </c>
      <c r="AM33" s="80">
        <v>16</v>
      </c>
      <c r="AN33" s="85" t="s">
        <v>698</v>
      </c>
      <c r="AO33" s="85" t="s">
        <v>272</v>
      </c>
      <c r="AP33" s="80" t="b">
        <v>0</v>
      </c>
      <c r="AQ33" s="85" t="s">
        <v>698</v>
      </c>
      <c r="AR33" s="80" t="s">
        <v>218</v>
      </c>
      <c r="AS33" s="80">
        <v>0</v>
      </c>
      <c r="AT33" s="80">
        <v>0</v>
      </c>
      <c r="AU33" s="80"/>
      <c r="AV33" s="80"/>
      <c r="AW33" s="80"/>
      <c r="AX33" s="80"/>
      <c r="AY33" s="80"/>
      <c r="AZ33" s="80"/>
      <c r="BA33" s="80"/>
      <c r="BB33" s="80"/>
      <c r="BC33" s="80">
        <v>2</v>
      </c>
      <c r="BD33" s="79" t="str">
        <f>REPLACE(INDEX(GroupVertices[Group],MATCH(Edges49[[#This Row],[Vertex 1]],GroupVertices[Vertex],0)),1,1,"")</f>
        <v>1</v>
      </c>
      <c r="BE33" s="79" t="str">
        <f>REPLACE(INDEX(GroupVertices[Group],MATCH(Edges49[[#This Row],[Vertex 2]],GroupVertices[Vertex],0)),1,1,"")</f>
        <v>1</v>
      </c>
      <c r="BF33" s="49"/>
      <c r="BG33" s="50"/>
      <c r="BH33" s="49"/>
      <c r="BI33" s="50"/>
      <c r="BJ33" s="49"/>
      <c r="BK33" s="50"/>
      <c r="BL33" s="49"/>
      <c r="BM33" s="50"/>
      <c r="BN33" s="49"/>
    </row>
    <row r="34" spans="1:66" ht="15">
      <c r="A34" s="65" t="s">
        <v>518</v>
      </c>
      <c r="B34" s="65" t="s">
        <v>559</v>
      </c>
      <c r="C34" s="66"/>
      <c r="D34" s="67"/>
      <c r="E34" s="66"/>
      <c r="F34" s="69"/>
      <c r="G34" s="66"/>
      <c r="H34" s="70"/>
      <c r="I34" s="71"/>
      <c r="J34" s="71"/>
      <c r="K34" s="35" t="s">
        <v>65</v>
      </c>
      <c r="L34" s="72">
        <v>34</v>
      </c>
      <c r="M34" s="72"/>
      <c r="N34" s="73"/>
      <c r="O34" s="80" t="s">
        <v>263</v>
      </c>
      <c r="P34" s="82">
        <v>44693.06815972222</v>
      </c>
      <c r="Q34" s="80" t="s">
        <v>581</v>
      </c>
      <c r="R34" s="80"/>
      <c r="S34" s="80"/>
      <c r="T34" s="80"/>
      <c r="U34" s="83" t="str">
        <f>HYPERLINK("https://pbs.twimg.com/ext_tw_video_thumb/1524368758437216256/pu/img/3UwSYL_0rta3dEGi.jpg")</f>
        <v>https://pbs.twimg.com/ext_tw_video_thumb/1524368758437216256/pu/img/3UwSYL_0rta3dEGi.jpg</v>
      </c>
      <c r="V34" s="83" t="str">
        <f>HYPERLINK("https://pbs.twimg.com/ext_tw_video_thumb/1524368758437216256/pu/img/3UwSYL_0rta3dEGi.jpg")</f>
        <v>https://pbs.twimg.com/ext_tw_video_thumb/1524368758437216256/pu/img/3UwSYL_0rta3dEGi.jpg</v>
      </c>
      <c r="W34" s="82">
        <v>44693.06815972222</v>
      </c>
      <c r="X34" s="87">
        <v>44693</v>
      </c>
      <c r="Y34" s="85" t="s">
        <v>612</v>
      </c>
      <c r="Z34" s="83" t="str">
        <f>HYPERLINK("https://twitter.com/sureshk01547631/status/1524564554965225472")</f>
        <v>https://twitter.com/sureshk01547631/status/1524564554965225472</v>
      </c>
      <c r="AA34" s="80"/>
      <c r="AB34" s="80"/>
      <c r="AC34" s="85" t="s">
        <v>666</v>
      </c>
      <c r="AD34" s="80"/>
      <c r="AE34" s="80" t="b">
        <v>0</v>
      </c>
      <c r="AF34" s="80">
        <v>0</v>
      </c>
      <c r="AG34" s="85" t="s">
        <v>267</v>
      </c>
      <c r="AH34" s="80" t="b">
        <v>0</v>
      </c>
      <c r="AI34" s="80" t="s">
        <v>268</v>
      </c>
      <c r="AJ34" s="80"/>
      <c r="AK34" s="85" t="s">
        <v>267</v>
      </c>
      <c r="AL34" s="80" t="b">
        <v>0</v>
      </c>
      <c r="AM34" s="80">
        <v>16</v>
      </c>
      <c r="AN34" s="85" t="s">
        <v>698</v>
      </c>
      <c r="AO34" s="85" t="s">
        <v>272</v>
      </c>
      <c r="AP34" s="80" t="b">
        <v>0</v>
      </c>
      <c r="AQ34" s="85" t="s">
        <v>698</v>
      </c>
      <c r="AR34" s="80" t="s">
        <v>218</v>
      </c>
      <c r="AS34" s="80">
        <v>0</v>
      </c>
      <c r="AT34" s="80">
        <v>0</v>
      </c>
      <c r="AU34" s="80"/>
      <c r="AV34" s="80"/>
      <c r="AW34" s="80"/>
      <c r="AX34" s="80"/>
      <c r="AY34" s="80"/>
      <c r="AZ34" s="80"/>
      <c r="BA34" s="80"/>
      <c r="BB34" s="80"/>
      <c r="BC34" s="80">
        <v>2</v>
      </c>
      <c r="BD34" s="79" t="str">
        <f>REPLACE(INDEX(GroupVertices[Group],MATCH(Edges49[[#This Row],[Vertex 1]],GroupVertices[Vertex],0)),1,1,"")</f>
        <v>1</v>
      </c>
      <c r="BE34" s="79" t="str">
        <f>REPLACE(INDEX(GroupVertices[Group],MATCH(Edges49[[#This Row],[Vertex 2]],GroupVertices[Vertex],0)),1,1,"")</f>
        <v>2</v>
      </c>
      <c r="BF34" s="49">
        <v>0</v>
      </c>
      <c r="BG34" s="50">
        <v>0</v>
      </c>
      <c r="BH34" s="49">
        <v>2</v>
      </c>
      <c r="BI34" s="50">
        <v>4.651162790697675</v>
      </c>
      <c r="BJ34" s="49">
        <v>0</v>
      </c>
      <c r="BK34" s="50">
        <v>0</v>
      </c>
      <c r="BL34" s="49">
        <v>41</v>
      </c>
      <c r="BM34" s="50">
        <v>95.34883720930233</v>
      </c>
      <c r="BN34" s="49">
        <v>43</v>
      </c>
    </row>
    <row r="35" spans="1:66" ht="15">
      <c r="A35" s="65" t="s">
        <v>547</v>
      </c>
      <c r="B35" s="65" t="s">
        <v>519</v>
      </c>
      <c r="C35" s="66"/>
      <c r="D35" s="67"/>
      <c r="E35" s="66"/>
      <c r="F35" s="69"/>
      <c r="G35" s="66"/>
      <c r="H35" s="70"/>
      <c r="I35" s="71"/>
      <c r="J35" s="71"/>
      <c r="K35" s="35" t="s">
        <v>65</v>
      </c>
      <c r="L35" s="72">
        <v>35</v>
      </c>
      <c r="M35" s="72"/>
      <c r="N35" s="73"/>
      <c r="O35" s="80" t="s">
        <v>264</v>
      </c>
      <c r="P35" s="82">
        <v>44693.085173611114</v>
      </c>
      <c r="Q35" s="80" t="s">
        <v>580</v>
      </c>
      <c r="R35" s="80"/>
      <c r="S35" s="80"/>
      <c r="T35" s="85" t="s">
        <v>596</v>
      </c>
      <c r="U35" s="83" t="str">
        <f>HYPERLINK("https://pbs.twimg.com/media/FSc09v5aQAAY6bm.jpg")</f>
        <v>https://pbs.twimg.com/media/FSc09v5aQAAY6bm.jpg</v>
      </c>
      <c r="V35" s="83" t="str">
        <f>HYPERLINK("https://pbs.twimg.com/media/FSc09v5aQAAY6bm.jpg")</f>
        <v>https://pbs.twimg.com/media/FSc09v5aQAAY6bm.jpg</v>
      </c>
      <c r="W35" s="82">
        <v>44693.085173611114</v>
      </c>
      <c r="X35" s="87">
        <v>44693</v>
      </c>
      <c r="Y35" s="85" t="s">
        <v>613</v>
      </c>
      <c r="Z35" s="83" t="str">
        <f>HYPERLINK("https://twitter.com/satvirsohi5/status/1524570721917476865")</f>
        <v>https://twitter.com/satvirsohi5/status/1524570721917476865</v>
      </c>
      <c r="AA35" s="80"/>
      <c r="AB35" s="80"/>
      <c r="AC35" s="85" t="s">
        <v>667</v>
      </c>
      <c r="AD35" s="80"/>
      <c r="AE35" s="80" t="b">
        <v>0</v>
      </c>
      <c r="AF35" s="80">
        <v>0</v>
      </c>
      <c r="AG35" s="85" t="s">
        <v>267</v>
      </c>
      <c r="AH35" s="80" t="b">
        <v>0</v>
      </c>
      <c r="AI35" s="80" t="s">
        <v>268</v>
      </c>
      <c r="AJ35" s="80"/>
      <c r="AK35" s="85" t="s">
        <v>267</v>
      </c>
      <c r="AL35" s="80" t="b">
        <v>0</v>
      </c>
      <c r="AM35" s="80">
        <v>19</v>
      </c>
      <c r="AN35" s="85" t="s">
        <v>696</v>
      </c>
      <c r="AO35" s="85" t="s">
        <v>271</v>
      </c>
      <c r="AP35" s="80" t="b">
        <v>0</v>
      </c>
      <c r="AQ35" s="85" t="s">
        <v>696</v>
      </c>
      <c r="AR35" s="80" t="s">
        <v>218</v>
      </c>
      <c r="AS35" s="80">
        <v>0</v>
      </c>
      <c r="AT35" s="80">
        <v>0</v>
      </c>
      <c r="AU35" s="80"/>
      <c r="AV35" s="80"/>
      <c r="AW35" s="80"/>
      <c r="AX35" s="80"/>
      <c r="AY35" s="80"/>
      <c r="AZ35" s="80"/>
      <c r="BA35" s="80"/>
      <c r="BB35" s="80"/>
      <c r="BC35" s="80">
        <v>2</v>
      </c>
      <c r="BD35" s="79" t="str">
        <f>REPLACE(INDEX(GroupVertices[Group],MATCH(Edges49[[#This Row],[Vertex 1]],GroupVertices[Vertex],0)),1,1,"")</f>
        <v>1</v>
      </c>
      <c r="BE35" s="79" t="str">
        <f>REPLACE(INDEX(GroupVertices[Group],MATCH(Edges49[[#This Row],[Vertex 2]],GroupVertices[Vertex],0)),1,1,"")</f>
        <v>1</v>
      </c>
      <c r="BF35" s="49"/>
      <c r="BG35" s="50"/>
      <c r="BH35" s="49"/>
      <c r="BI35" s="50"/>
      <c r="BJ35" s="49"/>
      <c r="BK35" s="50"/>
      <c r="BL35" s="49"/>
      <c r="BM35" s="50"/>
      <c r="BN35" s="49"/>
    </row>
    <row r="36" spans="1:66" ht="15">
      <c r="A36" s="65" t="s">
        <v>547</v>
      </c>
      <c r="B36" s="65" t="s">
        <v>258</v>
      </c>
      <c r="C36" s="66"/>
      <c r="D36" s="67"/>
      <c r="E36" s="66"/>
      <c r="F36" s="69"/>
      <c r="G36" s="66"/>
      <c r="H36" s="70"/>
      <c r="I36" s="71"/>
      <c r="J36" s="71"/>
      <c r="K36" s="35" t="s">
        <v>65</v>
      </c>
      <c r="L36" s="72">
        <v>36</v>
      </c>
      <c r="M36" s="72"/>
      <c r="N36" s="73"/>
      <c r="O36" s="80" t="s">
        <v>264</v>
      </c>
      <c r="P36" s="82">
        <v>44693.085173611114</v>
      </c>
      <c r="Q36" s="80" t="s">
        <v>580</v>
      </c>
      <c r="R36" s="80"/>
      <c r="S36" s="80"/>
      <c r="T36" s="85" t="s">
        <v>596</v>
      </c>
      <c r="U36" s="83" t="str">
        <f>HYPERLINK("https://pbs.twimg.com/media/FSc09v5aQAAY6bm.jpg")</f>
        <v>https://pbs.twimg.com/media/FSc09v5aQAAY6bm.jpg</v>
      </c>
      <c r="V36" s="83" t="str">
        <f>HYPERLINK("https://pbs.twimg.com/media/FSc09v5aQAAY6bm.jpg")</f>
        <v>https://pbs.twimg.com/media/FSc09v5aQAAY6bm.jpg</v>
      </c>
      <c r="W36" s="82">
        <v>44693.085173611114</v>
      </c>
      <c r="X36" s="87">
        <v>44693</v>
      </c>
      <c r="Y36" s="85" t="s">
        <v>613</v>
      </c>
      <c r="Z36" s="83" t="str">
        <f>HYPERLINK("https://twitter.com/satvirsohi5/status/1524570721917476865")</f>
        <v>https://twitter.com/satvirsohi5/status/1524570721917476865</v>
      </c>
      <c r="AA36" s="80"/>
      <c r="AB36" s="80"/>
      <c r="AC36" s="85" t="s">
        <v>667</v>
      </c>
      <c r="AD36" s="80"/>
      <c r="AE36" s="80" t="b">
        <v>0</v>
      </c>
      <c r="AF36" s="80">
        <v>0</v>
      </c>
      <c r="AG36" s="85" t="s">
        <v>267</v>
      </c>
      <c r="AH36" s="80" t="b">
        <v>0</v>
      </c>
      <c r="AI36" s="80" t="s">
        <v>268</v>
      </c>
      <c r="AJ36" s="80"/>
      <c r="AK36" s="85" t="s">
        <v>267</v>
      </c>
      <c r="AL36" s="80" t="b">
        <v>0</v>
      </c>
      <c r="AM36" s="80">
        <v>19</v>
      </c>
      <c r="AN36" s="85" t="s">
        <v>696</v>
      </c>
      <c r="AO36" s="85" t="s">
        <v>271</v>
      </c>
      <c r="AP36" s="80" t="b">
        <v>0</v>
      </c>
      <c r="AQ36" s="85" t="s">
        <v>696</v>
      </c>
      <c r="AR36" s="80" t="s">
        <v>218</v>
      </c>
      <c r="AS36" s="80">
        <v>0</v>
      </c>
      <c r="AT36" s="80">
        <v>0</v>
      </c>
      <c r="AU36" s="80"/>
      <c r="AV36" s="80"/>
      <c r="AW36" s="80"/>
      <c r="AX36" s="80"/>
      <c r="AY36" s="80"/>
      <c r="AZ36" s="80"/>
      <c r="BA36" s="80"/>
      <c r="BB36" s="80"/>
      <c r="BC36" s="80">
        <v>1</v>
      </c>
      <c r="BD36" s="79" t="str">
        <f>REPLACE(INDEX(GroupVertices[Group],MATCH(Edges49[[#This Row],[Vertex 1]],GroupVertices[Vertex],0)),1,1,"")</f>
        <v>1</v>
      </c>
      <c r="BE36" s="79" t="str">
        <f>REPLACE(INDEX(GroupVertices[Group],MATCH(Edges49[[#This Row],[Vertex 2]],GroupVertices[Vertex],0)),1,1,"")</f>
        <v>1</v>
      </c>
      <c r="BF36" s="49"/>
      <c r="BG36" s="50"/>
      <c r="BH36" s="49"/>
      <c r="BI36" s="50"/>
      <c r="BJ36" s="49"/>
      <c r="BK36" s="50"/>
      <c r="BL36" s="49"/>
      <c r="BM36" s="50"/>
      <c r="BN36" s="49"/>
    </row>
    <row r="37" spans="1:66" ht="15">
      <c r="A37" s="65" t="s">
        <v>547</v>
      </c>
      <c r="B37" s="65" t="s">
        <v>559</v>
      </c>
      <c r="C37" s="66"/>
      <c r="D37" s="67"/>
      <c r="E37" s="66"/>
      <c r="F37" s="69"/>
      <c r="G37" s="66"/>
      <c r="H37" s="70"/>
      <c r="I37" s="71"/>
      <c r="J37" s="71"/>
      <c r="K37" s="35" t="s">
        <v>65</v>
      </c>
      <c r="L37" s="72">
        <v>37</v>
      </c>
      <c r="M37" s="72"/>
      <c r="N37" s="73"/>
      <c r="O37" s="80" t="s">
        <v>263</v>
      </c>
      <c r="P37" s="82">
        <v>44693.085173611114</v>
      </c>
      <c r="Q37" s="80" t="s">
        <v>580</v>
      </c>
      <c r="R37" s="80"/>
      <c r="S37" s="80"/>
      <c r="T37" s="85" t="s">
        <v>596</v>
      </c>
      <c r="U37" s="83" t="str">
        <f>HYPERLINK("https://pbs.twimg.com/media/FSc09v5aQAAY6bm.jpg")</f>
        <v>https://pbs.twimg.com/media/FSc09v5aQAAY6bm.jpg</v>
      </c>
      <c r="V37" s="83" t="str">
        <f>HYPERLINK("https://pbs.twimg.com/media/FSc09v5aQAAY6bm.jpg")</f>
        <v>https://pbs.twimg.com/media/FSc09v5aQAAY6bm.jpg</v>
      </c>
      <c r="W37" s="82">
        <v>44693.085173611114</v>
      </c>
      <c r="X37" s="87">
        <v>44693</v>
      </c>
      <c r="Y37" s="85" t="s">
        <v>613</v>
      </c>
      <c r="Z37" s="83" t="str">
        <f>HYPERLINK("https://twitter.com/satvirsohi5/status/1524570721917476865")</f>
        <v>https://twitter.com/satvirsohi5/status/1524570721917476865</v>
      </c>
      <c r="AA37" s="80"/>
      <c r="AB37" s="80"/>
      <c r="AC37" s="85" t="s">
        <v>667</v>
      </c>
      <c r="AD37" s="80"/>
      <c r="AE37" s="80" t="b">
        <v>0</v>
      </c>
      <c r="AF37" s="80">
        <v>0</v>
      </c>
      <c r="AG37" s="85" t="s">
        <v>267</v>
      </c>
      <c r="AH37" s="80" t="b">
        <v>0</v>
      </c>
      <c r="AI37" s="80" t="s">
        <v>268</v>
      </c>
      <c r="AJ37" s="80"/>
      <c r="AK37" s="85" t="s">
        <v>267</v>
      </c>
      <c r="AL37" s="80" t="b">
        <v>0</v>
      </c>
      <c r="AM37" s="80">
        <v>19</v>
      </c>
      <c r="AN37" s="85" t="s">
        <v>696</v>
      </c>
      <c r="AO37" s="85" t="s">
        <v>271</v>
      </c>
      <c r="AP37" s="80" t="b">
        <v>0</v>
      </c>
      <c r="AQ37" s="85" t="s">
        <v>696</v>
      </c>
      <c r="AR37" s="80" t="s">
        <v>218</v>
      </c>
      <c r="AS37" s="80">
        <v>0</v>
      </c>
      <c r="AT37" s="80">
        <v>0</v>
      </c>
      <c r="AU37" s="80"/>
      <c r="AV37" s="80"/>
      <c r="AW37" s="80"/>
      <c r="AX37" s="80"/>
      <c r="AY37" s="80"/>
      <c r="AZ37" s="80"/>
      <c r="BA37" s="80"/>
      <c r="BB37" s="80"/>
      <c r="BC37" s="80">
        <v>2</v>
      </c>
      <c r="BD37" s="79" t="str">
        <f>REPLACE(INDEX(GroupVertices[Group],MATCH(Edges49[[#This Row],[Vertex 1]],GroupVertices[Vertex],0)),1,1,"")</f>
        <v>1</v>
      </c>
      <c r="BE37" s="79" t="str">
        <f>REPLACE(INDEX(GroupVertices[Group],MATCH(Edges49[[#This Row],[Vertex 2]],GroupVertices[Vertex],0)),1,1,"")</f>
        <v>2</v>
      </c>
      <c r="BF37" s="49">
        <v>0</v>
      </c>
      <c r="BG37" s="50">
        <v>0</v>
      </c>
      <c r="BH37" s="49">
        <v>5</v>
      </c>
      <c r="BI37" s="50">
        <v>12.820512820512821</v>
      </c>
      <c r="BJ37" s="49">
        <v>0</v>
      </c>
      <c r="BK37" s="50">
        <v>0</v>
      </c>
      <c r="BL37" s="49">
        <v>34</v>
      </c>
      <c r="BM37" s="50">
        <v>87.17948717948718</v>
      </c>
      <c r="BN37" s="49">
        <v>39</v>
      </c>
    </row>
    <row r="38" spans="1:66" ht="15">
      <c r="A38" s="65" t="s">
        <v>547</v>
      </c>
      <c r="B38" s="65" t="s">
        <v>519</v>
      </c>
      <c r="C38" s="66"/>
      <c r="D38" s="67"/>
      <c r="E38" s="66"/>
      <c r="F38" s="69"/>
      <c r="G38" s="66"/>
      <c r="H38" s="70"/>
      <c r="I38" s="71"/>
      <c r="J38" s="71"/>
      <c r="K38" s="35" t="s">
        <v>65</v>
      </c>
      <c r="L38" s="72">
        <v>38</v>
      </c>
      <c r="M38" s="72"/>
      <c r="N38" s="73"/>
      <c r="O38" s="80" t="s">
        <v>264</v>
      </c>
      <c r="P38" s="82">
        <v>44693.085277777776</v>
      </c>
      <c r="Q38" s="80" t="s">
        <v>581</v>
      </c>
      <c r="R38" s="80"/>
      <c r="S38" s="80"/>
      <c r="T38" s="80"/>
      <c r="U38" s="83" t="str">
        <f>HYPERLINK("https://pbs.twimg.com/ext_tw_video_thumb/1524368758437216256/pu/img/3UwSYL_0rta3dEGi.jpg")</f>
        <v>https://pbs.twimg.com/ext_tw_video_thumb/1524368758437216256/pu/img/3UwSYL_0rta3dEGi.jpg</v>
      </c>
      <c r="V38" s="83" t="str">
        <f>HYPERLINK("https://pbs.twimg.com/ext_tw_video_thumb/1524368758437216256/pu/img/3UwSYL_0rta3dEGi.jpg")</f>
        <v>https://pbs.twimg.com/ext_tw_video_thumb/1524368758437216256/pu/img/3UwSYL_0rta3dEGi.jpg</v>
      </c>
      <c r="W38" s="82">
        <v>44693.085277777776</v>
      </c>
      <c r="X38" s="87">
        <v>44693</v>
      </c>
      <c r="Y38" s="85" t="s">
        <v>614</v>
      </c>
      <c r="Z38" s="83" t="str">
        <f>HYPERLINK("https://twitter.com/satvirsohi5/status/1524570756797321218")</f>
        <v>https://twitter.com/satvirsohi5/status/1524570756797321218</v>
      </c>
      <c r="AA38" s="80"/>
      <c r="AB38" s="80"/>
      <c r="AC38" s="85" t="s">
        <v>668</v>
      </c>
      <c r="AD38" s="80"/>
      <c r="AE38" s="80" t="b">
        <v>0</v>
      </c>
      <c r="AF38" s="80">
        <v>0</v>
      </c>
      <c r="AG38" s="85" t="s">
        <v>267</v>
      </c>
      <c r="AH38" s="80" t="b">
        <v>0</v>
      </c>
      <c r="AI38" s="80" t="s">
        <v>268</v>
      </c>
      <c r="AJ38" s="80"/>
      <c r="AK38" s="85" t="s">
        <v>267</v>
      </c>
      <c r="AL38" s="80" t="b">
        <v>0</v>
      </c>
      <c r="AM38" s="80">
        <v>16</v>
      </c>
      <c r="AN38" s="85" t="s">
        <v>698</v>
      </c>
      <c r="AO38" s="85" t="s">
        <v>271</v>
      </c>
      <c r="AP38" s="80" t="b">
        <v>0</v>
      </c>
      <c r="AQ38" s="85" t="s">
        <v>698</v>
      </c>
      <c r="AR38" s="80" t="s">
        <v>218</v>
      </c>
      <c r="AS38" s="80">
        <v>0</v>
      </c>
      <c r="AT38" s="80">
        <v>0</v>
      </c>
      <c r="AU38" s="80"/>
      <c r="AV38" s="80"/>
      <c r="AW38" s="80"/>
      <c r="AX38" s="80"/>
      <c r="AY38" s="80"/>
      <c r="AZ38" s="80"/>
      <c r="BA38" s="80"/>
      <c r="BB38" s="80"/>
      <c r="BC38" s="80">
        <v>2</v>
      </c>
      <c r="BD38" s="79" t="str">
        <f>REPLACE(INDEX(GroupVertices[Group],MATCH(Edges49[[#This Row],[Vertex 1]],GroupVertices[Vertex],0)),1,1,"")</f>
        <v>1</v>
      </c>
      <c r="BE38" s="79" t="str">
        <f>REPLACE(INDEX(GroupVertices[Group],MATCH(Edges49[[#This Row],[Vertex 2]],GroupVertices[Vertex],0)),1,1,"")</f>
        <v>1</v>
      </c>
      <c r="BF38" s="49"/>
      <c r="BG38" s="50"/>
      <c r="BH38" s="49"/>
      <c r="BI38" s="50"/>
      <c r="BJ38" s="49"/>
      <c r="BK38" s="50"/>
      <c r="BL38" s="49"/>
      <c r="BM38" s="50"/>
      <c r="BN38" s="49"/>
    </row>
    <row r="39" spans="1:66" ht="15">
      <c r="A39" s="65" t="s">
        <v>547</v>
      </c>
      <c r="B39" s="65" t="s">
        <v>559</v>
      </c>
      <c r="C39" s="66"/>
      <c r="D39" s="67"/>
      <c r="E39" s="66"/>
      <c r="F39" s="69"/>
      <c r="G39" s="66"/>
      <c r="H39" s="70"/>
      <c r="I39" s="71"/>
      <c r="J39" s="71"/>
      <c r="K39" s="35" t="s">
        <v>65</v>
      </c>
      <c r="L39" s="72">
        <v>39</v>
      </c>
      <c r="M39" s="72"/>
      <c r="N39" s="73"/>
      <c r="O39" s="80" t="s">
        <v>263</v>
      </c>
      <c r="P39" s="82">
        <v>44693.085277777776</v>
      </c>
      <c r="Q39" s="80" t="s">
        <v>581</v>
      </c>
      <c r="R39" s="80"/>
      <c r="S39" s="80"/>
      <c r="T39" s="80"/>
      <c r="U39" s="83" t="str">
        <f>HYPERLINK("https://pbs.twimg.com/ext_tw_video_thumb/1524368758437216256/pu/img/3UwSYL_0rta3dEGi.jpg")</f>
        <v>https://pbs.twimg.com/ext_tw_video_thumb/1524368758437216256/pu/img/3UwSYL_0rta3dEGi.jpg</v>
      </c>
      <c r="V39" s="83" t="str">
        <f>HYPERLINK("https://pbs.twimg.com/ext_tw_video_thumb/1524368758437216256/pu/img/3UwSYL_0rta3dEGi.jpg")</f>
        <v>https://pbs.twimg.com/ext_tw_video_thumb/1524368758437216256/pu/img/3UwSYL_0rta3dEGi.jpg</v>
      </c>
      <c r="W39" s="82">
        <v>44693.085277777776</v>
      </c>
      <c r="X39" s="87">
        <v>44693</v>
      </c>
      <c r="Y39" s="85" t="s">
        <v>614</v>
      </c>
      <c r="Z39" s="83" t="str">
        <f>HYPERLINK("https://twitter.com/satvirsohi5/status/1524570756797321218")</f>
        <v>https://twitter.com/satvirsohi5/status/1524570756797321218</v>
      </c>
      <c r="AA39" s="80"/>
      <c r="AB39" s="80"/>
      <c r="AC39" s="85" t="s">
        <v>668</v>
      </c>
      <c r="AD39" s="80"/>
      <c r="AE39" s="80" t="b">
        <v>0</v>
      </c>
      <c r="AF39" s="80">
        <v>0</v>
      </c>
      <c r="AG39" s="85" t="s">
        <v>267</v>
      </c>
      <c r="AH39" s="80" t="b">
        <v>0</v>
      </c>
      <c r="AI39" s="80" t="s">
        <v>268</v>
      </c>
      <c r="AJ39" s="80"/>
      <c r="AK39" s="85" t="s">
        <v>267</v>
      </c>
      <c r="AL39" s="80" t="b">
        <v>0</v>
      </c>
      <c r="AM39" s="80">
        <v>16</v>
      </c>
      <c r="AN39" s="85" t="s">
        <v>698</v>
      </c>
      <c r="AO39" s="85" t="s">
        <v>271</v>
      </c>
      <c r="AP39" s="80" t="b">
        <v>0</v>
      </c>
      <c r="AQ39" s="85" t="s">
        <v>698</v>
      </c>
      <c r="AR39" s="80" t="s">
        <v>218</v>
      </c>
      <c r="AS39" s="80">
        <v>0</v>
      </c>
      <c r="AT39" s="80">
        <v>0</v>
      </c>
      <c r="AU39" s="80"/>
      <c r="AV39" s="80"/>
      <c r="AW39" s="80"/>
      <c r="AX39" s="80"/>
      <c r="AY39" s="80"/>
      <c r="AZ39" s="80"/>
      <c r="BA39" s="80"/>
      <c r="BB39" s="80"/>
      <c r="BC39" s="80">
        <v>2</v>
      </c>
      <c r="BD39" s="79" t="str">
        <f>REPLACE(INDEX(GroupVertices[Group],MATCH(Edges49[[#This Row],[Vertex 1]],GroupVertices[Vertex],0)),1,1,"")</f>
        <v>1</v>
      </c>
      <c r="BE39" s="79" t="str">
        <f>REPLACE(INDEX(GroupVertices[Group],MATCH(Edges49[[#This Row],[Vertex 2]],GroupVertices[Vertex],0)),1,1,"")</f>
        <v>2</v>
      </c>
      <c r="BF39" s="49">
        <v>0</v>
      </c>
      <c r="BG39" s="50">
        <v>0</v>
      </c>
      <c r="BH39" s="49">
        <v>2</v>
      </c>
      <c r="BI39" s="50">
        <v>4.651162790697675</v>
      </c>
      <c r="BJ39" s="49">
        <v>0</v>
      </c>
      <c r="BK39" s="50">
        <v>0</v>
      </c>
      <c r="BL39" s="49">
        <v>41</v>
      </c>
      <c r="BM39" s="50">
        <v>95.34883720930233</v>
      </c>
      <c r="BN39" s="49">
        <v>43</v>
      </c>
    </row>
    <row r="40" spans="1:66" ht="15">
      <c r="A40" s="65" t="s">
        <v>548</v>
      </c>
      <c r="B40" s="65" t="s">
        <v>519</v>
      </c>
      <c r="C40" s="66"/>
      <c r="D40" s="67"/>
      <c r="E40" s="66"/>
      <c r="F40" s="69"/>
      <c r="G40" s="66"/>
      <c r="H40" s="70"/>
      <c r="I40" s="71"/>
      <c r="J40" s="71"/>
      <c r="K40" s="35" t="s">
        <v>65</v>
      </c>
      <c r="L40" s="72">
        <v>40</v>
      </c>
      <c r="M40" s="72"/>
      <c r="N40" s="73"/>
      <c r="O40" s="80" t="s">
        <v>264</v>
      </c>
      <c r="P40" s="82">
        <v>44692.214108796295</v>
      </c>
      <c r="Q40" s="80" t="s">
        <v>580</v>
      </c>
      <c r="R40" s="80"/>
      <c r="S40" s="80"/>
      <c r="T40" s="85" t="s">
        <v>596</v>
      </c>
      <c r="U40" s="83" t="str">
        <f>HYPERLINK("https://pbs.twimg.com/media/FSc09v5aQAAY6bm.jpg")</f>
        <v>https://pbs.twimg.com/media/FSc09v5aQAAY6bm.jpg</v>
      </c>
      <c r="V40" s="83" t="str">
        <f>HYPERLINK("https://pbs.twimg.com/media/FSc09v5aQAAY6bm.jpg")</f>
        <v>https://pbs.twimg.com/media/FSc09v5aQAAY6bm.jpg</v>
      </c>
      <c r="W40" s="82">
        <v>44692.214108796295</v>
      </c>
      <c r="X40" s="87">
        <v>44692</v>
      </c>
      <c r="Y40" s="85" t="s">
        <v>615</v>
      </c>
      <c r="Z40" s="83" t="str">
        <f>HYPERLINK("https://twitter.com/fenilsavani/status/1524255057029758976")</f>
        <v>https://twitter.com/fenilsavani/status/1524255057029758976</v>
      </c>
      <c r="AA40" s="80"/>
      <c r="AB40" s="80"/>
      <c r="AC40" s="85" t="s">
        <v>669</v>
      </c>
      <c r="AD40" s="80"/>
      <c r="AE40" s="80" t="b">
        <v>0</v>
      </c>
      <c r="AF40" s="80">
        <v>0</v>
      </c>
      <c r="AG40" s="85" t="s">
        <v>267</v>
      </c>
      <c r="AH40" s="80" t="b">
        <v>0</v>
      </c>
      <c r="AI40" s="80" t="s">
        <v>268</v>
      </c>
      <c r="AJ40" s="80"/>
      <c r="AK40" s="85" t="s">
        <v>267</v>
      </c>
      <c r="AL40" s="80" t="b">
        <v>0</v>
      </c>
      <c r="AM40" s="80">
        <v>19</v>
      </c>
      <c r="AN40" s="85" t="s">
        <v>696</v>
      </c>
      <c r="AO40" s="85" t="s">
        <v>270</v>
      </c>
      <c r="AP40" s="80" t="b">
        <v>0</v>
      </c>
      <c r="AQ40" s="85" t="s">
        <v>696</v>
      </c>
      <c r="AR40" s="80" t="s">
        <v>218</v>
      </c>
      <c r="AS40" s="80">
        <v>0</v>
      </c>
      <c r="AT40" s="80">
        <v>0</v>
      </c>
      <c r="AU40" s="80"/>
      <c r="AV40" s="80"/>
      <c r="AW40" s="80"/>
      <c r="AX40" s="80"/>
      <c r="AY40" s="80"/>
      <c r="AZ40" s="80"/>
      <c r="BA40" s="80"/>
      <c r="BB40" s="80"/>
      <c r="BC40" s="80">
        <v>2</v>
      </c>
      <c r="BD40" s="79" t="str">
        <f>REPLACE(INDEX(GroupVertices[Group],MATCH(Edges49[[#This Row],[Vertex 1]],GroupVertices[Vertex],0)),1,1,"")</f>
        <v>1</v>
      </c>
      <c r="BE40" s="79" t="str">
        <f>REPLACE(INDEX(GroupVertices[Group],MATCH(Edges49[[#This Row],[Vertex 2]],GroupVertices[Vertex],0)),1,1,"")</f>
        <v>1</v>
      </c>
      <c r="BF40" s="49"/>
      <c r="BG40" s="50"/>
      <c r="BH40" s="49"/>
      <c r="BI40" s="50"/>
      <c r="BJ40" s="49"/>
      <c r="BK40" s="50"/>
      <c r="BL40" s="49"/>
      <c r="BM40" s="50"/>
      <c r="BN40" s="49"/>
    </row>
    <row r="41" spans="1:66" ht="15">
      <c r="A41" s="65" t="s">
        <v>548</v>
      </c>
      <c r="B41" s="65" t="s">
        <v>258</v>
      </c>
      <c r="C41" s="66"/>
      <c r="D41" s="67"/>
      <c r="E41" s="66"/>
      <c r="F41" s="69"/>
      <c r="G41" s="66"/>
      <c r="H41" s="70"/>
      <c r="I41" s="71"/>
      <c r="J41" s="71"/>
      <c r="K41" s="35" t="s">
        <v>65</v>
      </c>
      <c r="L41" s="72">
        <v>41</v>
      </c>
      <c r="M41" s="72"/>
      <c r="N41" s="73"/>
      <c r="O41" s="80" t="s">
        <v>264</v>
      </c>
      <c r="P41" s="82">
        <v>44692.214108796295</v>
      </c>
      <c r="Q41" s="80" t="s">
        <v>580</v>
      </c>
      <c r="R41" s="80"/>
      <c r="S41" s="80"/>
      <c r="T41" s="85" t="s">
        <v>596</v>
      </c>
      <c r="U41" s="83" t="str">
        <f>HYPERLINK("https://pbs.twimg.com/media/FSc09v5aQAAY6bm.jpg")</f>
        <v>https://pbs.twimg.com/media/FSc09v5aQAAY6bm.jpg</v>
      </c>
      <c r="V41" s="83" t="str">
        <f>HYPERLINK("https://pbs.twimg.com/media/FSc09v5aQAAY6bm.jpg")</f>
        <v>https://pbs.twimg.com/media/FSc09v5aQAAY6bm.jpg</v>
      </c>
      <c r="W41" s="82">
        <v>44692.214108796295</v>
      </c>
      <c r="X41" s="87">
        <v>44692</v>
      </c>
      <c r="Y41" s="85" t="s">
        <v>615</v>
      </c>
      <c r="Z41" s="83" t="str">
        <f>HYPERLINK("https://twitter.com/fenilsavani/status/1524255057029758976")</f>
        <v>https://twitter.com/fenilsavani/status/1524255057029758976</v>
      </c>
      <c r="AA41" s="80"/>
      <c r="AB41" s="80"/>
      <c r="AC41" s="85" t="s">
        <v>669</v>
      </c>
      <c r="AD41" s="80"/>
      <c r="AE41" s="80" t="b">
        <v>0</v>
      </c>
      <c r="AF41" s="80">
        <v>0</v>
      </c>
      <c r="AG41" s="85" t="s">
        <v>267</v>
      </c>
      <c r="AH41" s="80" t="b">
        <v>0</v>
      </c>
      <c r="AI41" s="80" t="s">
        <v>268</v>
      </c>
      <c r="AJ41" s="80"/>
      <c r="AK41" s="85" t="s">
        <v>267</v>
      </c>
      <c r="AL41" s="80" t="b">
        <v>0</v>
      </c>
      <c r="AM41" s="80">
        <v>19</v>
      </c>
      <c r="AN41" s="85" t="s">
        <v>696</v>
      </c>
      <c r="AO41" s="85" t="s">
        <v>270</v>
      </c>
      <c r="AP41" s="80" t="b">
        <v>0</v>
      </c>
      <c r="AQ41" s="85" t="s">
        <v>696</v>
      </c>
      <c r="AR41" s="80" t="s">
        <v>218</v>
      </c>
      <c r="AS41" s="80">
        <v>0</v>
      </c>
      <c r="AT41" s="80">
        <v>0</v>
      </c>
      <c r="AU41" s="80"/>
      <c r="AV41" s="80"/>
      <c r="AW41" s="80"/>
      <c r="AX41" s="80"/>
      <c r="AY41" s="80"/>
      <c r="AZ41" s="80"/>
      <c r="BA41" s="80"/>
      <c r="BB41" s="80"/>
      <c r="BC41" s="80">
        <v>1</v>
      </c>
      <c r="BD41" s="79" t="str">
        <f>REPLACE(INDEX(GroupVertices[Group],MATCH(Edges49[[#This Row],[Vertex 1]],GroupVertices[Vertex],0)),1,1,"")</f>
        <v>1</v>
      </c>
      <c r="BE41" s="79" t="str">
        <f>REPLACE(INDEX(GroupVertices[Group],MATCH(Edges49[[#This Row],[Vertex 2]],GroupVertices[Vertex],0)),1,1,"")</f>
        <v>1</v>
      </c>
      <c r="BF41" s="49"/>
      <c r="BG41" s="50"/>
      <c r="BH41" s="49"/>
      <c r="BI41" s="50"/>
      <c r="BJ41" s="49"/>
      <c r="BK41" s="50"/>
      <c r="BL41" s="49"/>
      <c r="BM41" s="50"/>
      <c r="BN41" s="49"/>
    </row>
    <row r="42" spans="1:66" ht="15">
      <c r="A42" s="65" t="s">
        <v>548</v>
      </c>
      <c r="B42" s="65" t="s">
        <v>559</v>
      </c>
      <c r="C42" s="66"/>
      <c r="D42" s="67"/>
      <c r="E42" s="66"/>
      <c r="F42" s="69"/>
      <c r="G42" s="66"/>
      <c r="H42" s="70"/>
      <c r="I42" s="71"/>
      <c r="J42" s="71"/>
      <c r="K42" s="35" t="s">
        <v>65</v>
      </c>
      <c r="L42" s="72">
        <v>42</v>
      </c>
      <c r="M42" s="72"/>
      <c r="N42" s="73"/>
      <c r="O42" s="80" t="s">
        <v>263</v>
      </c>
      <c r="P42" s="82">
        <v>44692.214108796295</v>
      </c>
      <c r="Q42" s="80" t="s">
        <v>580</v>
      </c>
      <c r="R42" s="80"/>
      <c r="S42" s="80"/>
      <c r="T42" s="85" t="s">
        <v>596</v>
      </c>
      <c r="U42" s="83" t="str">
        <f>HYPERLINK("https://pbs.twimg.com/media/FSc09v5aQAAY6bm.jpg")</f>
        <v>https://pbs.twimg.com/media/FSc09v5aQAAY6bm.jpg</v>
      </c>
      <c r="V42" s="83" t="str">
        <f>HYPERLINK("https://pbs.twimg.com/media/FSc09v5aQAAY6bm.jpg")</f>
        <v>https://pbs.twimg.com/media/FSc09v5aQAAY6bm.jpg</v>
      </c>
      <c r="W42" s="82">
        <v>44692.214108796295</v>
      </c>
      <c r="X42" s="87">
        <v>44692</v>
      </c>
      <c r="Y42" s="85" t="s">
        <v>615</v>
      </c>
      <c r="Z42" s="83" t="str">
        <f>HYPERLINK("https://twitter.com/fenilsavani/status/1524255057029758976")</f>
        <v>https://twitter.com/fenilsavani/status/1524255057029758976</v>
      </c>
      <c r="AA42" s="80"/>
      <c r="AB42" s="80"/>
      <c r="AC42" s="85" t="s">
        <v>669</v>
      </c>
      <c r="AD42" s="80"/>
      <c r="AE42" s="80" t="b">
        <v>0</v>
      </c>
      <c r="AF42" s="80">
        <v>0</v>
      </c>
      <c r="AG42" s="85" t="s">
        <v>267</v>
      </c>
      <c r="AH42" s="80" t="b">
        <v>0</v>
      </c>
      <c r="AI42" s="80" t="s">
        <v>268</v>
      </c>
      <c r="AJ42" s="80"/>
      <c r="AK42" s="85" t="s">
        <v>267</v>
      </c>
      <c r="AL42" s="80" t="b">
        <v>0</v>
      </c>
      <c r="AM42" s="80">
        <v>19</v>
      </c>
      <c r="AN42" s="85" t="s">
        <v>696</v>
      </c>
      <c r="AO42" s="85" t="s">
        <v>270</v>
      </c>
      <c r="AP42" s="80" t="b">
        <v>0</v>
      </c>
      <c r="AQ42" s="85" t="s">
        <v>696</v>
      </c>
      <c r="AR42" s="80" t="s">
        <v>218</v>
      </c>
      <c r="AS42" s="80">
        <v>0</v>
      </c>
      <c r="AT42" s="80">
        <v>0</v>
      </c>
      <c r="AU42" s="80"/>
      <c r="AV42" s="80"/>
      <c r="AW42" s="80"/>
      <c r="AX42" s="80"/>
      <c r="AY42" s="80"/>
      <c r="AZ42" s="80"/>
      <c r="BA42" s="80"/>
      <c r="BB42" s="80"/>
      <c r="BC42" s="80">
        <v>2</v>
      </c>
      <c r="BD42" s="79" t="str">
        <f>REPLACE(INDEX(GroupVertices[Group],MATCH(Edges49[[#This Row],[Vertex 1]],GroupVertices[Vertex],0)),1,1,"")</f>
        <v>1</v>
      </c>
      <c r="BE42" s="79" t="str">
        <f>REPLACE(INDEX(GroupVertices[Group],MATCH(Edges49[[#This Row],[Vertex 2]],GroupVertices[Vertex],0)),1,1,"")</f>
        <v>2</v>
      </c>
      <c r="BF42" s="49">
        <v>0</v>
      </c>
      <c r="BG42" s="50">
        <v>0</v>
      </c>
      <c r="BH42" s="49">
        <v>5</v>
      </c>
      <c r="BI42" s="50">
        <v>12.820512820512821</v>
      </c>
      <c r="BJ42" s="49">
        <v>0</v>
      </c>
      <c r="BK42" s="50">
        <v>0</v>
      </c>
      <c r="BL42" s="49">
        <v>34</v>
      </c>
      <c r="BM42" s="50">
        <v>87.17948717948718</v>
      </c>
      <c r="BN42" s="49">
        <v>39</v>
      </c>
    </row>
    <row r="43" spans="1:66" ht="15">
      <c r="A43" s="65" t="s">
        <v>548</v>
      </c>
      <c r="B43" s="65" t="s">
        <v>519</v>
      </c>
      <c r="C43" s="66"/>
      <c r="D43" s="67"/>
      <c r="E43" s="66"/>
      <c r="F43" s="69"/>
      <c r="G43" s="66"/>
      <c r="H43" s="70"/>
      <c r="I43" s="71"/>
      <c r="J43" s="71"/>
      <c r="K43" s="35" t="s">
        <v>65</v>
      </c>
      <c r="L43" s="72">
        <v>43</v>
      </c>
      <c r="M43" s="72"/>
      <c r="N43" s="73"/>
      <c r="O43" s="80" t="s">
        <v>264</v>
      </c>
      <c r="P43" s="82">
        <v>44693.19017361111</v>
      </c>
      <c r="Q43" s="80" t="s">
        <v>581</v>
      </c>
      <c r="R43" s="80"/>
      <c r="S43" s="80"/>
      <c r="T43" s="80"/>
      <c r="U43" s="83" t="str">
        <f>HYPERLINK("https://pbs.twimg.com/ext_tw_video_thumb/1524368758437216256/pu/img/3UwSYL_0rta3dEGi.jpg")</f>
        <v>https://pbs.twimg.com/ext_tw_video_thumb/1524368758437216256/pu/img/3UwSYL_0rta3dEGi.jpg</v>
      </c>
      <c r="V43" s="83" t="str">
        <f>HYPERLINK("https://pbs.twimg.com/ext_tw_video_thumb/1524368758437216256/pu/img/3UwSYL_0rta3dEGi.jpg")</f>
        <v>https://pbs.twimg.com/ext_tw_video_thumb/1524368758437216256/pu/img/3UwSYL_0rta3dEGi.jpg</v>
      </c>
      <c r="W43" s="82">
        <v>44693.19017361111</v>
      </c>
      <c r="X43" s="87">
        <v>44693</v>
      </c>
      <c r="Y43" s="85" t="s">
        <v>616</v>
      </c>
      <c r="Z43" s="83" t="str">
        <f>HYPERLINK("https://twitter.com/fenilsavani/status/1524608769178890240")</f>
        <v>https://twitter.com/fenilsavani/status/1524608769178890240</v>
      </c>
      <c r="AA43" s="80"/>
      <c r="AB43" s="80"/>
      <c r="AC43" s="85" t="s">
        <v>670</v>
      </c>
      <c r="AD43" s="80"/>
      <c r="AE43" s="80" t="b">
        <v>0</v>
      </c>
      <c r="AF43" s="80">
        <v>0</v>
      </c>
      <c r="AG43" s="85" t="s">
        <v>267</v>
      </c>
      <c r="AH43" s="80" t="b">
        <v>0</v>
      </c>
      <c r="AI43" s="80" t="s">
        <v>268</v>
      </c>
      <c r="AJ43" s="80"/>
      <c r="AK43" s="85" t="s">
        <v>267</v>
      </c>
      <c r="AL43" s="80" t="b">
        <v>0</v>
      </c>
      <c r="AM43" s="80">
        <v>16</v>
      </c>
      <c r="AN43" s="85" t="s">
        <v>698</v>
      </c>
      <c r="AO43" s="85" t="s">
        <v>270</v>
      </c>
      <c r="AP43" s="80" t="b">
        <v>0</v>
      </c>
      <c r="AQ43" s="85" t="s">
        <v>698</v>
      </c>
      <c r="AR43" s="80" t="s">
        <v>218</v>
      </c>
      <c r="AS43" s="80">
        <v>0</v>
      </c>
      <c r="AT43" s="80">
        <v>0</v>
      </c>
      <c r="AU43" s="80"/>
      <c r="AV43" s="80"/>
      <c r="AW43" s="80"/>
      <c r="AX43" s="80"/>
      <c r="AY43" s="80"/>
      <c r="AZ43" s="80"/>
      <c r="BA43" s="80"/>
      <c r="BB43" s="80"/>
      <c r="BC43" s="80">
        <v>2</v>
      </c>
      <c r="BD43" s="79" t="str">
        <f>REPLACE(INDEX(GroupVertices[Group],MATCH(Edges49[[#This Row],[Vertex 1]],GroupVertices[Vertex],0)),1,1,"")</f>
        <v>1</v>
      </c>
      <c r="BE43" s="79" t="str">
        <f>REPLACE(INDEX(GroupVertices[Group],MATCH(Edges49[[#This Row],[Vertex 2]],GroupVertices[Vertex],0)),1,1,"")</f>
        <v>1</v>
      </c>
      <c r="BF43" s="49"/>
      <c r="BG43" s="50"/>
      <c r="BH43" s="49"/>
      <c r="BI43" s="50"/>
      <c r="BJ43" s="49"/>
      <c r="BK43" s="50"/>
      <c r="BL43" s="49"/>
      <c r="BM43" s="50"/>
      <c r="BN43" s="49"/>
    </row>
    <row r="44" spans="1:66" ht="15">
      <c r="A44" s="65" t="s">
        <v>548</v>
      </c>
      <c r="B44" s="65" t="s">
        <v>559</v>
      </c>
      <c r="C44" s="66"/>
      <c r="D44" s="67"/>
      <c r="E44" s="66"/>
      <c r="F44" s="69"/>
      <c r="G44" s="66"/>
      <c r="H44" s="70"/>
      <c r="I44" s="71"/>
      <c r="J44" s="71"/>
      <c r="K44" s="35" t="s">
        <v>65</v>
      </c>
      <c r="L44" s="72">
        <v>44</v>
      </c>
      <c r="M44" s="72"/>
      <c r="N44" s="73"/>
      <c r="O44" s="80" t="s">
        <v>263</v>
      </c>
      <c r="P44" s="82">
        <v>44693.19017361111</v>
      </c>
      <c r="Q44" s="80" t="s">
        <v>581</v>
      </c>
      <c r="R44" s="80"/>
      <c r="S44" s="80"/>
      <c r="T44" s="80"/>
      <c r="U44" s="83" t="str">
        <f>HYPERLINK("https://pbs.twimg.com/ext_tw_video_thumb/1524368758437216256/pu/img/3UwSYL_0rta3dEGi.jpg")</f>
        <v>https://pbs.twimg.com/ext_tw_video_thumb/1524368758437216256/pu/img/3UwSYL_0rta3dEGi.jpg</v>
      </c>
      <c r="V44" s="83" t="str">
        <f>HYPERLINK("https://pbs.twimg.com/ext_tw_video_thumb/1524368758437216256/pu/img/3UwSYL_0rta3dEGi.jpg")</f>
        <v>https://pbs.twimg.com/ext_tw_video_thumb/1524368758437216256/pu/img/3UwSYL_0rta3dEGi.jpg</v>
      </c>
      <c r="W44" s="82">
        <v>44693.19017361111</v>
      </c>
      <c r="X44" s="87">
        <v>44693</v>
      </c>
      <c r="Y44" s="85" t="s">
        <v>616</v>
      </c>
      <c r="Z44" s="83" t="str">
        <f>HYPERLINK("https://twitter.com/fenilsavani/status/1524608769178890240")</f>
        <v>https://twitter.com/fenilsavani/status/1524608769178890240</v>
      </c>
      <c r="AA44" s="80"/>
      <c r="AB44" s="80"/>
      <c r="AC44" s="85" t="s">
        <v>670</v>
      </c>
      <c r="AD44" s="80"/>
      <c r="AE44" s="80" t="b">
        <v>0</v>
      </c>
      <c r="AF44" s="80">
        <v>0</v>
      </c>
      <c r="AG44" s="85" t="s">
        <v>267</v>
      </c>
      <c r="AH44" s="80" t="b">
        <v>0</v>
      </c>
      <c r="AI44" s="80" t="s">
        <v>268</v>
      </c>
      <c r="AJ44" s="80"/>
      <c r="AK44" s="85" t="s">
        <v>267</v>
      </c>
      <c r="AL44" s="80" t="b">
        <v>0</v>
      </c>
      <c r="AM44" s="80">
        <v>16</v>
      </c>
      <c r="AN44" s="85" t="s">
        <v>698</v>
      </c>
      <c r="AO44" s="85" t="s">
        <v>270</v>
      </c>
      <c r="AP44" s="80" t="b">
        <v>0</v>
      </c>
      <c r="AQ44" s="85" t="s">
        <v>698</v>
      </c>
      <c r="AR44" s="80" t="s">
        <v>218</v>
      </c>
      <c r="AS44" s="80">
        <v>0</v>
      </c>
      <c r="AT44" s="80">
        <v>0</v>
      </c>
      <c r="AU44" s="80"/>
      <c r="AV44" s="80"/>
      <c r="AW44" s="80"/>
      <c r="AX44" s="80"/>
      <c r="AY44" s="80"/>
      <c r="AZ44" s="80"/>
      <c r="BA44" s="80"/>
      <c r="BB44" s="80"/>
      <c r="BC44" s="80">
        <v>2</v>
      </c>
      <c r="BD44" s="79" t="str">
        <f>REPLACE(INDEX(GroupVertices[Group],MATCH(Edges49[[#This Row],[Vertex 1]],GroupVertices[Vertex],0)),1,1,"")</f>
        <v>1</v>
      </c>
      <c r="BE44" s="79" t="str">
        <f>REPLACE(INDEX(GroupVertices[Group],MATCH(Edges49[[#This Row],[Vertex 2]],GroupVertices[Vertex],0)),1,1,"")</f>
        <v>2</v>
      </c>
      <c r="BF44" s="49">
        <v>0</v>
      </c>
      <c r="BG44" s="50">
        <v>0</v>
      </c>
      <c r="BH44" s="49">
        <v>2</v>
      </c>
      <c r="BI44" s="50">
        <v>4.651162790697675</v>
      </c>
      <c r="BJ44" s="49">
        <v>0</v>
      </c>
      <c r="BK44" s="50">
        <v>0</v>
      </c>
      <c r="BL44" s="49">
        <v>41</v>
      </c>
      <c r="BM44" s="50">
        <v>95.34883720930233</v>
      </c>
      <c r="BN44" s="49">
        <v>43</v>
      </c>
    </row>
    <row r="45" spans="1:66" ht="15">
      <c r="A45" s="65" t="s">
        <v>549</v>
      </c>
      <c r="B45" s="65" t="s">
        <v>519</v>
      </c>
      <c r="C45" s="66"/>
      <c r="D45" s="67"/>
      <c r="E45" s="66"/>
      <c r="F45" s="69"/>
      <c r="G45" s="66"/>
      <c r="H45" s="70"/>
      <c r="I45" s="71"/>
      <c r="J45" s="71"/>
      <c r="K45" s="35" t="s">
        <v>65</v>
      </c>
      <c r="L45" s="72">
        <v>45</v>
      </c>
      <c r="M45" s="72"/>
      <c r="N45" s="73"/>
      <c r="O45" s="80" t="s">
        <v>264</v>
      </c>
      <c r="P45" s="82">
        <v>44693.2059375</v>
      </c>
      <c r="Q45" s="80" t="s">
        <v>581</v>
      </c>
      <c r="R45" s="80"/>
      <c r="S45" s="80"/>
      <c r="T45" s="80"/>
      <c r="U45" s="83" t="str">
        <f>HYPERLINK("https://pbs.twimg.com/ext_tw_video_thumb/1524368758437216256/pu/img/3UwSYL_0rta3dEGi.jpg")</f>
        <v>https://pbs.twimg.com/ext_tw_video_thumb/1524368758437216256/pu/img/3UwSYL_0rta3dEGi.jpg</v>
      </c>
      <c r="V45" s="83" t="str">
        <f>HYPERLINK("https://pbs.twimg.com/ext_tw_video_thumb/1524368758437216256/pu/img/3UwSYL_0rta3dEGi.jpg")</f>
        <v>https://pbs.twimg.com/ext_tw_video_thumb/1524368758437216256/pu/img/3UwSYL_0rta3dEGi.jpg</v>
      </c>
      <c r="W45" s="82">
        <v>44693.2059375</v>
      </c>
      <c r="X45" s="87">
        <v>44693</v>
      </c>
      <c r="Y45" s="85" t="s">
        <v>617</v>
      </c>
      <c r="Z45" s="83" t="str">
        <f>HYPERLINK("https://twitter.com/reenapu64276812/status/1524614483087290368")</f>
        <v>https://twitter.com/reenapu64276812/status/1524614483087290368</v>
      </c>
      <c r="AA45" s="80"/>
      <c r="AB45" s="80"/>
      <c r="AC45" s="85" t="s">
        <v>671</v>
      </c>
      <c r="AD45" s="80"/>
      <c r="AE45" s="80" t="b">
        <v>0</v>
      </c>
      <c r="AF45" s="80">
        <v>0</v>
      </c>
      <c r="AG45" s="85" t="s">
        <v>267</v>
      </c>
      <c r="AH45" s="80" t="b">
        <v>0</v>
      </c>
      <c r="AI45" s="80" t="s">
        <v>268</v>
      </c>
      <c r="AJ45" s="80"/>
      <c r="AK45" s="85" t="s">
        <v>267</v>
      </c>
      <c r="AL45" s="80" t="b">
        <v>0</v>
      </c>
      <c r="AM45" s="80">
        <v>16</v>
      </c>
      <c r="AN45" s="85" t="s">
        <v>698</v>
      </c>
      <c r="AO45" s="85" t="s">
        <v>271</v>
      </c>
      <c r="AP45" s="80" t="b">
        <v>0</v>
      </c>
      <c r="AQ45" s="85" t="s">
        <v>698</v>
      </c>
      <c r="AR45" s="80" t="s">
        <v>218</v>
      </c>
      <c r="AS45" s="80">
        <v>0</v>
      </c>
      <c r="AT45" s="80">
        <v>0</v>
      </c>
      <c r="AU45" s="80"/>
      <c r="AV45" s="80"/>
      <c r="AW45" s="80"/>
      <c r="AX45" s="80"/>
      <c r="AY45" s="80"/>
      <c r="AZ45" s="80"/>
      <c r="BA45" s="80"/>
      <c r="BB45" s="80"/>
      <c r="BC45" s="80">
        <v>2</v>
      </c>
      <c r="BD45" s="79" t="str">
        <f>REPLACE(INDEX(GroupVertices[Group],MATCH(Edges49[[#This Row],[Vertex 1]],GroupVertices[Vertex],0)),1,1,"")</f>
        <v>1</v>
      </c>
      <c r="BE45" s="79" t="str">
        <f>REPLACE(INDEX(GroupVertices[Group],MATCH(Edges49[[#This Row],[Vertex 2]],GroupVertices[Vertex],0)),1,1,"")</f>
        <v>1</v>
      </c>
      <c r="BF45" s="49"/>
      <c r="BG45" s="50"/>
      <c r="BH45" s="49"/>
      <c r="BI45" s="50"/>
      <c r="BJ45" s="49"/>
      <c r="BK45" s="50"/>
      <c r="BL45" s="49"/>
      <c r="BM45" s="50"/>
      <c r="BN45" s="49"/>
    </row>
    <row r="46" spans="1:66" ht="15">
      <c r="A46" s="65" t="s">
        <v>549</v>
      </c>
      <c r="B46" s="65" t="s">
        <v>559</v>
      </c>
      <c r="C46" s="66"/>
      <c r="D46" s="67"/>
      <c r="E46" s="66"/>
      <c r="F46" s="69"/>
      <c r="G46" s="66"/>
      <c r="H46" s="70"/>
      <c r="I46" s="71"/>
      <c r="J46" s="71"/>
      <c r="K46" s="35" t="s">
        <v>65</v>
      </c>
      <c r="L46" s="72">
        <v>46</v>
      </c>
      <c r="M46" s="72"/>
      <c r="N46" s="73"/>
      <c r="O46" s="80" t="s">
        <v>263</v>
      </c>
      <c r="P46" s="82">
        <v>44693.2059375</v>
      </c>
      <c r="Q46" s="80" t="s">
        <v>581</v>
      </c>
      <c r="R46" s="80"/>
      <c r="S46" s="80"/>
      <c r="T46" s="80"/>
      <c r="U46" s="83" t="str">
        <f>HYPERLINK("https://pbs.twimg.com/ext_tw_video_thumb/1524368758437216256/pu/img/3UwSYL_0rta3dEGi.jpg")</f>
        <v>https://pbs.twimg.com/ext_tw_video_thumb/1524368758437216256/pu/img/3UwSYL_0rta3dEGi.jpg</v>
      </c>
      <c r="V46" s="83" t="str">
        <f>HYPERLINK("https://pbs.twimg.com/ext_tw_video_thumb/1524368758437216256/pu/img/3UwSYL_0rta3dEGi.jpg")</f>
        <v>https://pbs.twimg.com/ext_tw_video_thumb/1524368758437216256/pu/img/3UwSYL_0rta3dEGi.jpg</v>
      </c>
      <c r="W46" s="82">
        <v>44693.2059375</v>
      </c>
      <c r="X46" s="87">
        <v>44693</v>
      </c>
      <c r="Y46" s="85" t="s">
        <v>617</v>
      </c>
      <c r="Z46" s="83" t="str">
        <f>HYPERLINK("https://twitter.com/reenapu64276812/status/1524614483087290368")</f>
        <v>https://twitter.com/reenapu64276812/status/1524614483087290368</v>
      </c>
      <c r="AA46" s="80"/>
      <c r="AB46" s="80"/>
      <c r="AC46" s="85" t="s">
        <v>671</v>
      </c>
      <c r="AD46" s="80"/>
      <c r="AE46" s="80" t="b">
        <v>0</v>
      </c>
      <c r="AF46" s="80">
        <v>0</v>
      </c>
      <c r="AG46" s="85" t="s">
        <v>267</v>
      </c>
      <c r="AH46" s="80" t="b">
        <v>0</v>
      </c>
      <c r="AI46" s="80" t="s">
        <v>268</v>
      </c>
      <c r="AJ46" s="80"/>
      <c r="AK46" s="85" t="s">
        <v>267</v>
      </c>
      <c r="AL46" s="80" t="b">
        <v>0</v>
      </c>
      <c r="AM46" s="80">
        <v>16</v>
      </c>
      <c r="AN46" s="85" t="s">
        <v>698</v>
      </c>
      <c r="AO46" s="85" t="s">
        <v>271</v>
      </c>
      <c r="AP46" s="80" t="b">
        <v>0</v>
      </c>
      <c r="AQ46" s="85" t="s">
        <v>698</v>
      </c>
      <c r="AR46" s="80" t="s">
        <v>218</v>
      </c>
      <c r="AS46" s="80">
        <v>0</v>
      </c>
      <c r="AT46" s="80">
        <v>0</v>
      </c>
      <c r="AU46" s="80"/>
      <c r="AV46" s="80"/>
      <c r="AW46" s="80"/>
      <c r="AX46" s="80"/>
      <c r="AY46" s="80"/>
      <c r="AZ46" s="80"/>
      <c r="BA46" s="80"/>
      <c r="BB46" s="80"/>
      <c r="BC46" s="80">
        <v>2</v>
      </c>
      <c r="BD46" s="79" t="str">
        <f>REPLACE(INDEX(GroupVertices[Group],MATCH(Edges49[[#This Row],[Vertex 1]],GroupVertices[Vertex],0)),1,1,"")</f>
        <v>1</v>
      </c>
      <c r="BE46" s="79" t="str">
        <f>REPLACE(INDEX(GroupVertices[Group],MATCH(Edges49[[#This Row],[Vertex 2]],GroupVertices[Vertex],0)),1,1,"")</f>
        <v>2</v>
      </c>
      <c r="BF46" s="49">
        <v>0</v>
      </c>
      <c r="BG46" s="50">
        <v>0</v>
      </c>
      <c r="BH46" s="49">
        <v>2</v>
      </c>
      <c r="BI46" s="50">
        <v>4.651162790697675</v>
      </c>
      <c r="BJ46" s="49">
        <v>0</v>
      </c>
      <c r="BK46" s="50">
        <v>0</v>
      </c>
      <c r="BL46" s="49">
        <v>41</v>
      </c>
      <c r="BM46" s="50">
        <v>95.34883720930233</v>
      </c>
      <c r="BN46" s="49">
        <v>43</v>
      </c>
    </row>
    <row r="47" spans="1:66" ht="15">
      <c r="A47" s="65" t="s">
        <v>549</v>
      </c>
      <c r="B47" s="65" t="s">
        <v>519</v>
      </c>
      <c r="C47" s="66"/>
      <c r="D47" s="67"/>
      <c r="E47" s="66"/>
      <c r="F47" s="69"/>
      <c r="G47" s="66"/>
      <c r="H47" s="70"/>
      <c r="I47" s="71"/>
      <c r="J47" s="71"/>
      <c r="K47" s="35" t="s">
        <v>65</v>
      </c>
      <c r="L47" s="72">
        <v>47</v>
      </c>
      <c r="M47" s="72"/>
      <c r="N47" s="73"/>
      <c r="O47" s="80" t="s">
        <v>264</v>
      </c>
      <c r="P47" s="82">
        <v>44693.20613425926</v>
      </c>
      <c r="Q47" s="80" t="s">
        <v>580</v>
      </c>
      <c r="R47" s="80"/>
      <c r="S47" s="80"/>
      <c r="T47" s="85" t="s">
        <v>596</v>
      </c>
      <c r="U47" s="83" t="str">
        <f>HYPERLINK("https://pbs.twimg.com/media/FSc09v5aQAAY6bm.jpg")</f>
        <v>https://pbs.twimg.com/media/FSc09v5aQAAY6bm.jpg</v>
      </c>
      <c r="V47" s="83" t="str">
        <f>HYPERLINK("https://pbs.twimg.com/media/FSc09v5aQAAY6bm.jpg")</f>
        <v>https://pbs.twimg.com/media/FSc09v5aQAAY6bm.jpg</v>
      </c>
      <c r="W47" s="82">
        <v>44693.20613425926</v>
      </c>
      <c r="X47" s="87">
        <v>44693</v>
      </c>
      <c r="Y47" s="85" t="s">
        <v>618</v>
      </c>
      <c r="Z47" s="83" t="str">
        <f>HYPERLINK("https://twitter.com/reenapu64276812/status/1524614554621161478")</f>
        <v>https://twitter.com/reenapu64276812/status/1524614554621161478</v>
      </c>
      <c r="AA47" s="80"/>
      <c r="AB47" s="80"/>
      <c r="AC47" s="85" t="s">
        <v>672</v>
      </c>
      <c r="AD47" s="80"/>
      <c r="AE47" s="80" t="b">
        <v>0</v>
      </c>
      <c r="AF47" s="80">
        <v>0</v>
      </c>
      <c r="AG47" s="85" t="s">
        <v>267</v>
      </c>
      <c r="AH47" s="80" t="b">
        <v>0</v>
      </c>
      <c r="AI47" s="80" t="s">
        <v>268</v>
      </c>
      <c r="AJ47" s="80"/>
      <c r="AK47" s="85" t="s">
        <v>267</v>
      </c>
      <c r="AL47" s="80" t="b">
        <v>0</v>
      </c>
      <c r="AM47" s="80">
        <v>19</v>
      </c>
      <c r="AN47" s="85" t="s">
        <v>696</v>
      </c>
      <c r="AO47" s="85" t="s">
        <v>271</v>
      </c>
      <c r="AP47" s="80" t="b">
        <v>0</v>
      </c>
      <c r="AQ47" s="85" t="s">
        <v>696</v>
      </c>
      <c r="AR47" s="80" t="s">
        <v>218</v>
      </c>
      <c r="AS47" s="80">
        <v>0</v>
      </c>
      <c r="AT47" s="80">
        <v>0</v>
      </c>
      <c r="AU47" s="80"/>
      <c r="AV47" s="80"/>
      <c r="AW47" s="80"/>
      <c r="AX47" s="80"/>
      <c r="AY47" s="80"/>
      <c r="AZ47" s="80"/>
      <c r="BA47" s="80"/>
      <c r="BB47" s="80"/>
      <c r="BC47" s="80">
        <v>2</v>
      </c>
      <c r="BD47" s="79" t="str">
        <f>REPLACE(INDEX(GroupVertices[Group],MATCH(Edges49[[#This Row],[Vertex 1]],GroupVertices[Vertex],0)),1,1,"")</f>
        <v>1</v>
      </c>
      <c r="BE47" s="79" t="str">
        <f>REPLACE(INDEX(GroupVertices[Group],MATCH(Edges49[[#This Row],[Vertex 2]],GroupVertices[Vertex],0)),1,1,"")</f>
        <v>1</v>
      </c>
      <c r="BF47" s="49"/>
      <c r="BG47" s="50"/>
      <c r="BH47" s="49"/>
      <c r="BI47" s="50"/>
      <c r="BJ47" s="49"/>
      <c r="BK47" s="50"/>
      <c r="BL47" s="49"/>
      <c r="BM47" s="50"/>
      <c r="BN47" s="49"/>
    </row>
    <row r="48" spans="1:66" ht="15">
      <c r="A48" s="65" t="s">
        <v>549</v>
      </c>
      <c r="B48" s="65" t="s">
        <v>258</v>
      </c>
      <c r="C48" s="66"/>
      <c r="D48" s="67"/>
      <c r="E48" s="66"/>
      <c r="F48" s="69"/>
      <c r="G48" s="66"/>
      <c r="H48" s="70"/>
      <c r="I48" s="71"/>
      <c r="J48" s="71"/>
      <c r="K48" s="35" t="s">
        <v>65</v>
      </c>
      <c r="L48" s="72">
        <v>48</v>
      </c>
      <c r="M48" s="72"/>
      <c r="N48" s="73"/>
      <c r="O48" s="80" t="s">
        <v>264</v>
      </c>
      <c r="P48" s="82">
        <v>44693.20613425926</v>
      </c>
      <c r="Q48" s="80" t="s">
        <v>580</v>
      </c>
      <c r="R48" s="80"/>
      <c r="S48" s="80"/>
      <c r="T48" s="85" t="s">
        <v>596</v>
      </c>
      <c r="U48" s="83" t="str">
        <f>HYPERLINK("https://pbs.twimg.com/media/FSc09v5aQAAY6bm.jpg")</f>
        <v>https://pbs.twimg.com/media/FSc09v5aQAAY6bm.jpg</v>
      </c>
      <c r="V48" s="83" t="str">
        <f>HYPERLINK("https://pbs.twimg.com/media/FSc09v5aQAAY6bm.jpg")</f>
        <v>https://pbs.twimg.com/media/FSc09v5aQAAY6bm.jpg</v>
      </c>
      <c r="W48" s="82">
        <v>44693.20613425926</v>
      </c>
      <c r="X48" s="87">
        <v>44693</v>
      </c>
      <c r="Y48" s="85" t="s">
        <v>618</v>
      </c>
      <c r="Z48" s="83" t="str">
        <f>HYPERLINK("https://twitter.com/reenapu64276812/status/1524614554621161478")</f>
        <v>https://twitter.com/reenapu64276812/status/1524614554621161478</v>
      </c>
      <c r="AA48" s="80"/>
      <c r="AB48" s="80"/>
      <c r="AC48" s="85" t="s">
        <v>672</v>
      </c>
      <c r="AD48" s="80"/>
      <c r="AE48" s="80" t="b">
        <v>0</v>
      </c>
      <c r="AF48" s="80">
        <v>0</v>
      </c>
      <c r="AG48" s="85" t="s">
        <v>267</v>
      </c>
      <c r="AH48" s="80" t="b">
        <v>0</v>
      </c>
      <c r="AI48" s="80" t="s">
        <v>268</v>
      </c>
      <c r="AJ48" s="80"/>
      <c r="AK48" s="85" t="s">
        <v>267</v>
      </c>
      <c r="AL48" s="80" t="b">
        <v>0</v>
      </c>
      <c r="AM48" s="80">
        <v>19</v>
      </c>
      <c r="AN48" s="85" t="s">
        <v>696</v>
      </c>
      <c r="AO48" s="85" t="s">
        <v>271</v>
      </c>
      <c r="AP48" s="80" t="b">
        <v>0</v>
      </c>
      <c r="AQ48" s="85" t="s">
        <v>696</v>
      </c>
      <c r="AR48" s="80" t="s">
        <v>218</v>
      </c>
      <c r="AS48" s="80">
        <v>0</v>
      </c>
      <c r="AT48" s="80">
        <v>0</v>
      </c>
      <c r="AU48" s="80"/>
      <c r="AV48" s="80"/>
      <c r="AW48" s="80"/>
      <c r="AX48" s="80"/>
      <c r="AY48" s="80"/>
      <c r="AZ48" s="80"/>
      <c r="BA48" s="80"/>
      <c r="BB48" s="80"/>
      <c r="BC48" s="80">
        <v>1</v>
      </c>
      <c r="BD48" s="79" t="str">
        <f>REPLACE(INDEX(GroupVertices[Group],MATCH(Edges49[[#This Row],[Vertex 1]],GroupVertices[Vertex],0)),1,1,"")</f>
        <v>1</v>
      </c>
      <c r="BE48" s="79" t="str">
        <f>REPLACE(INDEX(GroupVertices[Group],MATCH(Edges49[[#This Row],[Vertex 2]],GroupVertices[Vertex],0)),1,1,"")</f>
        <v>1</v>
      </c>
      <c r="BF48" s="49"/>
      <c r="BG48" s="50"/>
      <c r="BH48" s="49"/>
      <c r="BI48" s="50"/>
      <c r="BJ48" s="49"/>
      <c r="BK48" s="50"/>
      <c r="BL48" s="49"/>
      <c r="BM48" s="50"/>
      <c r="BN48" s="49"/>
    </row>
    <row r="49" spans="1:66" ht="15">
      <c r="A49" s="65" t="s">
        <v>549</v>
      </c>
      <c r="B49" s="65" t="s">
        <v>559</v>
      </c>
      <c r="C49" s="66"/>
      <c r="D49" s="67"/>
      <c r="E49" s="66"/>
      <c r="F49" s="69"/>
      <c r="G49" s="66"/>
      <c r="H49" s="70"/>
      <c r="I49" s="71"/>
      <c r="J49" s="71"/>
      <c r="K49" s="35" t="s">
        <v>65</v>
      </c>
      <c r="L49" s="72">
        <v>49</v>
      </c>
      <c r="M49" s="72"/>
      <c r="N49" s="73"/>
      <c r="O49" s="80" t="s">
        <v>263</v>
      </c>
      <c r="P49" s="82">
        <v>44693.20613425926</v>
      </c>
      <c r="Q49" s="80" t="s">
        <v>580</v>
      </c>
      <c r="R49" s="80"/>
      <c r="S49" s="80"/>
      <c r="T49" s="85" t="s">
        <v>596</v>
      </c>
      <c r="U49" s="83" t="str">
        <f>HYPERLINK("https://pbs.twimg.com/media/FSc09v5aQAAY6bm.jpg")</f>
        <v>https://pbs.twimg.com/media/FSc09v5aQAAY6bm.jpg</v>
      </c>
      <c r="V49" s="83" t="str">
        <f>HYPERLINK("https://pbs.twimg.com/media/FSc09v5aQAAY6bm.jpg")</f>
        <v>https://pbs.twimg.com/media/FSc09v5aQAAY6bm.jpg</v>
      </c>
      <c r="W49" s="82">
        <v>44693.20613425926</v>
      </c>
      <c r="X49" s="87">
        <v>44693</v>
      </c>
      <c r="Y49" s="85" t="s">
        <v>618</v>
      </c>
      <c r="Z49" s="83" t="str">
        <f>HYPERLINK("https://twitter.com/reenapu64276812/status/1524614554621161478")</f>
        <v>https://twitter.com/reenapu64276812/status/1524614554621161478</v>
      </c>
      <c r="AA49" s="80"/>
      <c r="AB49" s="80"/>
      <c r="AC49" s="85" t="s">
        <v>672</v>
      </c>
      <c r="AD49" s="80"/>
      <c r="AE49" s="80" t="b">
        <v>0</v>
      </c>
      <c r="AF49" s="80">
        <v>0</v>
      </c>
      <c r="AG49" s="85" t="s">
        <v>267</v>
      </c>
      <c r="AH49" s="80" t="b">
        <v>0</v>
      </c>
      <c r="AI49" s="80" t="s">
        <v>268</v>
      </c>
      <c r="AJ49" s="80"/>
      <c r="AK49" s="85" t="s">
        <v>267</v>
      </c>
      <c r="AL49" s="80" t="b">
        <v>0</v>
      </c>
      <c r="AM49" s="80">
        <v>19</v>
      </c>
      <c r="AN49" s="85" t="s">
        <v>696</v>
      </c>
      <c r="AO49" s="85" t="s">
        <v>271</v>
      </c>
      <c r="AP49" s="80" t="b">
        <v>0</v>
      </c>
      <c r="AQ49" s="85" t="s">
        <v>696</v>
      </c>
      <c r="AR49" s="80" t="s">
        <v>218</v>
      </c>
      <c r="AS49" s="80">
        <v>0</v>
      </c>
      <c r="AT49" s="80">
        <v>0</v>
      </c>
      <c r="AU49" s="80"/>
      <c r="AV49" s="80"/>
      <c r="AW49" s="80"/>
      <c r="AX49" s="80"/>
      <c r="AY49" s="80"/>
      <c r="AZ49" s="80"/>
      <c r="BA49" s="80"/>
      <c r="BB49" s="80"/>
      <c r="BC49" s="80">
        <v>2</v>
      </c>
      <c r="BD49" s="79" t="str">
        <f>REPLACE(INDEX(GroupVertices[Group],MATCH(Edges49[[#This Row],[Vertex 1]],GroupVertices[Vertex],0)),1,1,"")</f>
        <v>1</v>
      </c>
      <c r="BE49" s="79" t="str">
        <f>REPLACE(INDEX(GroupVertices[Group],MATCH(Edges49[[#This Row],[Vertex 2]],GroupVertices[Vertex],0)),1,1,"")</f>
        <v>2</v>
      </c>
      <c r="BF49" s="49">
        <v>0</v>
      </c>
      <c r="BG49" s="50">
        <v>0</v>
      </c>
      <c r="BH49" s="49">
        <v>5</v>
      </c>
      <c r="BI49" s="50">
        <v>12.820512820512821</v>
      </c>
      <c r="BJ49" s="49">
        <v>0</v>
      </c>
      <c r="BK49" s="50">
        <v>0</v>
      </c>
      <c r="BL49" s="49">
        <v>34</v>
      </c>
      <c r="BM49" s="50">
        <v>87.17948717948718</v>
      </c>
      <c r="BN49" s="49">
        <v>39</v>
      </c>
    </row>
    <row r="50" spans="1:66" ht="15">
      <c r="A50" s="65" t="s">
        <v>550</v>
      </c>
      <c r="B50" s="65" t="s">
        <v>519</v>
      </c>
      <c r="C50" s="66"/>
      <c r="D50" s="67"/>
      <c r="E50" s="66"/>
      <c r="F50" s="69"/>
      <c r="G50" s="66"/>
      <c r="H50" s="70"/>
      <c r="I50" s="71"/>
      <c r="J50" s="71"/>
      <c r="K50" s="35" t="s">
        <v>65</v>
      </c>
      <c r="L50" s="72">
        <v>50</v>
      </c>
      <c r="M50" s="72"/>
      <c r="N50" s="73"/>
      <c r="O50" s="80" t="s">
        <v>264</v>
      </c>
      <c r="P50" s="82">
        <v>44693.232824074075</v>
      </c>
      <c r="Q50" s="80" t="s">
        <v>580</v>
      </c>
      <c r="R50" s="80"/>
      <c r="S50" s="80"/>
      <c r="T50" s="85" t="s">
        <v>596</v>
      </c>
      <c r="U50" s="83" t="str">
        <f>HYPERLINK("https://pbs.twimg.com/media/FSc09v5aQAAY6bm.jpg")</f>
        <v>https://pbs.twimg.com/media/FSc09v5aQAAY6bm.jpg</v>
      </c>
      <c r="V50" s="83" t="str">
        <f>HYPERLINK("https://pbs.twimg.com/media/FSc09v5aQAAY6bm.jpg")</f>
        <v>https://pbs.twimg.com/media/FSc09v5aQAAY6bm.jpg</v>
      </c>
      <c r="W50" s="82">
        <v>44693.232824074075</v>
      </c>
      <c r="X50" s="87">
        <v>44693</v>
      </c>
      <c r="Y50" s="85" t="s">
        <v>619</v>
      </c>
      <c r="Z50" s="83" t="str">
        <f>HYPERLINK("https://twitter.com/kannumix/status/1524624226463801344")</f>
        <v>https://twitter.com/kannumix/status/1524624226463801344</v>
      </c>
      <c r="AA50" s="80"/>
      <c r="AB50" s="80"/>
      <c r="AC50" s="85" t="s">
        <v>673</v>
      </c>
      <c r="AD50" s="80"/>
      <c r="AE50" s="80" t="b">
        <v>0</v>
      </c>
      <c r="AF50" s="80">
        <v>0</v>
      </c>
      <c r="AG50" s="85" t="s">
        <v>267</v>
      </c>
      <c r="AH50" s="80" t="b">
        <v>0</v>
      </c>
      <c r="AI50" s="80" t="s">
        <v>268</v>
      </c>
      <c r="AJ50" s="80"/>
      <c r="AK50" s="85" t="s">
        <v>267</v>
      </c>
      <c r="AL50" s="80" t="b">
        <v>0</v>
      </c>
      <c r="AM50" s="80">
        <v>19</v>
      </c>
      <c r="AN50" s="85" t="s">
        <v>696</v>
      </c>
      <c r="AO50" s="85" t="s">
        <v>272</v>
      </c>
      <c r="AP50" s="80" t="b">
        <v>0</v>
      </c>
      <c r="AQ50" s="85" t="s">
        <v>696</v>
      </c>
      <c r="AR50" s="80" t="s">
        <v>218</v>
      </c>
      <c r="AS50" s="80">
        <v>0</v>
      </c>
      <c r="AT50" s="80">
        <v>0</v>
      </c>
      <c r="AU50" s="80"/>
      <c r="AV50" s="80"/>
      <c r="AW50" s="80"/>
      <c r="AX50" s="80"/>
      <c r="AY50" s="80"/>
      <c r="AZ50" s="80"/>
      <c r="BA50" s="80"/>
      <c r="BB50" s="80"/>
      <c r="BC50" s="80">
        <v>2</v>
      </c>
      <c r="BD50" s="79" t="str">
        <f>REPLACE(INDEX(GroupVertices[Group],MATCH(Edges49[[#This Row],[Vertex 1]],GroupVertices[Vertex],0)),1,1,"")</f>
        <v>1</v>
      </c>
      <c r="BE50" s="79" t="str">
        <f>REPLACE(INDEX(GroupVertices[Group],MATCH(Edges49[[#This Row],[Vertex 2]],GroupVertices[Vertex],0)),1,1,"")</f>
        <v>1</v>
      </c>
      <c r="BF50" s="49"/>
      <c r="BG50" s="50"/>
      <c r="BH50" s="49"/>
      <c r="BI50" s="50"/>
      <c r="BJ50" s="49"/>
      <c r="BK50" s="50"/>
      <c r="BL50" s="49"/>
      <c r="BM50" s="50"/>
      <c r="BN50" s="49"/>
    </row>
    <row r="51" spans="1:66" ht="15">
      <c r="A51" s="65" t="s">
        <v>550</v>
      </c>
      <c r="B51" s="65" t="s">
        <v>258</v>
      </c>
      <c r="C51" s="66"/>
      <c r="D51" s="67"/>
      <c r="E51" s="66"/>
      <c r="F51" s="69"/>
      <c r="G51" s="66"/>
      <c r="H51" s="70"/>
      <c r="I51" s="71"/>
      <c r="J51" s="71"/>
      <c r="K51" s="35" t="s">
        <v>65</v>
      </c>
      <c r="L51" s="72">
        <v>51</v>
      </c>
      <c r="M51" s="72"/>
      <c r="N51" s="73"/>
      <c r="O51" s="80" t="s">
        <v>264</v>
      </c>
      <c r="P51" s="82">
        <v>44693.232824074075</v>
      </c>
      <c r="Q51" s="80" t="s">
        <v>580</v>
      </c>
      <c r="R51" s="80"/>
      <c r="S51" s="80"/>
      <c r="T51" s="85" t="s">
        <v>596</v>
      </c>
      <c r="U51" s="83" t="str">
        <f>HYPERLINK("https://pbs.twimg.com/media/FSc09v5aQAAY6bm.jpg")</f>
        <v>https://pbs.twimg.com/media/FSc09v5aQAAY6bm.jpg</v>
      </c>
      <c r="V51" s="83" t="str">
        <f>HYPERLINK("https://pbs.twimg.com/media/FSc09v5aQAAY6bm.jpg")</f>
        <v>https://pbs.twimg.com/media/FSc09v5aQAAY6bm.jpg</v>
      </c>
      <c r="W51" s="82">
        <v>44693.232824074075</v>
      </c>
      <c r="X51" s="87">
        <v>44693</v>
      </c>
      <c r="Y51" s="85" t="s">
        <v>619</v>
      </c>
      <c r="Z51" s="83" t="str">
        <f>HYPERLINK("https://twitter.com/kannumix/status/1524624226463801344")</f>
        <v>https://twitter.com/kannumix/status/1524624226463801344</v>
      </c>
      <c r="AA51" s="80"/>
      <c r="AB51" s="80"/>
      <c r="AC51" s="85" t="s">
        <v>673</v>
      </c>
      <c r="AD51" s="80"/>
      <c r="AE51" s="80" t="b">
        <v>0</v>
      </c>
      <c r="AF51" s="80">
        <v>0</v>
      </c>
      <c r="AG51" s="85" t="s">
        <v>267</v>
      </c>
      <c r="AH51" s="80" t="b">
        <v>0</v>
      </c>
      <c r="AI51" s="80" t="s">
        <v>268</v>
      </c>
      <c r="AJ51" s="80"/>
      <c r="AK51" s="85" t="s">
        <v>267</v>
      </c>
      <c r="AL51" s="80" t="b">
        <v>0</v>
      </c>
      <c r="AM51" s="80">
        <v>19</v>
      </c>
      <c r="AN51" s="85" t="s">
        <v>696</v>
      </c>
      <c r="AO51" s="85" t="s">
        <v>272</v>
      </c>
      <c r="AP51" s="80" t="b">
        <v>0</v>
      </c>
      <c r="AQ51" s="85" t="s">
        <v>696</v>
      </c>
      <c r="AR51" s="80" t="s">
        <v>218</v>
      </c>
      <c r="AS51" s="80">
        <v>0</v>
      </c>
      <c r="AT51" s="80">
        <v>0</v>
      </c>
      <c r="AU51" s="80"/>
      <c r="AV51" s="80"/>
      <c r="AW51" s="80"/>
      <c r="AX51" s="80"/>
      <c r="AY51" s="80"/>
      <c r="AZ51" s="80"/>
      <c r="BA51" s="80"/>
      <c r="BB51" s="80"/>
      <c r="BC51" s="80">
        <v>1</v>
      </c>
      <c r="BD51" s="79" t="str">
        <f>REPLACE(INDEX(GroupVertices[Group],MATCH(Edges49[[#This Row],[Vertex 1]],GroupVertices[Vertex],0)),1,1,"")</f>
        <v>1</v>
      </c>
      <c r="BE51" s="79" t="str">
        <f>REPLACE(INDEX(GroupVertices[Group],MATCH(Edges49[[#This Row],[Vertex 2]],GroupVertices[Vertex],0)),1,1,"")</f>
        <v>1</v>
      </c>
      <c r="BF51" s="49"/>
      <c r="BG51" s="50"/>
      <c r="BH51" s="49"/>
      <c r="BI51" s="50"/>
      <c r="BJ51" s="49"/>
      <c r="BK51" s="50"/>
      <c r="BL51" s="49"/>
      <c r="BM51" s="50"/>
      <c r="BN51" s="49"/>
    </row>
    <row r="52" spans="1:66" ht="15">
      <c r="A52" s="65" t="s">
        <v>550</v>
      </c>
      <c r="B52" s="65" t="s">
        <v>559</v>
      </c>
      <c r="C52" s="66"/>
      <c r="D52" s="67"/>
      <c r="E52" s="66"/>
      <c r="F52" s="69"/>
      <c r="G52" s="66"/>
      <c r="H52" s="70"/>
      <c r="I52" s="71"/>
      <c r="J52" s="71"/>
      <c r="K52" s="35" t="s">
        <v>65</v>
      </c>
      <c r="L52" s="72">
        <v>52</v>
      </c>
      <c r="M52" s="72"/>
      <c r="N52" s="73"/>
      <c r="O52" s="80" t="s">
        <v>263</v>
      </c>
      <c r="P52" s="82">
        <v>44693.232824074075</v>
      </c>
      <c r="Q52" s="80" t="s">
        <v>580</v>
      </c>
      <c r="R52" s="80"/>
      <c r="S52" s="80"/>
      <c r="T52" s="85" t="s">
        <v>596</v>
      </c>
      <c r="U52" s="83" t="str">
        <f>HYPERLINK("https://pbs.twimg.com/media/FSc09v5aQAAY6bm.jpg")</f>
        <v>https://pbs.twimg.com/media/FSc09v5aQAAY6bm.jpg</v>
      </c>
      <c r="V52" s="83" t="str">
        <f>HYPERLINK("https://pbs.twimg.com/media/FSc09v5aQAAY6bm.jpg")</f>
        <v>https://pbs.twimg.com/media/FSc09v5aQAAY6bm.jpg</v>
      </c>
      <c r="W52" s="82">
        <v>44693.232824074075</v>
      </c>
      <c r="X52" s="87">
        <v>44693</v>
      </c>
      <c r="Y52" s="85" t="s">
        <v>619</v>
      </c>
      <c r="Z52" s="83" t="str">
        <f>HYPERLINK("https://twitter.com/kannumix/status/1524624226463801344")</f>
        <v>https://twitter.com/kannumix/status/1524624226463801344</v>
      </c>
      <c r="AA52" s="80"/>
      <c r="AB52" s="80"/>
      <c r="AC52" s="85" t="s">
        <v>673</v>
      </c>
      <c r="AD52" s="80"/>
      <c r="AE52" s="80" t="b">
        <v>0</v>
      </c>
      <c r="AF52" s="80">
        <v>0</v>
      </c>
      <c r="AG52" s="85" t="s">
        <v>267</v>
      </c>
      <c r="AH52" s="80" t="b">
        <v>0</v>
      </c>
      <c r="AI52" s="80" t="s">
        <v>268</v>
      </c>
      <c r="AJ52" s="80"/>
      <c r="AK52" s="85" t="s">
        <v>267</v>
      </c>
      <c r="AL52" s="80" t="b">
        <v>0</v>
      </c>
      <c r="AM52" s="80">
        <v>19</v>
      </c>
      <c r="AN52" s="85" t="s">
        <v>696</v>
      </c>
      <c r="AO52" s="85" t="s">
        <v>272</v>
      </c>
      <c r="AP52" s="80" t="b">
        <v>0</v>
      </c>
      <c r="AQ52" s="85" t="s">
        <v>696</v>
      </c>
      <c r="AR52" s="80" t="s">
        <v>218</v>
      </c>
      <c r="AS52" s="80">
        <v>0</v>
      </c>
      <c r="AT52" s="80">
        <v>0</v>
      </c>
      <c r="AU52" s="80"/>
      <c r="AV52" s="80"/>
      <c r="AW52" s="80"/>
      <c r="AX52" s="80"/>
      <c r="AY52" s="80"/>
      <c r="AZ52" s="80"/>
      <c r="BA52" s="80"/>
      <c r="BB52" s="80"/>
      <c r="BC52" s="80">
        <v>2</v>
      </c>
      <c r="BD52" s="79" t="str">
        <f>REPLACE(INDEX(GroupVertices[Group],MATCH(Edges49[[#This Row],[Vertex 1]],GroupVertices[Vertex],0)),1,1,"")</f>
        <v>1</v>
      </c>
      <c r="BE52" s="79" t="str">
        <f>REPLACE(INDEX(GroupVertices[Group],MATCH(Edges49[[#This Row],[Vertex 2]],GroupVertices[Vertex],0)),1,1,"")</f>
        <v>2</v>
      </c>
      <c r="BF52" s="49">
        <v>0</v>
      </c>
      <c r="BG52" s="50">
        <v>0</v>
      </c>
      <c r="BH52" s="49">
        <v>5</v>
      </c>
      <c r="BI52" s="50">
        <v>12.820512820512821</v>
      </c>
      <c r="BJ52" s="49">
        <v>0</v>
      </c>
      <c r="BK52" s="50">
        <v>0</v>
      </c>
      <c r="BL52" s="49">
        <v>34</v>
      </c>
      <c r="BM52" s="50">
        <v>87.17948717948718</v>
      </c>
      <c r="BN52" s="49">
        <v>39</v>
      </c>
    </row>
    <row r="53" spans="1:66" ht="15">
      <c r="A53" s="65" t="s">
        <v>550</v>
      </c>
      <c r="B53" s="65" t="s">
        <v>519</v>
      </c>
      <c r="C53" s="66"/>
      <c r="D53" s="67"/>
      <c r="E53" s="66"/>
      <c r="F53" s="69"/>
      <c r="G53" s="66"/>
      <c r="H53" s="70"/>
      <c r="I53" s="71"/>
      <c r="J53" s="71"/>
      <c r="K53" s="35" t="s">
        <v>65</v>
      </c>
      <c r="L53" s="72">
        <v>53</v>
      </c>
      <c r="M53" s="72"/>
      <c r="N53" s="73"/>
      <c r="O53" s="80" t="s">
        <v>264</v>
      </c>
      <c r="P53" s="82">
        <v>44693.232881944445</v>
      </c>
      <c r="Q53" s="80" t="s">
        <v>581</v>
      </c>
      <c r="R53" s="80"/>
      <c r="S53" s="80"/>
      <c r="T53" s="80"/>
      <c r="U53" s="83" t="str">
        <f>HYPERLINK("https://pbs.twimg.com/ext_tw_video_thumb/1524368758437216256/pu/img/3UwSYL_0rta3dEGi.jpg")</f>
        <v>https://pbs.twimg.com/ext_tw_video_thumb/1524368758437216256/pu/img/3UwSYL_0rta3dEGi.jpg</v>
      </c>
      <c r="V53" s="83" t="str">
        <f>HYPERLINK("https://pbs.twimg.com/ext_tw_video_thumb/1524368758437216256/pu/img/3UwSYL_0rta3dEGi.jpg")</f>
        <v>https://pbs.twimg.com/ext_tw_video_thumb/1524368758437216256/pu/img/3UwSYL_0rta3dEGi.jpg</v>
      </c>
      <c r="W53" s="82">
        <v>44693.232881944445</v>
      </c>
      <c r="X53" s="87">
        <v>44693</v>
      </c>
      <c r="Y53" s="85" t="s">
        <v>620</v>
      </c>
      <c r="Z53" s="83" t="str">
        <f>HYPERLINK("https://twitter.com/kannumix/status/1524624246126759936")</f>
        <v>https://twitter.com/kannumix/status/1524624246126759936</v>
      </c>
      <c r="AA53" s="80"/>
      <c r="AB53" s="80"/>
      <c r="AC53" s="85" t="s">
        <v>674</v>
      </c>
      <c r="AD53" s="80"/>
      <c r="AE53" s="80" t="b">
        <v>0</v>
      </c>
      <c r="AF53" s="80">
        <v>0</v>
      </c>
      <c r="AG53" s="85" t="s">
        <v>267</v>
      </c>
      <c r="AH53" s="80" t="b">
        <v>0</v>
      </c>
      <c r="AI53" s="80" t="s">
        <v>268</v>
      </c>
      <c r="AJ53" s="80"/>
      <c r="AK53" s="85" t="s">
        <v>267</v>
      </c>
      <c r="AL53" s="80" t="b">
        <v>0</v>
      </c>
      <c r="AM53" s="80">
        <v>16</v>
      </c>
      <c r="AN53" s="85" t="s">
        <v>698</v>
      </c>
      <c r="AO53" s="85" t="s">
        <v>272</v>
      </c>
      <c r="AP53" s="80" t="b">
        <v>0</v>
      </c>
      <c r="AQ53" s="85" t="s">
        <v>698</v>
      </c>
      <c r="AR53" s="80" t="s">
        <v>218</v>
      </c>
      <c r="AS53" s="80">
        <v>0</v>
      </c>
      <c r="AT53" s="80">
        <v>0</v>
      </c>
      <c r="AU53" s="80"/>
      <c r="AV53" s="80"/>
      <c r="AW53" s="80"/>
      <c r="AX53" s="80"/>
      <c r="AY53" s="80"/>
      <c r="AZ53" s="80"/>
      <c r="BA53" s="80"/>
      <c r="BB53" s="80"/>
      <c r="BC53" s="80">
        <v>2</v>
      </c>
      <c r="BD53" s="79" t="str">
        <f>REPLACE(INDEX(GroupVertices[Group],MATCH(Edges49[[#This Row],[Vertex 1]],GroupVertices[Vertex],0)),1,1,"")</f>
        <v>1</v>
      </c>
      <c r="BE53" s="79" t="str">
        <f>REPLACE(INDEX(GroupVertices[Group],MATCH(Edges49[[#This Row],[Vertex 2]],GroupVertices[Vertex],0)),1,1,"")</f>
        <v>1</v>
      </c>
      <c r="BF53" s="49"/>
      <c r="BG53" s="50"/>
      <c r="BH53" s="49"/>
      <c r="BI53" s="50"/>
      <c r="BJ53" s="49"/>
      <c r="BK53" s="50"/>
      <c r="BL53" s="49"/>
      <c r="BM53" s="50"/>
      <c r="BN53" s="49"/>
    </row>
    <row r="54" spans="1:66" ht="15">
      <c r="A54" s="65" t="s">
        <v>550</v>
      </c>
      <c r="B54" s="65" t="s">
        <v>559</v>
      </c>
      <c r="C54" s="66"/>
      <c r="D54" s="67"/>
      <c r="E54" s="66"/>
      <c r="F54" s="69"/>
      <c r="G54" s="66"/>
      <c r="H54" s="70"/>
      <c r="I54" s="71"/>
      <c r="J54" s="71"/>
      <c r="K54" s="35" t="s">
        <v>65</v>
      </c>
      <c r="L54" s="72">
        <v>54</v>
      </c>
      <c r="M54" s="72"/>
      <c r="N54" s="73"/>
      <c r="O54" s="80" t="s">
        <v>263</v>
      </c>
      <c r="P54" s="82">
        <v>44693.232881944445</v>
      </c>
      <c r="Q54" s="80" t="s">
        <v>581</v>
      </c>
      <c r="R54" s="80"/>
      <c r="S54" s="80"/>
      <c r="T54" s="80"/>
      <c r="U54" s="83" t="str">
        <f>HYPERLINK("https://pbs.twimg.com/ext_tw_video_thumb/1524368758437216256/pu/img/3UwSYL_0rta3dEGi.jpg")</f>
        <v>https://pbs.twimg.com/ext_tw_video_thumb/1524368758437216256/pu/img/3UwSYL_0rta3dEGi.jpg</v>
      </c>
      <c r="V54" s="83" t="str">
        <f>HYPERLINK("https://pbs.twimg.com/ext_tw_video_thumb/1524368758437216256/pu/img/3UwSYL_0rta3dEGi.jpg")</f>
        <v>https://pbs.twimg.com/ext_tw_video_thumb/1524368758437216256/pu/img/3UwSYL_0rta3dEGi.jpg</v>
      </c>
      <c r="W54" s="82">
        <v>44693.232881944445</v>
      </c>
      <c r="X54" s="87">
        <v>44693</v>
      </c>
      <c r="Y54" s="85" t="s">
        <v>620</v>
      </c>
      <c r="Z54" s="83" t="str">
        <f>HYPERLINK("https://twitter.com/kannumix/status/1524624246126759936")</f>
        <v>https://twitter.com/kannumix/status/1524624246126759936</v>
      </c>
      <c r="AA54" s="80"/>
      <c r="AB54" s="80"/>
      <c r="AC54" s="85" t="s">
        <v>674</v>
      </c>
      <c r="AD54" s="80"/>
      <c r="AE54" s="80" t="b">
        <v>0</v>
      </c>
      <c r="AF54" s="80">
        <v>0</v>
      </c>
      <c r="AG54" s="85" t="s">
        <v>267</v>
      </c>
      <c r="AH54" s="80" t="b">
        <v>0</v>
      </c>
      <c r="AI54" s="80" t="s">
        <v>268</v>
      </c>
      <c r="AJ54" s="80"/>
      <c r="AK54" s="85" t="s">
        <v>267</v>
      </c>
      <c r="AL54" s="80" t="b">
        <v>0</v>
      </c>
      <c r="AM54" s="80">
        <v>16</v>
      </c>
      <c r="AN54" s="85" t="s">
        <v>698</v>
      </c>
      <c r="AO54" s="85" t="s">
        <v>272</v>
      </c>
      <c r="AP54" s="80" t="b">
        <v>0</v>
      </c>
      <c r="AQ54" s="85" t="s">
        <v>698</v>
      </c>
      <c r="AR54" s="80" t="s">
        <v>218</v>
      </c>
      <c r="AS54" s="80">
        <v>0</v>
      </c>
      <c r="AT54" s="80">
        <v>0</v>
      </c>
      <c r="AU54" s="80"/>
      <c r="AV54" s="80"/>
      <c r="AW54" s="80"/>
      <c r="AX54" s="80"/>
      <c r="AY54" s="80"/>
      <c r="AZ54" s="80"/>
      <c r="BA54" s="80"/>
      <c r="BB54" s="80"/>
      <c r="BC54" s="80">
        <v>2</v>
      </c>
      <c r="BD54" s="79" t="str">
        <f>REPLACE(INDEX(GroupVertices[Group],MATCH(Edges49[[#This Row],[Vertex 1]],GroupVertices[Vertex],0)),1,1,"")</f>
        <v>1</v>
      </c>
      <c r="BE54" s="79" t="str">
        <f>REPLACE(INDEX(GroupVertices[Group],MATCH(Edges49[[#This Row],[Vertex 2]],GroupVertices[Vertex],0)),1,1,"")</f>
        <v>2</v>
      </c>
      <c r="BF54" s="49">
        <v>0</v>
      </c>
      <c r="BG54" s="50">
        <v>0</v>
      </c>
      <c r="BH54" s="49">
        <v>2</v>
      </c>
      <c r="BI54" s="50">
        <v>4.651162790697675</v>
      </c>
      <c r="BJ54" s="49">
        <v>0</v>
      </c>
      <c r="BK54" s="50">
        <v>0</v>
      </c>
      <c r="BL54" s="49">
        <v>41</v>
      </c>
      <c r="BM54" s="50">
        <v>95.34883720930233</v>
      </c>
      <c r="BN54" s="49">
        <v>43</v>
      </c>
    </row>
    <row r="55" spans="1:66" ht="15">
      <c r="A55" s="65" t="s">
        <v>551</v>
      </c>
      <c r="B55" s="65" t="s">
        <v>519</v>
      </c>
      <c r="C55" s="66"/>
      <c r="D55" s="67"/>
      <c r="E55" s="66"/>
      <c r="F55" s="69"/>
      <c r="G55" s="66"/>
      <c r="H55" s="70"/>
      <c r="I55" s="71"/>
      <c r="J55" s="71"/>
      <c r="K55" s="35" t="s">
        <v>65</v>
      </c>
      <c r="L55" s="72">
        <v>55</v>
      </c>
      <c r="M55" s="72"/>
      <c r="N55" s="73"/>
      <c r="O55" s="80" t="s">
        <v>264</v>
      </c>
      <c r="P55" s="82">
        <v>44693.36383101852</v>
      </c>
      <c r="Q55" s="80" t="s">
        <v>581</v>
      </c>
      <c r="R55" s="80"/>
      <c r="S55" s="80"/>
      <c r="T55" s="80"/>
      <c r="U55" s="83" t="str">
        <f>HYPERLINK("https://pbs.twimg.com/ext_tw_video_thumb/1524368758437216256/pu/img/3UwSYL_0rta3dEGi.jpg")</f>
        <v>https://pbs.twimg.com/ext_tw_video_thumb/1524368758437216256/pu/img/3UwSYL_0rta3dEGi.jpg</v>
      </c>
      <c r="V55" s="83" t="str">
        <f>HYPERLINK("https://pbs.twimg.com/ext_tw_video_thumb/1524368758437216256/pu/img/3UwSYL_0rta3dEGi.jpg")</f>
        <v>https://pbs.twimg.com/ext_tw_video_thumb/1524368758437216256/pu/img/3UwSYL_0rta3dEGi.jpg</v>
      </c>
      <c r="W55" s="82">
        <v>44693.36383101852</v>
      </c>
      <c r="X55" s="87">
        <v>44693</v>
      </c>
      <c r="Y55" s="85" t="s">
        <v>621</v>
      </c>
      <c r="Z55" s="83" t="str">
        <f>HYPERLINK("https://twitter.com/vlhtt/status/1524671700838797312")</f>
        <v>https://twitter.com/vlhtt/status/1524671700838797312</v>
      </c>
      <c r="AA55" s="80"/>
      <c r="AB55" s="80"/>
      <c r="AC55" s="85" t="s">
        <v>675</v>
      </c>
      <c r="AD55" s="80"/>
      <c r="AE55" s="80" t="b">
        <v>0</v>
      </c>
      <c r="AF55" s="80">
        <v>0</v>
      </c>
      <c r="AG55" s="85" t="s">
        <v>267</v>
      </c>
      <c r="AH55" s="80" t="b">
        <v>0</v>
      </c>
      <c r="AI55" s="80" t="s">
        <v>268</v>
      </c>
      <c r="AJ55" s="80"/>
      <c r="AK55" s="85" t="s">
        <v>267</v>
      </c>
      <c r="AL55" s="80" t="b">
        <v>0</v>
      </c>
      <c r="AM55" s="80">
        <v>16</v>
      </c>
      <c r="AN55" s="85" t="s">
        <v>698</v>
      </c>
      <c r="AO55" s="85" t="s">
        <v>271</v>
      </c>
      <c r="AP55" s="80" t="b">
        <v>0</v>
      </c>
      <c r="AQ55" s="85" t="s">
        <v>698</v>
      </c>
      <c r="AR55" s="80" t="s">
        <v>218</v>
      </c>
      <c r="AS55" s="80">
        <v>0</v>
      </c>
      <c r="AT55" s="80">
        <v>0</v>
      </c>
      <c r="AU55" s="80"/>
      <c r="AV55" s="80"/>
      <c r="AW55" s="80"/>
      <c r="AX55" s="80"/>
      <c r="AY55" s="80"/>
      <c r="AZ55" s="80"/>
      <c r="BA55" s="80"/>
      <c r="BB55" s="80"/>
      <c r="BC55" s="80">
        <v>1</v>
      </c>
      <c r="BD55" s="79" t="str">
        <f>REPLACE(INDEX(GroupVertices[Group],MATCH(Edges49[[#This Row],[Vertex 1]],GroupVertices[Vertex],0)),1,1,"")</f>
        <v>1</v>
      </c>
      <c r="BE55" s="79" t="str">
        <f>REPLACE(INDEX(GroupVertices[Group],MATCH(Edges49[[#This Row],[Vertex 2]],GroupVertices[Vertex],0)),1,1,"")</f>
        <v>1</v>
      </c>
      <c r="BF55" s="49"/>
      <c r="BG55" s="50"/>
      <c r="BH55" s="49"/>
      <c r="BI55" s="50"/>
      <c r="BJ55" s="49"/>
      <c r="BK55" s="50"/>
      <c r="BL55" s="49"/>
      <c r="BM55" s="50"/>
      <c r="BN55" s="49"/>
    </row>
    <row r="56" spans="1:66" ht="15">
      <c r="A56" s="65" t="s">
        <v>551</v>
      </c>
      <c r="B56" s="65" t="s">
        <v>559</v>
      </c>
      <c r="C56" s="66"/>
      <c r="D56" s="67"/>
      <c r="E56" s="66"/>
      <c r="F56" s="69"/>
      <c r="G56" s="66"/>
      <c r="H56" s="70"/>
      <c r="I56" s="71"/>
      <c r="J56" s="71"/>
      <c r="K56" s="35" t="s">
        <v>65</v>
      </c>
      <c r="L56" s="72">
        <v>56</v>
      </c>
      <c r="M56" s="72"/>
      <c r="N56" s="73"/>
      <c r="O56" s="80" t="s">
        <v>263</v>
      </c>
      <c r="P56" s="82">
        <v>44693.36383101852</v>
      </c>
      <c r="Q56" s="80" t="s">
        <v>581</v>
      </c>
      <c r="R56" s="80"/>
      <c r="S56" s="80"/>
      <c r="T56" s="80"/>
      <c r="U56" s="83" t="str">
        <f>HYPERLINK("https://pbs.twimg.com/ext_tw_video_thumb/1524368758437216256/pu/img/3UwSYL_0rta3dEGi.jpg")</f>
        <v>https://pbs.twimg.com/ext_tw_video_thumb/1524368758437216256/pu/img/3UwSYL_0rta3dEGi.jpg</v>
      </c>
      <c r="V56" s="83" t="str">
        <f>HYPERLINK("https://pbs.twimg.com/ext_tw_video_thumb/1524368758437216256/pu/img/3UwSYL_0rta3dEGi.jpg")</f>
        <v>https://pbs.twimg.com/ext_tw_video_thumb/1524368758437216256/pu/img/3UwSYL_0rta3dEGi.jpg</v>
      </c>
      <c r="W56" s="82">
        <v>44693.36383101852</v>
      </c>
      <c r="X56" s="87">
        <v>44693</v>
      </c>
      <c r="Y56" s="85" t="s">
        <v>621</v>
      </c>
      <c r="Z56" s="83" t="str">
        <f>HYPERLINK("https://twitter.com/vlhtt/status/1524671700838797312")</f>
        <v>https://twitter.com/vlhtt/status/1524671700838797312</v>
      </c>
      <c r="AA56" s="80"/>
      <c r="AB56" s="80"/>
      <c r="AC56" s="85" t="s">
        <v>675</v>
      </c>
      <c r="AD56" s="80"/>
      <c r="AE56" s="80" t="b">
        <v>0</v>
      </c>
      <c r="AF56" s="80">
        <v>0</v>
      </c>
      <c r="AG56" s="85" t="s">
        <v>267</v>
      </c>
      <c r="AH56" s="80" t="b">
        <v>0</v>
      </c>
      <c r="AI56" s="80" t="s">
        <v>268</v>
      </c>
      <c r="AJ56" s="80"/>
      <c r="AK56" s="85" t="s">
        <v>267</v>
      </c>
      <c r="AL56" s="80" t="b">
        <v>0</v>
      </c>
      <c r="AM56" s="80">
        <v>16</v>
      </c>
      <c r="AN56" s="85" t="s">
        <v>698</v>
      </c>
      <c r="AO56" s="85" t="s">
        <v>271</v>
      </c>
      <c r="AP56" s="80" t="b">
        <v>0</v>
      </c>
      <c r="AQ56" s="85" t="s">
        <v>698</v>
      </c>
      <c r="AR56" s="80" t="s">
        <v>218</v>
      </c>
      <c r="AS56" s="80">
        <v>0</v>
      </c>
      <c r="AT56" s="80">
        <v>0</v>
      </c>
      <c r="AU56" s="80"/>
      <c r="AV56" s="80"/>
      <c r="AW56" s="80"/>
      <c r="AX56" s="80"/>
      <c r="AY56" s="80"/>
      <c r="AZ56" s="80"/>
      <c r="BA56" s="80"/>
      <c r="BB56" s="80"/>
      <c r="BC56" s="80">
        <v>1</v>
      </c>
      <c r="BD56" s="79" t="str">
        <f>REPLACE(INDEX(GroupVertices[Group],MATCH(Edges49[[#This Row],[Vertex 1]],GroupVertices[Vertex],0)),1,1,"")</f>
        <v>1</v>
      </c>
      <c r="BE56" s="79" t="str">
        <f>REPLACE(INDEX(GroupVertices[Group],MATCH(Edges49[[#This Row],[Vertex 2]],GroupVertices[Vertex],0)),1,1,"")</f>
        <v>2</v>
      </c>
      <c r="BF56" s="49">
        <v>0</v>
      </c>
      <c r="BG56" s="50">
        <v>0</v>
      </c>
      <c r="BH56" s="49">
        <v>2</v>
      </c>
      <c r="BI56" s="50">
        <v>4.651162790697675</v>
      </c>
      <c r="BJ56" s="49">
        <v>0</v>
      </c>
      <c r="BK56" s="50">
        <v>0</v>
      </c>
      <c r="BL56" s="49">
        <v>41</v>
      </c>
      <c r="BM56" s="50">
        <v>95.34883720930233</v>
      </c>
      <c r="BN56" s="49">
        <v>43</v>
      </c>
    </row>
    <row r="57" spans="1:66" ht="15">
      <c r="A57" s="65" t="s">
        <v>552</v>
      </c>
      <c r="B57" s="65" t="s">
        <v>519</v>
      </c>
      <c r="C57" s="66"/>
      <c r="D57" s="67"/>
      <c r="E57" s="66"/>
      <c r="F57" s="69"/>
      <c r="G57" s="66"/>
      <c r="H57" s="70"/>
      <c r="I57" s="71"/>
      <c r="J57" s="71"/>
      <c r="K57" s="35" t="s">
        <v>65</v>
      </c>
      <c r="L57" s="72">
        <v>57</v>
      </c>
      <c r="M57" s="72"/>
      <c r="N57" s="73"/>
      <c r="O57" s="80" t="s">
        <v>264</v>
      </c>
      <c r="P57" s="82">
        <v>44693.61670138889</v>
      </c>
      <c r="Q57" s="80" t="s">
        <v>581</v>
      </c>
      <c r="R57" s="80"/>
      <c r="S57" s="80"/>
      <c r="T57" s="80"/>
      <c r="U57" s="83" t="str">
        <f>HYPERLINK("https://pbs.twimg.com/ext_tw_video_thumb/1524368758437216256/pu/img/3UwSYL_0rta3dEGi.jpg")</f>
        <v>https://pbs.twimg.com/ext_tw_video_thumb/1524368758437216256/pu/img/3UwSYL_0rta3dEGi.jpg</v>
      </c>
      <c r="V57" s="83" t="str">
        <f>HYPERLINK("https://pbs.twimg.com/ext_tw_video_thumb/1524368758437216256/pu/img/3UwSYL_0rta3dEGi.jpg")</f>
        <v>https://pbs.twimg.com/ext_tw_video_thumb/1524368758437216256/pu/img/3UwSYL_0rta3dEGi.jpg</v>
      </c>
      <c r="W57" s="82">
        <v>44693.61670138889</v>
      </c>
      <c r="X57" s="87">
        <v>44693</v>
      </c>
      <c r="Y57" s="85" t="s">
        <v>622</v>
      </c>
      <c r="Z57" s="83" t="str">
        <f>HYPERLINK("https://twitter.com/manidee33889398/status/1524763337711828992")</f>
        <v>https://twitter.com/manidee33889398/status/1524763337711828992</v>
      </c>
      <c r="AA57" s="80"/>
      <c r="AB57" s="80"/>
      <c r="AC57" s="85" t="s">
        <v>676</v>
      </c>
      <c r="AD57" s="80"/>
      <c r="AE57" s="80" t="b">
        <v>0</v>
      </c>
      <c r="AF57" s="80">
        <v>0</v>
      </c>
      <c r="AG57" s="85" t="s">
        <v>267</v>
      </c>
      <c r="AH57" s="80" t="b">
        <v>0</v>
      </c>
      <c r="AI57" s="80" t="s">
        <v>268</v>
      </c>
      <c r="AJ57" s="80"/>
      <c r="AK57" s="85" t="s">
        <v>267</v>
      </c>
      <c r="AL57" s="80" t="b">
        <v>0</v>
      </c>
      <c r="AM57" s="80">
        <v>16</v>
      </c>
      <c r="AN57" s="85" t="s">
        <v>698</v>
      </c>
      <c r="AO57" s="85" t="s">
        <v>271</v>
      </c>
      <c r="AP57" s="80" t="b">
        <v>0</v>
      </c>
      <c r="AQ57" s="85" t="s">
        <v>698</v>
      </c>
      <c r="AR57" s="80" t="s">
        <v>218</v>
      </c>
      <c r="AS57" s="80">
        <v>0</v>
      </c>
      <c r="AT57" s="80">
        <v>0</v>
      </c>
      <c r="AU57" s="80"/>
      <c r="AV57" s="80"/>
      <c r="AW57" s="80"/>
      <c r="AX57" s="80"/>
      <c r="AY57" s="80"/>
      <c r="AZ57" s="80"/>
      <c r="BA57" s="80"/>
      <c r="BB57" s="80"/>
      <c r="BC57" s="80">
        <v>1</v>
      </c>
      <c r="BD57" s="79" t="str">
        <f>REPLACE(INDEX(GroupVertices[Group],MATCH(Edges49[[#This Row],[Vertex 1]],GroupVertices[Vertex],0)),1,1,"")</f>
        <v>1</v>
      </c>
      <c r="BE57" s="79" t="str">
        <f>REPLACE(INDEX(GroupVertices[Group],MATCH(Edges49[[#This Row],[Vertex 2]],GroupVertices[Vertex],0)),1,1,"")</f>
        <v>1</v>
      </c>
      <c r="BF57" s="49"/>
      <c r="BG57" s="50"/>
      <c r="BH57" s="49"/>
      <c r="BI57" s="50"/>
      <c r="BJ57" s="49"/>
      <c r="BK57" s="50"/>
      <c r="BL57" s="49"/>
      <c r="BM57" s="50"/>
      <c r="BN57" s="49"/>
    </row>
    <row r="58" spans="1:66" ht="15">
      <c r="A58" s="65" t="s">
        <v>552</v>
      </c>
      <c r="B58" s="65" t="s">
        <v>559</v>
      </c>
      <c r="C58" s="66"/>
      <c r="D58" s="67"/>
      <c r="E58" s="66"/>
      <c r="F58" s="69"/>
      <c r="G58" s="66"/>
      <c r="H58" s="70"/>
      <c r="I58" s="71"/>
      <c r="J58" s="71"/>
      <c r="K58" s="35" t="s">
        <v>65</v>
      </c>
      <c r="L58" s="72">
        <v>58</v>
      </c>
      <c r="M58" s="72"/>
      <c r="N58" s="73"/>
      <c r="O58" s="80" t="s">
        <v>263</v>
      </c>
      <c r="P58" s="82">
        <v>44693.61670138889</v>
      </c>
      <c r="Q58" s="80" t="s">
        <v>581</v>
      </c>
      <c r="R58" s="80"/>
      <c r="S58" s="80"/>
      <c r="T58" s="80"/>
      <c r="U58" s="83" t="str">
        <f>HYPERLINK("https://pbs.twimg.com/ext_tw_video_thumb/1524368758437216256/pu/img/3UwSYL_0rta3dEGi.jpg")</f>
        <v>https://pbs.twimg.com/ext_tw_video_thumb/1524368758437216256/pu/img/3UwSYL_0rta3dEGi.jpg</v>
      </c>
      <c r="V58" s="83" t="str">
        <f>HYPERLINK("https://pbs.twimg.com/ext_tw_video_thumb/1524368758437216256/pu/img/3UwSYL_0rta3dEGi.jpg")</f>
        <v>https://pbs.twimg.com/ext_tw_video_thumb/1524368758437216256/pu/img/3UwSYL_0rta3dEGi.jpg</v>
      </c>
      <c r="W58" s="82">
        <v>44693.61670138889</v>
      </c>
      <c r="X58" s="87">
        <v>44693</v>
      </c>
      <c r="Y58" s="85" t="s">
        <v>622</v>
      </c>
      <c r="Z58" s="83" t="str">
        <f>HYPERLINK("https://twitter.com/manidee33889398/status/1524763337711828992")</f>
        <v>https://twitter.com/manidee33889398/status/1524763337711828992</v>
      </c>
      <c r="AA58" s="80"/>
      <c r="AB58" s="80"/>
      <c r="AC58" s="85" t="s">
        <v>676</v>
      </c>
      <c r="AD58" s="80"/>
      <c r="AE58" s="80" t="b">
        <v>0</v>
      </c>
      <c r="AF58" s="80">
        <v>0</v>
      </c>
      <c r="AG58" s="85" t="s">
        <v>267</v>
      </c>
      <c r="AH58" s="80" t="b">
        <v>0</v>
      </c>
      <c r="AI58" s="80" t="s">
        <v>268</v>
      </c>
      <c r="AJ58" s="80"/>
      <c r="AK58" s="85" t="s">
        <v>267</v>
      </c>
      <c r="AL58" s="80" t="b">
        <v>0</v>
      </c>
      <c r="AM58" s="80">
        <v>16</v>
      </c>
      <c r="AN58" s="85" t="s">
        <v>698</v>
      </c>
      <c r="AO58" s="85" t="s">
        <v>271</v>
      </c>
      <c r="AP58" s="80" t="b">
        <v>0</v>
      </c>
      <c r="AQ58" s="85" t="s">
        <v>698</v>
      </c>
      <c r="AR58" s="80" t="s">
        <v>218</v>
      </c>
      <c r="AS58" s="80">
        <v>0</v>
      </c>
      <c r="AT58" s="80">
        <v>0</v>
      </c>
      <c r="AU58" s="80"/>
      <c r="AV58" s="80"/>
      <c r="AW58" s="80"/>
      <c r="AX58" s="80"/>
      <c r="AY58" s="80"/>
      <c r="AZ58" s="80"/>
      <c r="BA58" s="80"/>
      <c r="BB58" s="80"/>
      <c r="BC58" s="80">
        <v>1</v>
      </c>
      <c r="BD58" s="79" t="str">
        <f>REPLACE(INDEX(GroupVertices[Group],MATCH(Edges49[[#This Row],[Vertex 1]],GroupVertices[Vertex],0)),1,1,"")</f>
        <v>1</v>
      </c>
      <c r="BE58" s="79" t="str">
        <f>REPLACE(INDEX(GroupVertices[Group],MATCH(Edges49[[#This Row],[Vertex 2]],GroupVertices[Vertex],0)),1,1,"")</f>
        <v>2</v>
      </c>
      <c r="BF58" s="49">
        <v>0</v>
      </c>
      <c r="BG58" s="50">
        <v>0</v>
      </c>
      <c r="BH58" s="49">
        <v>2</v>
      </c>
      <c r="BI58" s="50">
        <v>4.651162790697675</v>
      </c>
      <c r="BJ58" s="49">
        <v>0</v>
      </c>
      <c r="BK58" s="50">
        <v>0</v>
      </c>
      <c r="BL58" s="49">
        <v>41</v>
      </c>
      <c r="BM58" s="50">
        <v>95.34883720930233</v>
      </c>
      <c r="BN58" s="49">
        <v>43</v>
      </c>
    </row>
    <row r="59" spans="1:66" ht="15">
      <c r="A59" s="65" t="s">
        <v>553</v>
      </c>
      <c r="B59" s="65" t="s">
        <v>519</v>
      </c>
      <c r="C59" s="66"/>
      <c r="D59" s="67"/>
      <c r="E59" s="66"/>
      <c r="F59" s="69"/>
      <c r="G59" s="66"/>
      <c r="H59" s="70"/>
      <c r="I59" s="71"/>
      <c r="J59" s="71"/>
      <c r="K59" s="35" t="s">
        <v>65</v>
      </c>
      <c r="L59" s="72">
        <v>59</v>
      </c>
      <c r="M59" s="72"/>
      <c r="N59" s="73"/>
      <c r="O59" s="80" t="s">
        <v>264</v>
      </c>
      <c r="P59" s="82">
        <v>44694.13422453704</v>
      </c>
      <c r="Q59" s="80" t="s">
        <v>581</v>
      </c>
      <c r="R59" s="80"/>
      <c r="S59" s="80"/>
      <c r="T59" s="80"/>
      <c r="U59" s="83" t="str">
        <f>HYPERLINK("https://pbs.twimg.com/ext_tw_video_thumb/1524368758437216256/pu/img/3UwSYL_0rta3dEGi.jpg")</f>
        <v>https://pbs.twimg.com/ext_tw_video_thumb/1524368758437216256/pu/img/3UwSYL_0rta3dEGi.jpg</v>
      </c>
      <c r="V59" s="83" t="str">
        <f>HYPERLINK("https://pbs.twimg.com/ext_tw_video_thumb/1524368758437216256/pu/img/3UwSYL_0rta3dEGi.jpg")</f>
        <v>https://pbs.twimg.com/ext_tw_video_thumb/1524368758437216256/pu/img/3UwSYL_0rta3dEGi.jpg</v>
      </c>
      <c r="W59" s="82">
        <v>44694.13422453704</v>
      </c>
      <c r="X59" s="87">
        <v>44694</v>
      </c>
      <c r="Y59" s="85" t="s">
        <v>623</v>
      </c>
      <c r="Z59" s="83" t="str">
        <f>HYPERLINK("https://twitter.com/pen2vivek/status/1524950883259547648")</f>
        <v>https://twitter.com/pen2vivek/status/1524950883259547648</v>
      </c>
      <c r="AA59" s="80"/>
      <c r="AB59" s="80"/>
      <c r="AC59" s="85" t="s">
        <v>677</v>
      </c>
      <c r="AD59" s="80"/>
      <c r="AE59" s="80" t="b">
        <v>0</v>
      </c>
      <c r="AF59" s="80">
        <v>0</v>
      </c>
      <c r="AG59" s="85" t="s">
        <v>267</v>
      </c>
      <c r="AH59" s="80" t="b">
        <v>0</v>
      </c>
      <c r="AI59" s="80" t="s">
        <v>268</v>
      </c>
      <c r="AJ59" s="80"/>
      <c r="AK59" s="85" t="s">
        <v>267</v>
      </c>
      <c r="AL59" s="80" t="b">
        <v>0</v>
      </c>
      <c r="AM59" s="80">
        <v>16</v>
      </c>
      <c r="AN59" s="85" t="s">
        <v>698</v>
      </c>
      <c r="AO59" s="85" t="s">
        <v>271</v>
      </c>
      <c r="AP59" s="80" t="b">
        <v>0</v>
      </c>
      <c r="AQ59" s="85" t="s">
        <v>698</v>
      </c>
      <c r="AR59" s="80" t="s">
        <v>218</v>
      </c>
      <c r="AS59" s="80">
        <v>0</v>
      </c>
      <c r="AT59" s="80">
        <v>0</v>
      </c>
      <c r="AU59" s="80"/>
      <c r="AV59" s="80"/>
      <c r="AW59" s="80"/>
      <c r="AX59" s="80"/>
      <c r="AY59" s="80"/>
      <c r="AZ59" s="80"/>
      <c r="BA59" s="80"/>
      <c r="BB59" s="80"/>
      <c r="BC59" s="80">
        <v>1</v>
      </c>
      <c r="BD59" s="79" t="str">
        <f>REPLACE(INDEX(GroupVertices[Group],MATCH(Edges49[[#This Row],[Vertex 1]],GroupVertices[Vertex],0)),1,1,"")</f>
        <v>1</v>
      </c>
      <c r="BE59" s="79" t="str">
        <f>REPLACE(INDEX(GroupVertices[Group],MATCH(Edges49[[#This Row],[Vertex 2]],GroupVertices[Vertex],0)),1,1,"")</f>
        <v>1</v>
      </c>
      <c r="BF59" s="49"/>
      <c r="BG59" s="50"/>
      <c r="BH59" s="49"/>
      <c r="BI59" s="50"/>
      <c r="BJ59" s="49"/>
      <c r="BK59" s="50"/>
      <c r="BL59" s="49"/>
      <c r="BM59" s="50"/>
      <c r="BN59" s="49"/>
    </row>
    <row r="60" spans="1:66" ht="15">
      <c r="A60" s="65" t="s">
        <v>553</v>
      </c>
      <c r="B60" s="65" t="s">
        <v>559</v>
      </c>
      <c r="C60" s="66"/>
      <c r="D60" s="67"/>
      <c r="E60" s="66"/>
      <c r="F60" s="69"/>
      <c r="G60" s="66"/>
      <c r="H60" s="70"/>
      <c r="I60" s="71"/>
      <c r="J60" s="71"/>
      <c r="K60" s="35" t="s">
        <v>65</v>
      </c>
      <c r="L60" s="72">
        <v>60</v>
      </c>
      <c r="M60" s="72"/>
      <c r="N60" s="73"/>
      <c r="O60" s="80" t="s">
        <v>263</v>
      </c>
      <c r="P60" s="82">
        <v>44694.13422453704</v>
      </c>
      <c r="Q60" s="80" t="s">
        <v>581</v>
      </c>
      <c r="R60" s="80"/>
      <c r="S60" s="80"/>
      <c r="T60" s="80"/>
      <c r="U60" s="83" t="str">
        <f>HYPERLINK("https://pbs.twimg.com/ext_tw_video_thumb/1524368758437216256/pu/img/3UwSYL_0rta3dEGi.jpg")</f>
        <v>https://pbs.twimg.com/ext_tw_video_thumb/1524368758437216256/pu/img/3UwSYL_0rta3dEGi.jpg</v>
      </c>
      <c r="V60" s="83" t="str">
        <f>HYPERLINK("https://pbs.twimg.com/ext_tw_video_thumb/1524368758437216256/pu/img/3UwSYL_0rta3dEGi.jpg")</f>
        <v>https://pbs.twimg.com/ext_tw_video_thumb/1524368758437216256/pu/img/3UwSYL_0rta3dEGi.jpg</v>
      </c>
      <c r="W60" s="82">
        <v>44694.13422453704</v>
      </c>
      <c r="X60" s="87">
        <v>44694</v>
      </c>
      <c r="Y60" s="85" t="s">
        <v>623</v>
      </c>
      <c r="Z60" s="83" t="str">
        <f>HYPERLINK("https://twitter.com/pen2vivek/status/1524950883259547648")</f>
        <v>https://twitter.com/pen2vivek/status/1524950883259547648</v>
      </c>
      <c r="AA60" s="80"/>
      <c r="AB60" s="80"/>
      <c r="AC60" s="85" t="s">
        <v>677</v>
      </c>
      <c r="AD60" s="80"/>
      <c r="AE60" s="80" t="b">
        <v>0</v>
      </c>
      <c r="AF60" s="80">
        <v>0</v>
      </c>
      <c r="AG60" s="85" t="s">
        <v>267</v>
      </c>
      <c r="AH60" s="80" t="b">
        <v>0</v>
      </c>
      <c r="AI60" s="80" t="s">
        <v>268</v>
      </c>
      <c r="AJ60" s="80"/>
      <c r="AK60" s="85" t="s">
        <v>267</v>
      </c>
      <c r="AL60" s="80" t="b">
        <v>0</v>
      </c>
      <c r="AM60" s="80">
        <v>16</v>
      </c>
      <c r="AN60" s="85" t="s">
        <v>698</v>
      </c>
      <c r="AO60" s="85" t="s">
        <v>271</v>
      </c>
      <c r="AP60" s="80" t="b">
        <v>0</v>
      </c>
      <c r="AQ60" s="85" t="s">
        <v>698</v>
      </c>
      <c r="AR60" s="80" t="s">
        <v>218</v>
      </c>
      <c r="AS60" s="80">
        <v>0</v>
      </c>
      <c r="AT60" s="80">
        <v>0</v>
      </c>
      <c r="AU60" s="80"/>
      <c r="AV60" s="80"/>
      <c r="AW60" s="80"/>
      <c r="AX60" s="80"/>
      <c r="AY60" s="80"/>
      <c r="AZ60" s="80"/>
      <c r="BA60" s="80"/>
      <c r="BB60" s="80"/>
      <c r="BC60" s="80">
        <v>1</v>
      </c>
      <c r="BD60" s="79" t="str">
        <f>REPLACE(INDEX(GroupVertices[Group],MATCH(Edges49[[#This Row],[Vertex 1]],GroupVertices[Vertex],0)),1,1,"")</f>
        <v>1</v>
      </c>
      <c r="BE60" s="79" t="str">
        <f>REPLACE(INDEX(GroupVertices[Group],MATCH(Edges49[[#This Row],[Vertex 2]],GroupVertices[Vertex],0)),1,1,"")</f>
        <v>2</v>
      </c>
      <c r="BF60" s="49">
        <v>0</v>
      </c>
      <c r="BG60" s="50">
        <v>0</v>
      </c>
      <c r="BH60" s="49">
        <v>2</v>
      </c>
      <c r="BI60" s="50">
        <v>4.651162790697675</v>
      </c>
      <c r="BJ60" s="49">
        <v>0</v>
      </c>
      <c r="BK60" s="50">
        <v>0</v>
      </c>
      <c r="BL60" s="49">
        <v>41</v>
      </c>
      <c r="BM60" s="50">
        <v>95.34883720930233</v>
      </c>
      <c r="BN60" s="49">
        <v>43</v>
      </c>
    </row>
    <row r="61" spans="1:66" ht="15">
      <c r="A61" s="65" t="s">
        <v>554</v>
      </c>
      <c r="B61" s="65" t="s">
        <v>519</v>
      </c>
      <c r="C61" s="66"/>
      <c r="D61" s="67"/>
      <c r="E61" s="66"/>
      <c r="F61" s="69"/>
      <c r="G61" s="66"/>
      <c r="H61" s="70"/>
      <c r="I61" s="71"/>
      <c r="J61" s="71"/>
      <c r="K61" s="35" t="s">
        <v>65</v>
      </c>
      <c r="L61" s="72">
        <v>61</v>
      </c>
      <c r="M61" s="72"/>
      <c r="N61" s="73"/>
      <c r="O61" s="80" t="s">
        <v>264</v>
      </c>
      <c r="P61" s="82">
        <v>44692.47765046296</v>
      </c>
      <c r="Q61" s="80" t="s">
        <v>580</v>
      </c>
      <c r="R61" s="80"/>
      <c r="S61" s="80"/>
      <c r="T61" s="85" t="s">
        <v>596</v>
      </c>
      <c r="U61" s="83" t="str">
        <f>HYPERLINK("https://pbs.twimg.com/media/FSc09v5aQAAY6bm.jpg")</f>
        <v>https://pbs.twimg.com/media/FSc09v5aQAAY6bm.jpg</v>
      </c>
      <c r="V61" s="83" t="str">
        <f>HYPERLINK("https://pbs.twimg.com/media/FSc09v5aQAAY6bm.jpg")</f>
        <v>https://pbs.twimg.com/media/FSc09v5aQAAY6bm.jpg</v>
      </c>
      <c r="W61" s="82">
        <v>44692.47765046296</v>
      </c>
      <c r="X61" s="87">
        <v>44692</v>
      </c>
      <c r="Y61" s="85" t="s">
        <v>624</v>
      </c>
      <c r="Z61" s="83" t="str">
        <f>HYPERLINK("https://twitter.com/jatinde45666597/status/1524350561193463808")</f>
        <v>https://twitter.com/jatinde45666597/status/1524350561193463808</v>
      </c>
      <c r="AA61" s="80"/>
      <c r="AB61" s="80"/>
      <c r="AC61" s="85" t="s">
        <v>678</v>
      </c>
      <c r="AD61" s="80"/>
      <c r="AE61" s="80" t="b">
        <v>0</v>
      </c>
      <c r="AF61" s="80">
        <v>0</v>
      </c>
      <c r="AG61" s="85" t="s">
        <v>267</v>
      </c>
      <c r="AH61" s="80" t="b">
        <v>0</v>
      </c>
      <c r="AI61" s="80" t="s">
        <v>268</v>
      </c>
      <c r="AJ61" s="80"/>
      <c r="AK61" s="85" t="s">
        <v>267</v>
      </c>
      <c r="AL61" s="80" t="b">
        <v>0</v>
      </c>
      <c r="AM61" s="80">
        <v>19</v>
      </c>
      <c r="AN61" s="85" t="s">
        <v>696</v>
      </c>
      <c r="AO61" s="85" t="s">
        <v>271</v>
      </c>
      <c r="AP61" s="80" t="b">
        <v>0</v>
      </c>
      <c r="AQ61" s="85" t="s">
        <v>696</v>
      </c>
      <c r="AR61" s="80" t="s">
        <v>218</v>
      </c>
      <c r="AS61" s="80">
        <v>0</v>
      </c>
      <c r="AT61" s="80">
        <v>0</v>
      </c>
      <c r="AU61" s="80"/>
      <c r="AV61" s="80"/>
      <c r="AW61" s="80"/>
      <c r="AX61" s="80"/>
      <c r="AY61" s="80"/>
      <c r="AZ61" s="80"/>
      <c r="BA61" s="80"/>
      <c r="BB61" s="80"/>
      <c r="BC61" s="80">
        <v>2</v>
      </c>
      <c r="BD61" s="79" t="str">
        <f>REPLACE(INDEX(GroupVertices[Group],MATCH(Edges49[[#This Row],[Vertex 1]],GroupVertices[Vertex],0)),1,1,"")</f>
        <v>1</v>
      </c>
      <c r="BE61" s="79" t="str">
        <f>REPLACE(INDEX(GroupVertices[Group],MATCH(Edges49[[#This Row],[Vertex 2]],GroupVertices[Vertex],0)),1,1,"")</f>
        <v>1</v>
      </c>
      <c r="BF61" s="49"/>
      <c r="BG61" s="50"/>
      <c r="BH61" s="49"/>
      <c r="BI61" s="50"/>
      <c r="BJ61" s="49"/>
      <c r="BK61" s="50"/>
      <c r="BL61" s="49"/>
      <c r="BM61" s="50"/>
      <c r="BN61" s="49"/>
    </row>
    <row r="62" spans="1:66" ht="15">
      <c r="A62" s="65" t="s">
        <v>554</v>
      </c>
      <c r="B62" s="65" t="s">
        <v>258</v>
      </c>
      <c r="C62" s="66"/>
      <c r="D62" s="67"/>
      <c r="E62" s="66"/>
      <c r="F62" s="69"/>
      <c r="G62" s="66"/>
      <c r="H62" s="70"/>
      <c r="I62" s="71"/>
      <c r="J62" s="71"/>
      <c r="K62" s="35" t="s">
        <v>65</v>
      </c>
      <c r="L62" s="72">
        <v>62</v>
      </c>
      <c r="M62" s="72"/>
      <c r="N62" s="73"/>
      <c r="O62" s="80" t="s">
        <v>264</v>
      </c>
      <c r="P62" s="82">
        <v>44692.47765046296</v>
      </c>
      <c r="Q62" s="80" t="s">
        <v>580</v>
      </c>
      <c r="R62" s="80"/>
      <c r="S62" s="80"/>
      <c r="T62" s="85" t="s">
        <v>596</v>
      </c>
      <c r="U62" s="83" t="str">
        <f>HYPERLINK("https://pbs.twimg.com/media/FSc09v5aQAAY6bm.jpg")</f>
        <v>https://pbs.twimg.com/media/FSc09v5aQAAY6bm.jpg</v>
      </c>
      <c r="V62" s="83" t="str">
        <f>HYPERLINK("https://pbs.twimg.com/media/FSc09v5aQAAY6bm.jpg")</f>
        <v>https://pbs.twimg.com/media/FSc09v5aQAAY6bm.jpg</v>
      </c>
      <c r="W62" s="82">
        <v>44692.47765046296</v>
      </c>
      <c r="X62" s="87">
        <v>44692</v>
      </c>
      <c r="Y62" s="85" t="s">
        <v>624</v>
      </c>
      <c r="Z62" s="83" t="str">
        <f>HYPERLINK("https://twitter.com/jatinde45666597/status/1524350561193463808")</f>
        <v>https://twitter.com/jatinde45666597/status/1524350561193463808</v>
      </c>
      <c r="AA62" s="80"/>
      <c r="AB62" s="80"/>
      <c r="AC62" s="85" t="s">
        <v>678</v>
      </c>
      <c r="AD62" s="80"/>
      <c r="AE62" s="80" t="b">
        <v>0</v>
      </c>
      <c r="AF62" s="80">
        <v>0</v>
      </c>
      <c r="AG62" s="85" t="s">
        <v>267</v>
      </c>
      <c r="AH62" s="80" t="b">
        <v>0</v>
      </c>
      <c r="AI62" s="80" t="s">
        <v>268</v>
      </c>
      <c r="AJ62" s="80"/>
      <c r="AK62" s="85" t="s">
        <v>267</v>
      </c>
      <c r="AL62" s="80" t="b">
        <v>0</v>
      </c>
      <c r="AM62" s="80">
        <v>19</v>
      </c>
      <c r="AN62" s="85" t="s">
        <v>696</v>
      </c>
      <c r="AO62" s="85" t="s">
        <v>271</v>
      </c>
      <c r="AP62" s="80" t="b">
        <v>0</v>
      </c>
      <c r="AQ62" s="85" t="s">
        <v>696</v>
      </c>
      <c r="AR62" s="80" t="s">
        <v>218</v>
      </c>
      <c r="AS62" s="80">
        <v>0</v>
      </c>
      <c r="AT62" s="80">
        <v>0</v>
      </c>
      <c r="AU62" s="80"/>
      <c r="AV62" s="80"/>
      <c r="AW62" s="80"/>
      <c r="AX62" s="80"/>
      <c r="AY62" s="80"/>
      <c r="AZ62" s="80"/>
      <c r="BA62" s="80"/>
      <c r="BB62" s="80"/>
      <c r="BC62" s="80">
        <v>1</v>
      </c>
      <c r="BD62" s="79" t="str">
        <f>REPLACE(INDEX(GroupVertices[Group],MATCH(Edges49[[#This Row],[Vertex 1]],GroupVertices[Vertex],0)),1,1,"")</f>
        <v>1</v>
      </c>
      <c r="BE62" s="79" t="str">
        <f>REPLACE(INDEX(GroupVertices[Group],MATCH(Edges49[[#This Row],[Vertex 2]],GroupVertices[Vertex],0)),1,1,"")</f>
        <v>1</v>
      </c>
      <c r="BF62" s="49"/>
      <c r="BG62" s="50"/>
      <c r="BH62" s="49"/>
      <c r="BI62" s="50"/>
      <c r="BJ62" s="49"/>
      <c r="BK62" s="50"/>
      <c r="BL62" s="49"/>
      <c r="BM62" s="50"/>
      <c r="BN62" s="49"/>
    </row>
    <row r="63" spans="1:66" ht="15">
      <c r="A63" s="65" t="s">
        <v>554</v>
      </c>
      <c r="B63" s="65" t="s">
        <v>559</v>
      </c>
      <c r="C63" s="66"/>
      <c r="D63" s="67"/>
      <c r="E63" s="66"/>
      <c r="F63" s="69"/>
      <c r="G63" s="66"/>
      <c r="H63" s="70"/>
      <c r="I63" s="71"/>
      <c r="J63" s="71"/>
      <c r="K63" s="35" t="s">
        <v>65</v>
      </c>
      <c r="L63" s="72">
        <v>63</v>
      </c>
      <c r="M63" s="72"/>
      <c r="N63" s="73"/>
      <c r="O63" s="80" t="s">
        <v>263</v>
      </c>
      <c r="P63" s="82">
        <v>44692.47765046296</v>
      </c>
      <c r="Q63" s="80" t="s">
        <v>580</v>
      </c>
      <c r="R63" s="80"/>
      <c r="S63" s="80"/>
      <c r="T63" s="85" t="s">
        <v>596</v>
      </c>
      <c r="U63" s="83" t="str">
        <f>HYPERLINK("https://pbs.twimg.com/media/FSc09v5aQAAY6bm.jpg")</f>
        <v>https://pbs.twimg.com/media/FSc09v5aQAAY6bm.jpg</v>
      </c>
      <c r="V63" s="83" t="str">
        <f>HYPERLINK("https://pbs.twimg.com/media/FSc09v5aQAAY6bm.jpg")</f>
        <v>https://pbs.twimg.com/media/FSc09v5aQAAY6bm.jpg</v>
      </c>
      <c r="W63" s="82">
        <v>44692.47765046296</v>
      </c>
      <c r="X63" s="87">
        <v>44692</v>
      </c>
      <c r="Y63" s="85" t="s">
        <v>624</v>
      </c>
      <c r="Z63" s="83" t="str">
        <f>HYPERLINK("https://twitter.com/jatinde45666597/status/1524350561193463808")</f>
        <v>https://twitter.com/jatinde45666597/status/1524350561193463808</v>
      </c>
      <c r="AA63" s="80"/>
      <c r="AB63" s="80"/>
      <c r="AC63" s="85" t="s">
        <v>678</v>
      </c>
      <c r="AD63" s="80"/>
      <c r="AE63" s="80" t="b">
        <v>0</v>
      </c>
      <c r="AF63" s="80">
        <v>0</v>
      </c>
      <c r="AG63" s="85" t="s">
        <v>267</v>
      </c>
      <c r="AH63" s="80" t="b">
        <v>0</v>
      </c>
      <c r="AI63" s="80" t="s">
        <v>268</v>
      </c>
      <c r="AJ63" s="80"/>
      <c r="AK63" s="85" t="s">
        <v>267</v>
      </c>
      <c r="AL63" s="80" t="b">
        <v>0</v>
      </c>
      <c r="AM63" s="80">
        <v>19</v>
      </c>
      <c r="AN63" s="85" t="s">
        <v>696</v>
      </c>
      <c r="AO63" s="85" t="s">
        <v>271</v>
      </c>
      <c r="AP63" s="80" t="b">
        <v>0</v>
      </c>
      <c r="AQ63" s="85" t="s">
        <v>696</v>
      </c>
      <c r="AR63" s="80" t="s">
        <v>218</v>
      </c>
      <c r="AS63" s="80">
        <v>0</v>
      </c>
      <c r="AT63" s="80">
        <v>0</v>
      </c>
      <c r="AU63" s="80"/>
      <c r="AV63" s="80"/>
      <c r="AW63" s="80"/>
      <c r="AX63" s="80"/>
      <c r="AY63" s="80"/>
      <c r="AZ63" s="80"/>
      <c r="BA63" s="80"/>
      <c r="BB63" s="80"/>
      <c r="BC63" s="80">
        <v>2</v>
      </c>
      <c r="BD63" s="79" t="str">
        <f>REPLACE(INDEX(GroupVertices[Group],MATCH(Edges49[[#This Row],[Vertex 1]],GroupVertices[Vertex],0)),1,1,"")</f>
        <v>1</v>
      </c>
      <c r="BE63" s="79" t="str">
        <f>REPLACE(INDEX(GroupVertices[Group],MATCH(Edges49[[#This Row],[Vertex 2]],GroupVertices[Vertex],0)),1,1,"")</f>
        <v>2</v>
      </c>
      <c r="BF63" s="49">
        <v>0</v>
      </c>
      <c r="BG63" s="50">
        <v>0</v>
      </c>
      <c r="BH63" s="49">
        <v>5</v>
      </c>
      <c r="BI63" s="50">
        <v>12.820512820512821</v>
      </c>
      <c r="BJ63" s="49">
        <v>0</v>
      </c>
      <c r="BK63" s="50">
        <v>0</v>
      </c>
      <c r="BL63" s="49">
        <v>34</v>
      </c>
      <c r="BM63" s="50">
        <v>87.17948717948718</v>
      </c>
      <c r="BN63" s="49">
        <v>39</v>
      </c>
    </row>
    <row r="64" spans="1:66" ht="15">
      <c r="A64" s="65" t="s">
        <v>554</v>
      </c>
      <c r="B64" s="65" t="s">
        <v>519</v>
      </c>
      <c r="C64" s="66"/>
      <c r="D64" s="67"/>
      <c r="E64" s="66"/>
      <c r="F64" s="69"/>
      <c r="G64" s="66"/>
      <c r="H64" s="70"/>
      <c r="I64" s="71"/>
      <c r="J64" s="71"/>
      <c r="K64" s="35" t="s">
        <v>65</v>
      </c>
      <c r="L64" s="72">
        <v>64</v>
      </c>
      <c r="M64" s="72"/>
      <c r="N64" s="73"/>
      <c r="O64" s="80" t="s">
        <v>264</v>
      </c>
      <c r="P64" s="82">
        <v>44694.29017361111</v>
      </c>
      <c r="Q64" s="80" t="s">
        <v>581</v>
      </c>
      <c r="R64" s="80"/>
      <c r="S64" s="80"/>
      <c r="T64" s="80"/>
      <c r="U64" s="83" t="str">
        <f>HYPERLINK("https://pbs.twimg.com/ext_tw_video_thumb/1524368758437216256/pu/img/3UwSYL_0rta3dEGi.jpg")</f>
        <v>https://pbs.twimg.com/ext_tw_video_thumb/1524368758437216256/pu/img/3UwSYL_0rta3dEGi.jpg</v>
      </c>
      <c r="V64" s="83" t="str">
        <f>HYPERLINK("https://pbs.twimg.com/ext_tw_video_thumb/1524368758437216256/pu/img/3UwSYL_0rta3dEGi.jpg")</f>
        <v>https://pbs.twimg.com/ext_tw_video_thumb/1524368758437216256/pu/img/3UwSYL_0rta3dEGi.jpg</v>
      </c>
      <c r="W64" s="82">
        <v>44694.29017361111</v>
      </c>
      <c r="X64" s="87">
        <v>44694</v>
      </c>
      <c r="Y64" s="85" t="s">
        <v>625</v>
      </c>
      <c r="Z64" s="83" t="str">
        <f>HYPERLINK("https://twitter.com/jatinde45666597/status/1525007396992536577")</f>
        <v>https://twitter.com/jatinde45666597/status/1525007396992536577</v>
      </c>
      <c r="AA64" s="80"/>
      <c r="AB64" s="80"/>
      <c r="AC64" s="85" t="s">
        <v>679</v>
      </c>
      <c r="AD64" s="80"/>
      <c r="AE64" s="80" t="b">
        <v>0</v>
      </c>
      <c r="AF64" s="80">
        <v>0</v>
      </c>
      <c r="AG64" s="85" t="s">
        <v>267</v>
      </c>
      <c r="AH64" s="80" t="b">
        <v>0</v>
      </c>
      <c r="AI64" s="80" t="s">
        <v>268</v>
      </c>
      <c r="AJ64" s="80"/>
      <c r="AK64" s="85" t="s">
        <v>267</v>
      </c>
      <c r="AL64" s="80" t="b">
        <v>0</v>
      </c>
      <c r="AM64" s="80">
        <v>16</v>
      </c>
      <c r="AN64" s="85" t="s">
        <v>698</v>
      </c>
      <c r="AO64" s="85" t="s">
        <v>271</v>
      </c>
      <c r="AP64" s="80" t="b">
        <v>0</v>
      </c>
      <c r="AQ64" s="85" t="s">
        <v>698</v>
      </c>
      <c r="AR64" s="80" t="s">
        <v>218</v>
      </c>
      <c r="AS64" s="80">
        <v>0</v>
      </c>
      <c r="AT64" s="80">
        <v>0</v>
      </c>
      <c r="AU64" s="80"/>
      <c r="AV64" s="80"/>
      <c r="AW64" s="80"/>
      <c r="AX64" s="80"/>
      <c r="AY64" s="80"/>
      <c r="AZ64" s="80"/>
      <c r="BA64" s="80"/>
      <c r="BB64" s="80"/>
      <c r="BC64" s="80">
        <v>2</v>
      </c>
      <c r="BD64" s="79" t="str">
        <f>REPLACE(INDEX(GroupVertices[Group],MATCH(Edges49[[#This Row],[Vertex 1]],GroupVertices[Vertex],0)),1,1,"")</f>
        <v>1</v>
      </c>
      <c r="BE64" s="79" t="str">
        <f>REPLACE(INDEX(GroupVertices[Group],MATCH(Edges49[[#This Row],[Vertex 2]],GroupVertices[Vertex],0)),1,1,"")</f>
        <v>1</v>
      </c>
      <c r="BF64" s="49"/>
      <c r="BG64" s="50"/>
      <c r="BH64" s="49"/>
      <c r="BI64" s="50"/>
      <c r="BJ64" s="49"/>
      <c r="BK64" s="50"/>
      <c r="BL64" s="49"/>
      <c r="BM64" s="50"/>
      <c r="BN64" s="49"/>
    </row>
    <row r="65" spans="1:66" ht="15">
      <c r="A65" s="65" t="s">
        <v>554</v>
      </c>
      <c r="B65" s="65" t="s">
        <v>559</v>
      </c>
      <c r="C65" s="66"/>
      <c r="D65" s="67"/>
      <c r="E65" s="66"/>
      <c r="F65" s="69"/>
      <c r="G65" s="66"/>
      <c r="H65" s="70"/>
      <c r="I65" s="71"/>
      <c r="J65" s="71"/>
      <c r="K65" s="35" t="s">
        <v>65</v>
      </c>
      <c r="L65" s="72">
        <v>65</v>
      </c>
      <c r="M65" s="72"/>
      <c r="N65" s="73"/>
      <c r="O65" s="80" t="s">
        <v>263</v>
      </c>
      <c r="P65" s="82">
        <v>44694.29017361111</v>
      </c>
      <c r="Q65" s="80" t="s">
        <v>581</v>
      </c>
      <c r="R65" s="80"/>
      <c r="S65" s="80"/>
      <c r="T65" s="80"/>
      <c r="U65" s="83" t="str">
        <f>HYPERLINK("https://pbs.twimg.com/ext_tw_video_thumb/1524368758437216256/pu/img/3UwSYL_0rta3dEGi.jpg")</f>
        <v>https://pbs.twimg.com/ext_tw_video_thumb/1524368758437216256/pu/img/3UwSYL_0rta3dEGi.jpg</v>
      </c>
      <c r="V65" s="83" t="str">
        <f>HYPERLINK("https://pbs.twimg.com/ext_tw_video_thumb/1524368758437216256/pu/img/3UwSYL_0rta3dEGi.jpg")</f>
        <v>https://pbs.twimg.com/ext_tw_video_thumb/1524368758437216256/pu/img/3UwSYL_0rta3dEGi.jpg</v>
      </c>
      <c r="W65" s="82">
        <v>44694.29017361111</v>
      </c>
      <c r="X65" s="87">
        <v>44694</v>
      </c>
      <c r="Y65" s="85" t="s">
        <v>625</v>
      </c>
      <c r="Z65" s="83" t="str">
        <f>HYPERLINK("https://twitter.com/jatinde45666597/status/1525007396992536577")</f>
        <v>https://twitter.com/jatinde45666597/status/1525007396992536577</v>
      </c>
      <c r="AA65" s="80"/>
      <c r="AB65" s="80"/>
      <c r="AC65" s="85" t="s">
        <v>679</v>
      </c>
      <c r="AD65" s="80"/>
      <c r="AE65" s="80" t="b">
        <v>0</v>
      </c>
      <c r="AF65" s="80">
        <v>0</v>
      </c>
      <c r="AG65" s="85" t="s">
        <v>267</v>
      </c>
      <c r="AH65" s="80" t="b">
        <v>0</v>
      </c>
      <c r="AI65" s="80" t="s">
        <v>268</v>
      </c>
      <c r="AJ65" s="80"/>
      <c r="AK65" s="85" t="s">
        <v>267</v>
      </c>
      <c r="AL65" s="80" t="b">
        <v>0</v>
      </c>
      <c r="AM65" s="80">
        <v>16</v>
      </c>
      <c r="AN65" s="85" t="s">
        <v>698</v>
      </c>
      <c r="AO65" s="85" t="s">
        <v>271</v>
      </c>
      <c r="AP65" s="80" t="b">
        <v>0</v>
      </c>
      <c r="AQ65" s="85" t="s">
        <v>698</v>
      </c>
      <c r="AR65" s="80" t="s">
        <v>218</v>
      </c>
      <c r="AS65" s="80">
        <v>0</v>
      </c>
      <c r="AT65" s="80">
        <v>0</v>
      </c>
      <c r="AU65" s="80"/>
      <c r="AV65" s="80"/>
      <c r="AW65" s="80"/>
      <c r="AX65" s="80"/>
      <c r="AY65" s="80"/>
      <c r="AZ65" s="80"/>
      <c r="BA65" s="80"/>
      <c r="BB65" s="80"/>
      <c r="BC65" s="80">
        <v>2</v>
      </c>
      <c r="BD65" s="79" t="str">
        <f>REPLACE(INDEX(GroupVertices[Group],MATCH(Edges49[[#This Row],[Vertex 1]],GroupVertices[Vertex],0)),1,1,"")</f>
        <v>1</v>
      </c>
      <c r="BE65" s="79" t="str">
        <f>REPLACE(INDEX(GroupVertices[Group],MATCH(Edges49[[#This Row],[Vertex 2]],GroupVertices[Vertex],0)),1,1,"")</f>
        <v>2</v>
      </c>
      <c r="BF65" s="49">
        <v>0</v>
      </c>
      <c r="BG65" s="50">
        <v>0</v>
      </c>
      <c r="BH65" s="49">
        <v>2</v>
      </c>
      <c r="BI65" s="50">
        <v>4.651162790697675</v>
      </c>
      <c r="BJ65" s="49">
        <v>0</v>
      </c>
      <c r="BK65" s="50">
        <v>0</v>
      </c>
      <c r="BL65" s="49">
        <v>41</v>
      </c>
      <c r="BM65" s="50">
        <v>95.34883720930233</v>
      </c>
      <c r="BN65" s="49">
        <v>43</v>
      </c>
    </row>
    <row r="66" spans="1:66" ht="15">
      <c r="A66" s="65" t="s">
        <v>555</v>
      </c>
      <c r="B66" s="65" t="s">
        <v>519</v>
      </c>
      <c r="C66" s="66"/>
      <c r="D66" s="67"/>
      <c r="E66" s="66"/>
      <c r="F66" s="69"/>
      <c r="G66" s="66"/>
      <c r="H66" s="70"/>
      <c r="I66" s="71"/>
      <c r="J66" s="71"/>
      <c r="K66" s="35" t="s">
        <v>65</v>
      </c>
      <c r="L66" s="72">
        <v>66</v>
      </c>
      <c r="M66" s="72"/>
      <c r="N66" s="73"/>
      <c r="O66" s="80" t="s">
        <v>264</v>
      </c>
      <c r="P66" s="82">
        <v>44692.491273148145</v>
      </c>
      <c r="Q66" s="80" t="s">
        <v>580</v>
      </c>
      <c r="R66" s="80"/>
      <c r="S66" s="80"/>
      <c r="T66" s="85" t="s">
        <v>596</v>
      </c>
      <c r="U66" s="83" t="str">
        <f>HYPERLINK("https://pbs.twimg.com/media/FSc09v5aQAAY6bm.jpg")</f>
        <v>https://pbs.twimg.com/media/FSc09v5aQAAY6bm.jpg</v>
      </c>
      <c r="V66" s="83" t="str">
        <f>HYPERLINK("https://pbs.twimg.com/media/FSc09v5aQAAY6bm.jpg")</f>
        <v>https://pbs.twimg.com/media/FSc09v5aQAAY6bm.jpg</v>
      </c>
      <c r="W66" s="82">
        <v>44692.491273148145</v>
      </c>
      <c r="X66" s="87">
        <v>44692</v>
      </c>
      <c r="Y66" s="85" t="s">
        <v>626</v>
      </c>
      <c r="Z66" s="83" t="str">
        <f>HYPERLINK("https://twitter.com/hardikp59369014/status/1524355496316391424")</f>
        <v>https://twitter.com/hardikp59369014/status/1524355496316391424</v>
      </c>
      <c r="AA66" s="80"/>
      <c r="AB66" s="80"/>
      <c r="AC66" s="85" t="s">
        <v>680</v>
      </c>
      <c r="AD66" s="80"/>
      <c r="AE66" s="80" t="b">
        <v>0</v>
      </c>
      <c r="AF66" s="80">
        <v>0</v>
      </c>
      <c r="AG66" s="85" t="s">
        <v>267</v>
      </c>
      <c r="AH66" s="80" t="b">
        <v>0</v>
      </c>
      <c r="AI66" s="80" t="s">
        <v>268</v>
      </c>
      <c r="AJ66" s="80"/>
      <c r="AK66" s="85" t="s">
        <v>267</v>
      </c>
      <c r="AL66" s="80" t="b">
        <v>0</v>
      </c>
      <c r="AM66" s="80">
        <v>19</v>
      </c>
      <c r="AN66" s="85" t="s">
        <v>696</v>
      </c>
      <c r="AO66" s="85" t="s">
        <v>272</v>
      </c>
      <c r="AP66" s="80" t="b">
        <v>0</v>
      </c>
      <c r="AQ66" s="85" t="s">
        <v>696</v>
      </c>
      <c r="AR66" s="80" t="s">
        <v>218</v>
      </c>
      <c r="AS66" s="80">
        <v>0</v>
      </c>
      <c r="AT66" s="80">
        <v>0</v>
      </c>
      <c r="AU66" s="80"/>
      <c r="AV66" s="80"/>
      <c r="AW66" s="80"/>
      <c r="AX66" s="80"/>
      <c r="AY66" s="80"/>
      <c r="AZ66" s="80"/>
      <c r="BA66" s="80"/>
      <c r="BB66" s="80"/>
      <c r="BC66" s="80">
        <v>2</v>
      </c>
      <c r="BD66" s="79" t="str">
        <f>REPLACE(INDEX(GroupVertices[Group],MATCH(Edges49[[#This Row],[Vertex 1]],GroupVertices[Vertex],0)),1,1,"")</f>
        <v>4</v>
      </c>
      <c r="BE66" s="79" t="str">
        <f>REPLACE(INDEX(GroupVertices[Group],MATCH(Edges49[[#This Row],[Vertex 2]],GroupVertices[Vertex],0)),1,1,"")</f>
        <v>1</v>
      </c>
      <c r="BF66" s="49"/>
      <c r="BG66" s="50"/>
      <c r="BH66" s="49"/>
      <c r="BI66" s="50"/>
      <c r="BJ66" s="49"/>
      <c r="BK66" s="50"/>
      <c r="BL66" s="49"/>
      <c r="BM66" s="50"/>
      <c r="BN66" s="49"/>
    </row>
    <row r="67" spans="1:66" ht="15">
      <c r="A67" s="65" t="s">
        <v>555</v>
      </c>
      <c r="B67" s="65" t="s">
        <v>258</v>
      </c>
      <c r="C67" s="66"/>
      <c r="D67" s="67"/>
      <c r="E67" s="66"/>
      <c r="F67" s="69"/>
      <c r="G67" s="66"/>
      <c r="H67" s="70"/>
      <c r="I67" s="71"/>
      <c r="J67" s="71"/>
      <c r="K67" s="35" t="s">
        <v>65</v>
      </c>
      <c r="L67" s="72">
        <v>67</v>
      </c>
      <c r="M67" s="72"/>
      <c r="N67" s="73"/>
      <c r="O67" s="80" t="s">
        <v>264</v>
      </c>
      <c r="P67" s="82">
        <v>44692.491273148145</v>
      </c>
      <c r="Q67" s="80" t="s">
        <v>580</v>
      </c>
      <c r="R67" s="80"/>
      <c r="S67" s="80"/>
      <c r="T67" s="85" t="s">
        <v>596</v>
      </c>
      <c r="U67" s="83" t="str">
        <f>HYPERLINK("https://pbs.twimg.com/media/FSc09v5aQAAY6bm.jpg")</f>
        <v>https://pbs.twimg.com/media/FSc09v5aQAAY6bm.jpg</v>
      </c>
      <c r="V67" s="83" t="str">
        <f>HYPERLINK("https://pbs.twimg.com/media/FSc09v5aQAAY6bm.jpg")</f>
        <v>https://pbs.twimg.com/media/FSc09v5aQAAY6bm.jpg</v>
      </c>
      <c r="W67" s="82">
        <v>44692.491273148145</v>
      </c>
      <c r="X67" s="87">
        <v>44692</v>
      </c>
      <c r="Y67" s="85" t="s">
        <v>626</v>
      </c>
      <c r="Z67" s="83" t="str">
        <f>HYPERLINK("https://twitter.com/hardikp59369014/status/1524355496316391424")</f>
        <v>https://twitter.com/hardikp59369014/status/1524355496316391424</v>
      </c>
      <c r="AA67" s="80"/>
      <c r="AB67" s="80"/>
      <c r="AC67" s="85" t="s">
        <v>680</v>
      </c>
      <c r="AD67" s="80"/>
      <c r="AE67" s="80" t="b">
        <v>0</v>
      </c>
      <c r="AF67" s="80">
        <v>0</v>
      </c>
      <c r="AG67" s="85" t="s">
        <v>267</v>
      </c>
      <c r="AH67" s="80" t="b">
        <v>0</v>
      </c>
      <c r="AI67" s="80" t="s">
        <v>268</v>
      </c>
      <c r="AJ67" s="80"/>
      <c r="AK67" s="85" t="s">
        <v>267</v>
      </c>
      <c r="AL67" s="80" t="b">
        <v>0</v>
      </c>
      <c r="AM67" s="80">
        <v>19</v>
      </c>
      <c r="AN67" s="85" t="s">
        <v>696</v>
      </c>
      <c r="AO67" s="85" t="s">
        <v>272</v>
      </c>
      <c r="AP67" s="80" t="b">
        <v>0</v>
      </c>
      <c r="AQ67" s="85" t="s">
        <v>696</v>
      </c>
      <c r="AR67" s="80" t="s">
        <v>218</v>
      </c>
      <c r="AS67" s="80">
        <v>0</v>
      </c>
      <c r="AT67" s="80">
        <v>0</v>
      </c>
      <c r="AU67" s="80"/>
      <c r="AV67" s="80"/>
      <c r="AW67" s="80"/>
      <c r="AX67" s="80"/>
      <c r="AY67" s="80"/>
      <c r="AZ67" s="80"/>
      <c r="BA67" s="80"/>
      <c r="BB67" s="80"/>
      <c r="BC67" s="80">
        <v>1</v>
      </c>
      <c r="BD67" s="79" t="str">
        <f>REPLACE(INDEX(GroupVertices[Group],MATCH(Edges49[[#This Row],[Vertex 1]],GroupVertices[Vertex],0)),1,1,"")</f>
        <v>4</v>
      </c>
      <c r="BE67" s="79" t="str">
        <f>REPLACE(INDEX(GroupVertices[Group],MATCH(Edges49[[#This Row],[Vertex 2]],GroupVertices[Vertex],0)),1,1,"")</f>
        <v>1</v>
      </c>
      <c r="BF67" s="49"/>
      <c r="BG67" s="50"/>
      <c r="BH67" s="49"/>
      <c r="BI67" s="50"/>
      <c r="BJ67" s="49"/>
      <c r="BK67" s="50"/>
      <c r="BL67" s="49"/>
      <c r="BM67" s="50"/>
      <c r="BN67" s="49"/>
    </row>
    <row r="68" spans="1:66" ht="15">
      <c r="A68" s="65" t="s">
        <v>555</v>
      </c>
      <c r="B68" s="65" t="s">
        <v>559</v>
      </c>
      <c r="C68" s="66"/>
      <c r="D68" s="67"/>
      <c r="E68" s="66"/>
      <c r="F68" s="69"/>
      <c r="G68" s="66"/>
      <c r="H68" s="70"/>
      <c r="I68" s="71"/>
      <c r="J68" s="71"/>
      <c r="K68" s="35" t="s">
        <v>65</v>
      </c>
      <c r="L68" s="72">
        <v>68</v>
      </c>
      <c r="M68" s="72"/>
      <c r="N68" s="73"/>
      <c r="O68" s="80" t="s">
        <v>263</v>
      </c>
      <c r="P68" s="82">
        <v>44692.491273148145</v>
      </c>
      <c r="Q68" s="80" t="s">
        <v>580</v>
      </c>
      <c r="R68" s="80"/>
      <c r="S68" s="80"/>
      <c r="T68" s="85" t="s">
        <v>596</v>
      </c>
      <c r="U68" s="83" t="str">
        <f>HYPERLINK("https://pbs.twimg.com/media/FSc09v5aQAAY6bm.jpg")</f>
        <v>https://pbs.twimg.com/media/FSc09v5aQAAY6bm.jpg</v>
      </c>
      <c r="V68" s="83" t="str">
        <f>HYPERLINK("https://pbs.twimg.com/media/FSc09v5aQAAY6bm.jpg")</f>
        <v>https://pbs.twimg.com/media/FSc09v5aQAAY6bm.jpg</v>
      </c>
      <c r="W68" s="82">
        <v>44692.491273148145</v>
      </c>
      <c r="X68" s="87">
        <v>44692</v>
      </c>
      <c r="Y68" s="85" t="s">
        <v>626</v>
      </c>
      <c r="Z68" s="83" t="str">
        <f>HYPERLINK("https://twitter.com/hardikp59369014/status/1524355496316391424")</f>
        <v>https://twitter.com/hardikp59369014/status/1524355496316391424</v>
      </c>
      <c r="AA68" s="80"/>
      <c r="AB68" s="80"/>
      <c r="AC68" s="85" t="s">
        <v>680</v>
      </c>
      <c r="AD68" s="80"/>
      <c r="AE68" s="80" t="b">
        <v>0</v>
      </c>
      <c r="AF68" s="80">
        <v>0</v>
      </c>
      <c r="AG68" s="85" t="s">
        <v>267</v>
      </c>
      <c r="AH68" s="80" t="b">
        <v>0</v>
      </c>
      <c r="AI68" s="80" t="s">
        <v>268</v>
      </c>
      <c r="AJ68" s="80"/>
      <c r="AK68" s="85" t="s">
        <v>267</v>
      </c>
      <c r="AL68" s="80" t="b">
        <v>0</v>
      </c>
      <c r="AM68" s="80">
        <v>19</v>
      </c>
      <c r="AN68" s="85" t="s">
        <v>696</v>
      </c>
      <c r="AO68" s="85" t="s">
        <v>272</v>
      </c>
      <c r="AP68" s="80" t="b">
        <v>0</v>
      </c>
      <c r="AQ68" s="85" t="s">
        <v>696</v>
      </c>
      <c r="AR68" s="80" t="s">
        <v>218</v>
      </c>
      <c r="AS68" s="80">
        <v>0</v>
      </c>
      <c r="AT68" s="80">
        <v>0</v>
      </c>
      <c r="AU68" s="80"/>
      <c r="AV68" s="80"/>
      <c r="AW68" s="80"/>
      <c r="AX68" s="80"/>
      <c r="AY68" s="80"/>
      <c r="AZ68" s="80"/>
      <c r="BA68" s="80"/>
      <c r="BB68" s="80"/>
      <c r="BC68" s="80">
        <v>3</v>
      </c>
      <c r="BD68" s="79" t="str">
        <f>REPLACE(INDEX(GroupVertices[Group],MATCH(Edges49[[#This Row],[Vertex 1]],GroupVertices[Vertex],0)),1,1,"")</f>
        <v>4</v>
      </c>
      <c r="BE68" s="79" t="str">
        <f>REPLACE(INDEX(GroupVertices[Group],MATCH(Edges49[[#This Row],[Vertex 2]],GroupVertices[Vertex],0)),1,1,"")</f>
        <v>2</v>
      </c>
      <c r="BF68" s="49">
        <v>0</v>
      </c>
      <c r="BG68" s="50">
        <v>0</v>
      </c>
      <c r="BH68" s="49">
        <v>5</v>
      </c>
      <c r="BI68" s="50">
        <v>12.820512820512821</v>
      </c>
      <c r="BJ68" s="49">
        <v>0</v>
      </c>
      <c r="BK68" s="50">
        <v>0</v>
      </c>
      <c r="BL68" s="49">
        <v>34</v>
      </c>
      <c r="BM68" s="50">
        <v>87.17948717948718</v>
      </c>
      <c r="BN68" s="49">
        <v>39</v>
      </c>
    </row>
    <row r="69" spans="1:66" ht="15">
      <c r="A69" s="65" t="s">
        <v>555</v>
      </c>
      <c r="B69" s="65" t="s">
        <v>519</v>
      </c>
      <c r="C69" s="66"/>
      <c r="D69" s="67"/>
      <c r="E69" s="66"/>
      <c r="F69" s="69"/>
      <c r="G69" s="66"/>
      <c r="H69" s="70"/>
      <c r="I69" s="71"/>
      <c r="J69" s="71"/>
      <c r="K69" s="35" t="s">
        <v>65</v>
      </c>
      <c r="L69" s="72">
        <v>69</v>
      </c>
      <c r="M69" s="72"/>
      <c r="N69" s="73"/>
      <c r="O69" s="80" t="s">
        <v>264</v>
      </c>
      <c r="P69" s="82">
        <v>44693.17371527778</v>
      </c>
      <c r="Q69" s="80" t="s">
        <v>581</v>
      </c>
      <c r="R69" s="80"/>
      <c r="S69" s="80"/>
      <c r="T69" s="80"/>
      <c r="U69" s="83" t="str">
        <f>HYPERLINK("https://pbs.twimg.com/ext_tw_video_thumb/1524368758437216256/pu/img/3UwSYL_0rta3dEGi.jpg")</f>
        <v>https://pbs.twimg.com/ext_tw_video_thumb/1524368758437216256/pu/img/3UwSYL_0rta3dEGi.jpg</v>
      </c>
      <c r="V69" s="83" t="str">
        <f>HYPERLINK("https://pbs.twimg.com/ext_tw_video_thumb/1524368758437216256/pu/img/3UwSYL_0rta3dEGi.jpg")</f>
        <v>https://pbs.twimg.com/ext_tw_video_thumb/1524368758437216256/pu/img/3UwSYL_0rta3dEGi.jpg</v>
      </c>
      <c r="W69" s="82">
        <v>44693.17371527778</v>
      </c>
      <c r="X69" s="87">
        <v>44693</v>
      </c>
      <c r="Y69" s="85" t="s">
        <v>627</v>
      </c>
      <c r="Z69" s="83" t="str">
        <f>HYPERLINK("https://twitter.com/hardikp59369014/status/1524602805578649600")</f>
        <v>https://twitter.com/hardikp59369014/status/1524602805578649600</v>
      </c>
      <c r="AA69" s="80"/>
      <c r="AB69" s="80"/>
      <c r="AC69" s="85" t="s">
        <v>681</v>
      </c>
      <c r="AD69" s="80"/>
      <c r="AE69" s="80" t="b">
        <v>0</v>
      </c>
      <c r="AF69" s="80">
        <v>0</v>
      </c>
      <c r="AG69" s="85" t="s">
        <v>267</v>
      </c>
      <c r="AH69" s="80" t="b">
        <v>0</v>
      </c>
      <c r="AI69" s="80" t="s">
        <v>268</v>
      </c>
      <c r="AJ69" s="80"/>
      <c r="AK69" s="85" t="s">
        <v>267</v>
      </c>
      <c r="AL69" s="80" t="b">
        <v>0</v>
      </c>
      <c r="AM69" s="80">
        <v>16</v>
      </c>
      <c r="AN69" s="85" t="s">
        <v>698</v>
      </c>
      <c r="AO69" s="85" t="s">
        <v>272</v>
      </c>
      <c r="AP69" s="80" t="b">
        <v>0</v>
      </c>
      <c r="AQ69" s="85" t="s">
        <v>698</v>
      </c>
      <c r="AR69" s="80" t="s">
        <v>218</v>
      </c>
      <c r="AS69" s="80">
        <v>0</v>
      </c>
      <c r="AT69" s="80">
        <v>0</v>
      </c>
      <c r="AU69" s="80"/>
      <c r="AV69" s="80"/>
      <c r="AW69" s="80"/>
      <c r="AX69" s="80"/>
      <c r="AY69" s="80"/>
      <c r="AZ69" s="80"/>
      <c r="BA69" s="80"/>
      <c r="BB69" s="80"/>
      <c r="BC69" s="80">
        <v>2</v>
      </c>
      <c r="BD69" s="79" t="str">
        <f>REPLACE(INDEX(GroupVertices[Group],MATCH(Edges49[[#This Row],[Vertex 1]],GroupVertices[Vertex],0)),1,1,"")</f>
        <v>4</v>
      </c>
      <c r="BE69" s="79" t="str">
        <f>REPLACE(INDEX(GroupVertices[Group],MATCH(Edges49[[#This Row],[Vertex 2]],GroupVertices[Vertex],0)),1,1,"")</f>
        <v>1</v>
      </c>
      <c r="BF69" s="49"/>
      <c r="BG69" s="50"/>
      <c r="BH69" s="49"/>
      <c r="BI69" s="50"/>
      <c r="BJ69" s="49"/>
      <c r="BK69" s="50"/>
      <c r="BL69" s="49"/>
      <c r="BM69" s="50"/>
      <c r="BN69" s="49"/>
    </row>
    <row r="70" spans="1:66" ht="15">
      <c r="A70" s="65" t="s">
        <v>555</v>
      </c>
      <c r="B70" s="65" t="s">
        <v>559</v>
      </c>
      <c r="C70" s="66"/>
      <c r="D70" s="67"/>
      <c r="E70" s="66"/>
      <c r="F70" s="69"/>
      <c r="G70" s="66"/>
      <c r="H70" s="70"/>
      <c r="I70" s="71"/>
      <c r="J70" s="71"/>
      <c r="K70" s="35" t="s">
        <v>65</v>
      </c>
      <c r="L70" s="72">
        <v>70</v>
      </c>
      <c r="M70" s="72"/>
      <c r="N70" s="73"/>
      <c r="O70" s="80" t="s">
        <v>263</v>
      </c>
      <c r="P70" s="82">
        <v>44693.17371527778</v>
      </c>
      <c r="Q70" s="80" t="s">
        <v>581</v>
      </c>
      <c r="R70" s="80"/>
      <c r="S70" s="80"/>
      <c r="T70" s="80"/>
      <c r="U70" s="83" t="str">
        <f>HYPERLINK("https://pbs.twimg.com/ext_tw_video_thumb/1524368758437216256/pu/img/3UwSYL_0rta3dEGi.jpg")</f>
        <v>https://pbs.twimg.com/ext_tw_video_thumb/1524368758437216256/pu/img/3UwSYL_0rta3dEGi.jpg</v>
      </c>
      <c r="V70" s="83" t="str">
        <f>HYPERLINK("https://pbs.twimg.com/ext_tw_video_thumb/1524368758437216256/pu/img/3UwSYL_0rta3dEGi.jpg")</f>
        <v>https://pbs.twimg.com/ext_tw_video_thumb/1524368758437216256/pu/img/3UwSYL_0rta3dEGi.jpg</v>
      </c>
      <c r="W70" s="82">
        <v>44693.17371527778</v>
      </c>
      <c r="X70" s="87">
        <v>44693</v>
      </c>
      <c r="Y70" s="85" t="s">
        <v>627</v>
      </c>
      <c r="Z70" s="83" t="str">
        <f>HYPERLINK("https://twitter.com/hardikp59369014/status/1524602805578649600")</f>
        <v>https://twitter.com/hardikp59369014/status/1524602805578649600</v>
      </c>
      <c r="AA70" s="80"/>
      <c r="AB70" s="80"/>
      <c r="AC70" s="85" t="s">
        <v>681</v>
      </c>
      <c r="AD70" s="80"/>
      <c r="AE70" s="80" t="b">
        <v>0</v>
      </c>
      <c r="AF70" s="80">
        <v>0</v>
      </c>
      <c r="AG70" s="85" t="s">
        <v>267</v>
      </c>
      <c r="AH70" s="80" t="b">
        <v>0</v>
      </c>
      <c r="AI70" s="80" t="s">
        <v>268</v>
      </c>
      <c r="AJ70" s="80"/>
      <c r="AK70" s="85" t="s">
        <v>267</v>
      </c>
      <c r="AL70" s="80" t="b">
        <v>0</v>
      </c>
      <c r="AM70" s="80">
        <v>16</v>
      </c>
      <c r="AN70" s="85" t="s">
        <v>698</v>
      </c>
      <c r="AO70" s="85" t="s">
        <v>272</v>
      </c>
      <c r="AP70" s="80" t="b">
        <v>0</v>
      </c>
      <c r="AQ70" s="85" t="s">
        <v>698</v>
      </c>
      <c r="AR70" s="80" t="s">
        <v>218</v>
      </c>
      <c r="AS70" s="80">
        <v>0</v>
      </c>
      <c r="AT70" s="80">
        <v>0</v>
      </c>
      <c r="AU70" s="80"/>
      <c r="AV70" s="80"/>
      <c r="AW70" s="80"/>
      <c r="AX70" s="80"/>
      <c r="AY70" s="80"/>
      <c r="AZ70" s="80"/>
      <c r="BA70" s="80"/>
      <c r="BB70" s="80"/>
      <c r="BC70" s="80">
        <v>3</v>
      </c>
      <c r="BD70" s="79" t="str">
        <f>REPLACE(INDEX(GroupVertices[Group],MATCH(Edges49[[#This Row],[Vertex 1]],GroupVertices[Vertex],0)),1,1,"")</f>
        <v>4</v>
      </c>
      <c r="BE70" s="79" t="str">
        <f>REPLACE(INDEX(GroupVertices[Group],MATCH(Edges49[[#This Row],[Vertex 2]],GroupVertices[Vertex],0)),1,1,"")</f>
        <v>2</v>
      </c>
      <c r="BF70" s="49">
        <v>0</v>
      </c>
      <c r="BG70" s="50">
        <v>0</v>
      </c>
      <c r="BH70" s="49">
        <v>2</v>
      </c>
      <c r="BI70" s="50">
        <v>4.651162790697675</v>
      </c>
      <c r="BJ70" s="49">
        <v>0</v>
      </c>
      <c r="BK70" s="50">
        <v>0</v>
      </c>
      <c r="BL70" s="49">
        <v>41</v>
      </c>
      <c r="BM70" s="50">
        <v>95.34883720930233</v>
      </c>
      <c r="BN70" s="49">
        <v>43</v>
      </c>
    </row>
    <row r="71" spans="1:66" ht="15">
      <c r="A71" s="65" t="s">
        <v>555</v>
      </c>
      <c r="B71" s="65" t="s">
        <v>520</v>
      </c>
      <c r="C71" s="66"/>
      <c r="D71" s="67"/>
      <c r="E71" s="66"/>
      <c r="F71" s="69"/>
      <c r="G71" s="66"/>
      <c r="H71" s="70"/>
      <c r="I71" s="71"/>
      <c r="J71" s="71"/>
      <c r="K71" s="35" t="s">
        <v>65</v>
      </c>
      <c r="L71" s="72">
        <v>71</v>
      </c>
      <c r="M71" s="72"/>
      <c r="N71" s="73"/>
      <c r="O71" s="80" t="s">
        <v>261</v>
      </c>
      <c r="P71" s="82">
        <v>44693.35543981481</v>
      </c>
      <c r="Q71" s="80" t="s">
        <v>582</v>
      </c>
      <c r="R71" s="80"/>
      <c r="S71" s="80"/>
      <c r="T71" s="80"/>
      <c r="U71" s="80"/>
      <c r="V71" s="83" t="str">
        <f>HYPERLINK("https://pbs.twimg.com/profile_images/1092876231463165952/gkmTL7e8_normal.jpg")</f>
        <v>https://pbs.twimg.com/profile_images/1092876231463165952/gkmTL7e8_normal.jpg</v>
      </c>
      <c r="W71" s="82">
        <v>44693.35543981481</v>
      </c>
      <c r="X71" s="87">
        <v>44693</v>
      </c>
      <c r="Y71" s="85" t="s">
        <v>628</v>
      </c>
      <c r="Z71" s="83" t="str">
        <f>HYPERLINK("https://twitter.com/hardikp59369014/status/1524668661138882566")</f>
        <v>https://twitter.com/hardikp59369014/status/1524668661138882566</v>
      </c>
      <c r="AA71" s="80"/>
      <c r="AB71" s="80"/>
      <c r="AC71" s="85" t="s">
        <v>682</v>
      </c>
      <c r="AD71" s="85" t="s">
        <v>692</v>
      </c>
      <c r="AE71" s="80" t="b">
        <v>0</v>
      </c>
      <c r="AF71" s="80">
        <v>1</v>
      </c>
      <c r="AG71" s="85" t="s">
        <v>709</v>
      </c>
      <c r="AH71" s="80" t="b">
        <v>0</v>
      </c>
      <c r="AI71" s="80" t="s">
        <v>268</v>
      </c>
      <c r="AJ71" s="80"/>
      <c r="AK71" s="85" t="s">
        <v>267</v>
      </c>
      <c r="AL71" s="80" t="b">
        <v>0</v>
      </c>
      <c r="AM71" s="80">
        <v>1</v>
      </c>
      <c r="AN71" s="85" t="s">
        <v>267</v>
      </c>
      <c r="AO71" s="85" t="s">
        <v>272</v>
      </c>
      <c r="AP71" s="80" t="b">
        <v>0</v>
      </c>
      <c r="AQ71" s="85" t="s">
        <v>692</v>
      </c>
      <c r="AR71" s="80" t="s">
        <v>218</v>
      </c>
      <c r="AS71" s="80">
        <v>0</v>
      </c>
      <c r="AT71" s="80">
        <v>0</v>
      </c>
      <c r="AU71" s="80"/>
      <c r="AV71" s="80"/>
      <c r="AW71" s="80"/>
      <c r="AX71" s="80"/>
      <c r="AY71" s="80"/>
      <c r="AZ71" s="80"/>
      <c r="BA71" s="80"/>
      <c r="BB71" s="80"/>
      <c r="BC71" s="80">
        <v>1</v>
      </c>
      <c r="BD71" s="79" t="str">
        <f>REPLACE(INDEX(GroupVertices[Group],MATCH(Edges49[[#This Row],[Vertex 1]],GroupVertices[Vertex],0)),1,1,"")</f>
        <v>4</v>
      </c>
      <c r="BE71" s="79" t="str">
        <f>REPLACE(INDEX(GroupVertices[Group],MATCH(Edges49[[#This Row],[Vertex 2]],GroupVertices[Vertex],0)),1,1,"")</f>
        <v>4</v>
      </c>
      <c r="BF71" s="49">
        <v>0</v>
      </c>
      <c r="BG71" s="50">
        <v>0</v>
      </c>
      <c r="BH71" s="49">
        <v>1</v>
      </c>
      <c r="BI71" s="50">
        <v>25</v>
      </c>
      <c r="BJ71" s="49">
        <v>0</v>
      </c>
      <c r="BK71" s="50">
        <v>0</v>
      </c>
      <c r="BL71" s="49">
        <v>3</v>
      </c>
      <c r="BM71" s="50">
        <v>75</v>
      </c>
      <c r="BN71" s="49">
        <v>4</v>
      </c>
    </row>
    <row r="72" spans="1:66" ht="15">
      <c r="A72" s="65" t="s">
        <v>555</v>
      </c>
      <c r="B72" s="65" t="s">
        <v>559</v>
      </c>
      <c r="C72" s="66"/>
      <c r="D72" s="67"/>
      <c r="E72" s="66"/>
      <c r="F72" s="69"/>
      <c r="G72" s="66"/>
      <c r="H72" s="70"/>
      <c r="I72" s="71"/>
      <c r="J72" s="71"/>
      <c r="K72" s="35" t="s">
        <v>65</v>
      </c>
      <c r="L72" s="72">
        <v>72</v>
      </c>
      <c r="M72" s="72"/>
      <c r="N72" s="73"/>
      <c r="O72" s="80" t="s">
        <v>262</v>
      </c>
      <c r="P72" s="82">
        <v>44693.35543981481</v>
      </c>
      <c r="Q72" s="80" t="s">
        <v>582</v>
      </c>
      <c r="R72" s="80"/>
      <c r="S72" s="80"/>
      <c r="T72" s="80"/>
      <c r="U72" s="80"/>
      <c r="V72" s="83" t="str">
        <f>HYPERLINK("https://pbs.twimg.com/profile_images/1092876231463165952/gkmTL7e8_normal.jpg")</f>
        <v>https://pbs.twimg.com/profile_images/1092876231463165952/gkmTL7e8_normal.jpg</v>
      </c>
      <c r="W72" s="82">
        <v>44693.35543981481</v>
      </c>
      <c r="X72" s="87">
        <v>44693</v>
      </c>
      <c r="Y72" s="85" t="s">
        <v>628</v>
      </c>
      <c r="Z72" s="83" t="str">
        <f>HYPERLINK("https://twitter.com/hardikp59369014/status/1524668661138882566")</f>
        <v>https://twitter.com/hardikp59369014/status/1524668661138882566</v>
      </c>
      <c r="AA72" s="80"/>
      <c r="AB72" s="80"/>
      <c r="AC72" s="85" t="s">
        <v>682</v>
      </c>
      <c r="AD72" s="85" t="s">
        <v>692</v>
      </c>
      <c r="AE72" s="80" t="b">
        <v>0</v>
      </c>
      <c r="AF72" s="80">
        <v>1</v>
      </c>
      <c r="AG72" s="85" t="s">
        <v>709</v>
      </c>
      <c r="AH72" s="80" t="b">
        <v>0</v>
      </c>
      <c r="AI72" s="80" t="s">
        <v>268</v>
      </c>
      <c r="AJ72" s="80"/>
      <c r="AK72" s="85" t="s">
        <v>267</v>
      </c>
      <c r="AL72" s="80" t="b">
        <v>0</v>
      </c>
      <c r="AM72" s="80">
        <v>1</v>
      </c>
      <c r="AN72" s="85" t="s">
        <v>267</v>
      </c>
      <c r="AO72" s="85" t="s">
        <v>272</v>
      </c>
      <c r="AP72" s="80" t="b">
        <v>0</v>
      </c>
      <c r="AQ72" s="85" t="s">
        <v>692</v>
      </c>
      <c r="AR72" s="80" t="s">
        <v>218</v>
      </c>
      <c r="AS72" s="80">
        <v>0</v>
      </c>
      <c r="AT72" s="80">
        <v>0</v>
      </c>
      <c r="AU72" s="80"/>
      <c r="AV72" s="80"/>
      <c r="AW72" s="80"/>
      <c r="AX72" s="80"/>
      <c r="AY72" s="80"/>
      <c r="AZ72" s="80"/>
      <c r="BA72" s="80"/>
      <c r="BB72" s="80"/>
      <c r="BC72" s="80">
        <v>3</v>
      </c>
      <c r="BD72" s="79" t="str">
        <f>REPLACE(INDEX(GroupVertices[Group],MATCH(Edges49[[#This Row],[Vertex 1]],GroupVertices[Vertex],0)),1,1,"")</f>
        <v>4</v>
      </c>
      <c r="BE72" s="79" t="str">
        <f>REPLACE(INDEX(GroupVertices[Group],MATCH(Edges49[[#This Row],[Vertex 2]],GroupVertices[Vertex],0)),1,1,"")</f>
        <v>2</v>
      </c>
      <c r="BF72" s="49"/>
      <c r="BG72" s="50"/>
      <c r="BH72" s="49"/>
      <c r="BI72" s="50"/>
      <c r="BJ72" s="49"/>
      <c r="BK72" s="50"/>
      <c r="BL72" s="49"/>
      <c r="BM72" s="50"/>
      <c r="BN72" s="49"/>
    </row>
    <row r="73" spans="1:66" ht="15">
      <c r="A73" s="65" t="s">
        <v>556</v>
      </c>
      <c r="B73" s="65" t="s">
        <v>555</v>
      </c>
      <c r="C73" s="66"/>
      <c r="D73" s="67"/>
      <c r="E73" s="66"/>
      <c r="F73" s="69"/>
      <c r="G73" s="66"/>
      <c r="H73" s="70"/>
      <c r="I73" s="71"/>
      <c r="J73" s="71"/>
      <c r="K73" s="35" t="s">
        <v>65</v>
      </c>
      <c r="L73" s="72">
        <v>73</v>
      </c>
      <c r="M73" s="72"/>
      <c r="N73" s="73"/>
      <c r="O73" s="80" t="s">
        <v>263</v>
      </c>
      <c r="P73" s="82">
        <v>44694.375185185185</v>
      </c>
      <c r="Q73" s="80" t="s">
        <v>582</v>
      </c>
      <c r="R73" s="80"/>
      <c r="S73" s="80"/>
      <c r="T73" s="80"/>
      <c r="U73" s="80"/>
      <c r="V73" s="83" t="str">
        <f>HYPERLINK("https://pbs.twimg.com/profile_images/1357227655876272128/3dpMLIyf_normal.jpg")</f>
        <v>https://pbs.twimg.com/profile_images/1357227655876272128/3dpMLIyf_normal.jpg</v>
      </c>
      <c r="W73" s="82">
        <v>44694.375185185185</v>
      </c>
      <c r="X73" s="87">
        <v>44694</v>
      </c>
      <c r="Y73" s="85" t="s">
        <v>629</v>
      </c>
      <c r="Z73" s="83" t="str">
        <f>HYPERLINK("https://twitter.com/bumrahgarry/status/1525038206667870209")</f>
        <v>https://twitter.com/bumrahgarry/status/1525038206667870209</v>
      </c>
      <c r="AA73" s="80"/>
      <c r="AB73" s="80"/>
      <c r="AC73" s="85" t="s">
        <v>683</v>
      </c>
      <c r="AD73" s="80"/>
      <c r="AE73" s="80" t="b">
        <v>0</v>
      </c>
      <c r="AF73" s="80">
        <v>0</v>
      </c>
      <c r="AG73" s="85" t="s">
        <v>267</v>
      </c>
      <c r="AH73" s="80" t="b">
        <v>0</v>
      </c>
      <c r="AI73" s="80" t="s">
        <v>268</v>
      </c>
      <c r="AJ73" s="80"/>
      <c r="AK73" s="85" t="s">
        <v>267</v>
      </c>
      <c r="AL73" s="80" t="b">
        <v>0</v>
      </c>
      <c r="AM73" s="80">
        <v>1</v>
      </c>
      <c r="AN73" s="85" t="s">
        <v>682</v>
      </c>
      <c r="AO73" s="85" t="s">
        <v>271</v>
      </c>
      <c r="AP73" s="80" t="b">
        <v>0</v>
      </c>
      <c r="AQ73" s="85" t="s">
        <v>682</v>
      </c>
      <c r="AR73" s="80" t="s">
        <v>218</v>
      </c>
      <c r="AS73" s="80">
        <v>0</v>
      </c>
      <c r="AT73" s="80">
        <v>0</v>
      </c>
      <c r="AU73" s="80"/>
      <c r="AV73" s="80"/>
      <c r="AW73" s="80"/>
      <c r="AX73" s="80"/>
      <c r="AY73" s="80"/>
      <c r="AZ73" s="80"/>
      <c r="BA73" s="80"/>
      <c r="BB73" s="80"/>
      <c r="BC73" s="80">
        <v>1</v>
      </c>
      <c r="BD73" s="79" t="str">
        <f>REPLACE(INDEX(GroupVertices[Group],MATCH(Edges49[[#This Row],[Vertex 1]],GroupVertices[Vertex],0)),1,1,"")</f>
        <v>4</v>
      </c>
      <c r="BE73" s="79" t="str">
        <f>REPLACE(INDEX(GroupVertices[Group],MATCH(Edges49[[#This Row],[Vertex 2]],GroupVertices[Vertex],0)),1,1,"")</f>
        <v>4</v>
      </c>
      <c r="BF73" s="49"/>
      <c r="BG73" s="50"/>
      <c r="BH73" s="49"/>
      <c r="BI73" s="50"/>
      <c r="BJ73" s="49"/>
      <c r="BK73" s="50"/>
      <c r="BL73" s="49"/>
      <c r="BM73" s="50"/>
      <c r="BN73" s="49"/>
    </row>
    <row r="74" spans="1:66" ht="15">
      <c r="A74" s="65" t="s">
        <v>556</v>
      </c>
      <c r="B74" s="65" t="s">
        <v>520</v>
      </c>
      <c r="C74" s="66"/>
      <c r="D74" s="67"/>
      <c r="E74" s="66"/>
      <c r="F74" s="69"/>
      <c r="G74" s="66"/>
      <c r="H74" s="70"/>
      <c r="I74" s="71"/>
      <c r="J74" s="71"/>
      <c r="K74" s="35" t="s">
        <v>65</v>
      </c>
      <c r="L74" s="72">
        <v>74</v>
      </c>
      <c r="M74" s="72"/>
      <c r="N74" s="73"/>
      <c r="O74" s="80" t="s">
        <v>264</v>
      </c>
      <c r="P74" s="82">
        <v>44694.375185185185</v>
      </c>
      <c r="Q74" s="80" t="s">
        <v>582</v>
      </c>
      <c r="R74" s="80"/>
      <c r="S74" s="80"/>
      <c r="T74" s="80"/>
      <c r="U74" s="80"/>
      <c r="V74" s="83" t="str">
        <f>HYPERLINK("https://pbs.twimg.com/profile_images/1357227655876272128/3dpMLIyf_normal.jpg")</f>
        <v>https://pbs.twimg.com/profile_images/1357227655876272128/3dpMLIyf_normal.jpg</v>
      </c>
      <c r="W74" s="82">
        <v>44694.375185185185</v>
      </c>
      <c r="X74" s="87">
        <v>44694</v>
      </c>
      <c r="Y74" s="85" t="s">
        <v>629</v>
      </c>
      <c r="Z74" s="83" t="str">
        <f>HYPERLINK("https://twitter.com/bumrahgarry/status/1525038206667870209")</f>
        <v>https://twitter.com/bumrahgarry/status/1525038206667870209</v>
      </c>
      <c r="AA74" s="80"/>
      <c r="AB74" s="80"/>
      <c r="AC74" s="85" t="s">
        <v>683</v>
      </c>
      <c r="AD74" s="80"/>
      <c r="AE74" s="80" t="b">
        <v>0</v>
      </c>
      <c r="AF74" s="80">
        <v>0</v>
      </c>
      <c r="AG74" s="85" t="s">
        <v>267</v>
      </c>
      <c r="AH74" s="80" t="b">
        <v>0</v>
      </c>
      <c r="AI74" s="80" t="s">
        <v>268</v>
      </c>
      <c r="AJ74" s="80"/>
      <c r="AK74" s="85" t="s">
        <v>267</v>
      </c>
      <c r="AL74" s="80" t="b">
        <v>0</v>
      </c>
      <c r="AM74" s="80">
        <v>1</v>
      </c>
      <c r="AN74" s="85" t="s">
        <v>682</v>
      </c>
      <c r="AO74" s="85" t="s">
        <v>271</v>
      </c>
      <c r="AP74" s="80" t="b">
        <v>0</v>
      </c>
      <c r="AQ74" s="85" t="s">
        <v>682</v>
      </c>
      <c r="AR74" s="80" t="s">
        <v>218</v>
      </c>
      <c r="AS74" s="80">
        <v>0</v>
      </c>
      <c r="AT74" s="80">
        <v>0</v>
      </c>
      <c r="AU74" s="80"/>
      <c r="AV74" s="80"/>
      <c r="AW74" s="80"/>
      <c r="AX74" s="80"/>
      <c r="AY74" s="80"/>
      <c r="AZ74" s="80"/>
      <c r="BA74" s="80"/>
      <c r="BB74" s="80"/>
      <c r="BC74" s="80">
        <v>1</v>
      </c>
      <c r="BD74" s="79" t="str">
        <f>REPLACE(INDEX(GroupVertices[Group],MATCH(Edges49[[#This Row],[Vertex 1]],GroupVertices[Vertex],0)),1,1,"")</f>
        <v>4</v>
      </c>
      <c r="BE74" s="79" t="str">
        <f>REPLACE(INDEX(GroupVertices[Group],MATCH(Edges49[[#This Row],[Vertex 2]],GroupVertices[Vertex],0)),1,1,"")</f>
        <v>4</v>
      </c>
      <c r="BF74" s="49"/>
      <c r="BG74" s="50"/>
      <c r="BH74" s="49"/>
      <c r="BI74" s="50"/>
      <c r="BJ74" s="49"/>
      <c r="BK74" s="50"/>
      <c r="BL74" s="49"/>
      <c r="BM74" s="50"/>
      <c r="BN74" s="49"/>
    </row>
    <row r="75" spans="1:66" ht="15">
      <c r="A75" s="65" t="s">
        <v>556</v>
      </c>
      <c r="B75" s="65" t="s">
        <v>559</v>
      </c>
      <c r="C75" s="66"/>
      <c r="D75" s="67"/>
      <c r="E75" s="66"/>
      <c r="F75" s="69"/>
      <c r="G75" s="66"/>
      <c r="H75" s="70"/>
      <c r="I75" s="71"/>
      <c r="J75" s="71"/>
      <c r="K75" s="35" t="s">
        <v>65</v>
      </c>
      <c r="L75" s="72">
        <v>75</v>
      </c>
      <c r="M75" s="72"/>
      <c r="N75" s="73"/>
      <c r="O75" s="80" t="s">
        <v>262</v>
      </c>
      <c r="P75" s="82">
        <v>44694.375185185185</v>
      </c>
      <c r="Q75" s="80" t="s">
        <v>582</v>
      </c>
      <c r="R75" s="80"/>
      <c r="S75" s="80"/>
      <c r="T75" s="80"/>
      <c r="U75" s="80"/>
      <c r="V75" s="83" t="str">
        <f>HYPERLINK("https://pbs.twimg.com/profile_images/1357227655876272128/3dpMLIyf_normal.jpg")</f>
        <v>https://pbs.twimg.com/profile_images/1357227655876272128/3dpMLIyf_normal.jpg</v>
      </c>
      <c r="W75" s="82">
        <v>44694.375185185185</v>
      </c>
      <c r="X75" s="87">
        <v>44694</v>
      </c>
      <c r="Y75" s="85" t="s">
        <v>629</v>
      </c>
      <c r="Z75" s="83" t="str">
        <f>HYPERLINK("https://twitter.com/bumrahgarry/status/1525038206667870209")</f>
        <v>https://twitter.com/bumrahgarry/status/1525038206667870209</v>
      </c>
      <c r="AA75" s="80"/>
      <c r="AB75" s="80"/>
      <c r="AC75" s="85" t="s">
        <v>683</v>
      </c>
      <c r="AD75" s="80"/>
      <c r="AE75" s="80" t="b">
        <v>0</v>
      </c>
      <c r="AF75" s="80">
        <v>0</v>
      </c>
      <c r="AG75" s="85" t="s">
        <v>267</v>
      </c>
      <c r="AH75" s="80" t="b">
        <v>0</v>
      </c>
      <c r="AI75" s="80" t="s">
        <v>268</v>
      </c>
      <c r="AJ75" s="80"/>
      <c r="AK75" s="85" t="s">
        <v>267</v>
      </c>
      <c r="AL75" s="80" t="b">
        <v>0</v>
      </c>
      <c r="AM75" s="80">
        <v>1</v>
      </c>
      <c r="AN75" s="85" t="s">
        <v>682</v>
      </c>
      <c r="AO75" s="85" t="s">
        <v>271</v>
      </c>
      <c r="AP75" s="80" t="b">
        <v>0</v>
      </c>
      <c r="AQ75" s="85" t="s">
        <v>682</v>
      </c>
      <c r="AR75" s="80" t="s">
        <v>218</v>
      </c>
      <c r="AS75" s="80">
        <v>0</v>
      </c>
      <c r="AT75" s="80">
        <v>0</v>
      </c>
      <c r="AU75" s="80"/>
      <c r="AV75" s="80"/>
      <c r="AW75" s="80"/>
      <c r="AX75" s="80"/>
      <c r="AY75" s="80"/>
      <c r="AZ75" s="80"/>
      <c r="BA75" s="80"/>
      <c r="BB75" s="80"/>
      <c r="BC75" s="80">
        <v>1</v>
      </c>
      <c r="BD75" s="79" t="str">
        <f>REPLACE(INDEX(GroupVertices[Group],MATCH(Edges49[[#This Row],[Vertex 1]],GroupVertices[Vertex],0)),1,1,"")</f>
        <v>4</v>
      </c>
      <c r="BE75" s="79" t="str">
        <f>REPLACE(INDEX(GroupVertices[Group],MATCH(Edges49[[#This Row],[Vertex 2]],GroupVertices[Vertex],0)),1,1,"")</f>
        <v>2</v>
      </c>
      <c r="BF75" s="49">
        <v>0</v>
      </c>
      <c r="BG75" s="50">
        <v>0</v>
      </c>
      <c r="BH75" s="49">
        <v>1</v>
      </c>
      <c r="BI75" s="50">
        <v>25</v>
      </c>
      <c r="BJ75" s="49">
        <v>0</v>
      </c>
      <c r="BK75" s="50">
        <v>0</v>
      </c>
      <c r="BL75" s="49">
        <v>3</v>
      </c>
      <c r="BM75" s="50">
        <v>75</v>
      </c>
      <c r="BN75" s="49">
        <v>4</v>
      </c>
    </row>
    <row r="76" spans="1:66" ht="15">
      <c r="A76" s="65" t="s">
        <v>557</v>
      </c>
      <c r="B76" s="65" t="s">
        <v>519</v>
      </c>
      <c r="C76" s="66"/>
      <c r="D76" s="67"/>
      <c r="E76" s="66"/>
      <c r="F76" s="69"/>
      <c r="G76" s="66"/>
      <c r="H76" s="70"/>
      <c r="I76" s="71"/>
      <c r="J76" s="71"/>
      <c r="K76" s="35" t="s">
        <v>65</v>
      </c>
      <c r="L76" s="72">
        <v>76</v>
      </c>
      <c r="M76" s="72"/>
      <c r="N76" s="73"/>
      <c r="O76" s="80" t="s">
        <v>264</v>
      </c>
      <c r="P76" s="82">
        <v>44692.19731481482</v>
      </c>
      <c r="Q76" s="80" t="s">
        <v>580</v>
      </c>
      <c r="R76" s="80"/>
      <c r="S76" s="80"/>
      <c r="T76" s="85" t="s">
        <v>596</v>
      </c>
      <c r="U76" s="83" t="str">
        <f>HYPERLINK("https://pbs.twimg.com/media/FSc09v5aQAAY6bm.jpg")</f>
        <v>https://pbs.twimg.com/media/FSc09v5aQAAY6bm.jpg</v>
      </c>
      <c r="V76" s="83" t="str">
        <f>HYPERLINK("https://pbs.twimg.com/media/FSc09v5aQAAY6bm.jpg")</f>
        <v>https://pbs.twimg.com/media/FSc09v5aQAAY6bm.jpg</v>
      </c>
      <c r="W76" s="82">
        <v>44692.19731481482</v>
      </c>
      <c r="X76" s="87">
        <v>44692</v>
      </c>
      <c r="Y76" s="85" t="s">
        <v>630</v>
      </c>
      <c r="Z76" s="83" t="str">
        <f>HYPERLINK("https://twitter.com/kulbir51059784/status/1524248969043673088")</f>
        <v>https://twitter.com/kulbir51059784/status/1524248969043673088</v>
      </c>
      <c r="AA76" s="80"/>
      <c r="AB76" s="80"/>
      <c r="AC76" s="85" t="s">
        <v>684</v>
      </c>
      <c r="AD76" s="80"/>
      <c r="AE76" s="80" t="b">
        <v>0</v>
      </c>
      <c r="AF76" s="80">
        <v>0</v>
      </c>
      <c r="AG76" s="85" t="s">
        <v>267</v>
      </c>
      <c r="AH76" s="80" t="b">
        <v>0</v>
      </c>
      <c r="AI76" s="80" t="s">
        <v>268</v>
      </c>
      <c r="AJ76" s="80"/>
      <c r="AK76" s="85" t="s">
        <v>267</v>
      </c>
      <c r="AL76" s="80" t="b">
        <v>0</v>
      </c>
      <c r="AM76" s="80">
        <v>19</v>
      </c>
      <c r="AN76" s="85" t="s">
        <v>696</v>
      </c>
      <c r="AO76" s="85" t="s">
        <v>272</v>
      </c>
      <c r="AP76" s="80" t="b">
        <v>0</v>
      </c>
      <c r="AQ76" s="85" t="s">
        <v>696</v>
      </c>
      <c r="AR76" s="80" t="s">
        <v>218</v>
      </c>
      <c r="AS76" s="80">
        <v>0</v>
      </c>
      <c r="AT76" s="80">
        <v>0</v>
      </c>
      <c r="AU76" s="80"/>
      <c r="AV76" s="80"/>
      <c r="AW76" s="80"/>
      <c r="AX76" s="80"/>
      <c r="AY76" s="80"/>
      <c r="AZ76" s="80"/>
      <c r="BA76" s="80"/>
      <c r="BB76" s="80"/>
      <c r="BC76" s="80">
        <v>2</v>
      </c>
      <c r="BD76" s="79" t="str">
        <f>REPLACE(INDEX(GroupVertices[Group],MATCH(Edges49[[#This Row],[Vertex 1]],GroupVertices[Vertex],0)),1,1,"")</f>
        <v>1</v>
      </c>
      <c r="BE76" s="79" t="str">
        <f>REPLACE(INDEX(GroupVertices[Group],MATCH(Edges49[[#This Row],[Vertex 2]],GroupVertices[Vertex],0)),1,1,"")</f>
        <v>1</v>
      </c>
      <c r="BF76" s="49"/>
      <c r="BG76" s="50"/>
      <c r="BH76" s="49"/>
      <c r="BI76" s="50"/>
      <c r="BJ76" s="49"/>
      <c r="BK76" s="50"/>
      <c r="BL76" s="49"/>
      <c r="BM76" s="50"/>
      <c r="BN76" s="49"/>
    </row>
    <row r="77" spans="1:66" ht="15">
      <c r="A77" s="65" t="s">
        <v>557</v>
      </c>
      <c r="B77" s="65" t="s">
        <v>258</v>
      </c>
      <c r="C77" s="66"/>
      <c r="D77" s="67"/>
      <c r="E77" s="66"/>
      <c r="F77" s="69"/>
      <c r="G77" s="66"/>
      <c r="H77" s="70"/>
      <c r="I77" s="71"/>
      <c r="J77" s="71"/>
      <c r="K77" s="35" t="s">
        <v>65</v>
      </c>
      <c r="L77" s="72">
        <v>77</v>
      </c>
      <c r="M77" s="72"/>
      <c r="N77" s="73"/>
      <c r="O77" s="80" t="s">
        <v>264</v>
      </c>
      <c r="P77" s="82">
        <v>44692.19731481482</v>
      </c>
      <c r="Q77" s="80" t="s">
        <v>580</v>
      </c>
      <c r="R77" s="80"/>
      <c r="S77" s="80"/>
      <c r="T77" s="85" t="s">
        <v>596</v>
      </c>
      <c r="U77" s="83" t="str">
        <f>HYPERLINK("https://pbs.twimg.com/media/FSc09v5aQAAY6bm.jpg")</f>
        <v>https://pbs.twimg.com/media/FSc09v5aQAAY6bm.jpg</v>
      </c>
      <c r="V77" s="83" t="str">
        <f>HYPERLINK("https://pbs.twimg.com/media/FSc09v5aQAAY6bm.jpg")</f>
        <v>https://pbs.twimg.com/media/FSc09v5aQAAY6bm.jpg</v>
      </c>
      <c r="W77" s="82">
        <v>44692.19731481482</v>
      </c>
      <c r="X77" s="87">
        <v>44692</v>
      </c>
      <c r="Y77" s="85" t="s">
        <v>630</v>
      </c>
      <c r="Z77" s="83" t="str">
        <f>HYPERLINK("https://twitter.com/kulbir51059784/status/1524248969043673088")</f>
        <v>https://twitter.com/kulbir51059784/status/1524248969043673088</v>
      </c>
      <c r="AA77" s="80"/>
      <c r="AB77" s="80"/>
      <c r="AC77" s="85" t="s">
        <v>684</v>
      </c>
      <c r="AD77" s="80"/>
      <c r="AE77" s="80" t="b">
        <v>0</v>
      </c>
      <c r="AF77" s="80">
        <v>0</v>
      </c>
      <c r="AG77" s="85" t="s">
        <v>267</v>
      </c>
      <c r="AH77" s="80" t="b">
        <v>0</v>
      </c>
      <c r="AI77" s="80" t="s">
        <v>268</v>
      </c>
      <c r="AJ77" s="80"/>
      <c r="AK77" s="85" t="s">
        <v>267</v>
      </c>
      <c r="AL77" s="80" t="b">
        <v>0</v>
      </c>
      <c r="AM77" s="80">
        <v>19</v>
      </c>
      <c r="AN77" s="85" t="s">
        <v>696</v>
      </c>
      <c r="AO77" s="85" t="s">
        <v>272</v>
      </c>
      <c r="AP77" s="80" t="b">
        <v>0</v>
      </c>
      <c r="AQ77" s="85" t="s">
        <v>696</v>
      </c>
      <c r="AR77" s="80" t="s">
        <v>218</v>
      </c>
      <c r="AS77" s="80">
        <v>0</v>
      </c>
      <c r="AT77" s="80">
        <v>0</v>
      </c>
      <c r="AU77" s="80"/>
      <c r="AV77" s="80"/>
      <c r="AW77" s="80"/>
      <c r="AX77" s="80"/>
      <c r="AY77" s="80"/>
      <c r="AZ77" s="80"/>
      <c r="BA77" s="80"/>
      <c r="BB77" s="80"/>
      <c r="BC77" s="80">
        <v>1</v>
      </c>
      <c r="BD77" s="79" t="str">
        <f>REPLACE(INDEX(GroupVertices[Group],MATCH(Edges49[[#This Row],[Vertex 1]],GroupVertices[Vertex],0)),1,1,"")</f>
        <v>1</v>
      </c>
      <c r="BE77" s="79" t="str">
        <f>REPLACE(INDEX(GroupVertices[Group],MATCH(Edges49[[#This Row],[Vertex 2]],GroupVertices[Vertex],0)),1,1,"")</f>
        <v>1</v>
      </c>
      <c r="BF77" s="49"/>
      <c r="BG77" s="50"/>
      <c r="BH77" s="49"/>
      <c r="BI77" s="50"/>
      <c r="BJ77" s="49"/>
      <c r="BK77" s="50"/>
      <c r="BL77" s="49"/>
      <c r="BM77" s="50"/>
      <c r="BN77" s="49"/>
    </row>
    <row r="78" spans="1:66" ht="15">
      <c r="A78" s="65" t="s">
        <v>557</v>
      </c>
      <c r="B78" s="65" t="s">
        <v>559</v>
      </c>
      <c r="C78" s="66"/>
      <c r="D78" s="67"/>
      <c r="E78" s="66"/>
      <c r="F78" s="69"/>
      <c r="G78" s="66"/>
      <c r="H78" s="70"/>
      <c r="I78" s="71"/>
      <c r="J78" s="71"/>
      <c r="K78" s="35" t="s">
        <v>65</v>
      </c>
      <c r="L78" s="72">
        <v>78</v>
      </c>
      <c r="M78" s="72"/>
      <c r="N78" s="73"/>
      <c r="O78" s="80" t="s">
        <v>263</v>
      </c>
      <c r="P78" s="82">
        <v>44692.19731481482</v>
      </c>
      <c r="Q78" s="80" t="s">
        <v>580</v>
      </c>
      <c r="R78" s="80"/>
      <c r="S78" s="80"/>
      <c r="T78" s="85" t="s">
        <v>596</v>
      </c>
      <c r="U78" s="83" t="str">
        <f>HYPERLINK("https://pbs.twimg.com/media/FSc09v5aQAAY6bm.jpg")</f>
        <v>https://pbs.twimg.com/media/FSc09v5aQAAY6bm.jpg</v>
      </c>
      <c r="V78" s="83" t="str">
        <f>HYPERLINK("https://pbs.twimg.com/media/FSc09v5aQAAY6bm.jpg")</f>
        <v>https://pbs.twimg.com/media/FSc09v5aQAAY6bm.jpg</v>
      </c>
      <c r="W78" s="82">
        <v>44692.19731481482</v>
      </c>
      <c r="X78" s="87">
        <v>44692</v>
      </c>
      <c r="Y78" s="85" t="s">
        <v>630</v>
      </c>
      <c r="Z78" s="83" t="str">
        <f>HYPERLINK("https://twitter.com/kulbir51059784/status/1524248969043673088")</f>
        <v>https://twitter.com/kulbir51059784/status/1524248969043673088</v>
      </c>
      <c r="AA78" s="80"/>
      <c r="AB78" s="80"/>
      <c r="AC78" s="85" t="s">
        <v>684</v>
      </c>
      <c r="AD78" s="80"/>
      <c r="AE78" s="80" t="b">
        <v>0</v>
      </c>
      <c r="AF78" s="80">
        <v>0</v>
      </c>
      <c r="AG78" s="85" t="s">
        <v>267</v>
      </c>
      <c r="AH78" s="80" t="b">
        <v>0</v>
      </c>
      <c r="AI78" s="80" t="s">
        <v>268</v>
      </c>
      <c r="AJ78" s="80"/>
      <c r="AK78" s="85" t="s">
        <v>267</v>
      </c>
      <c r="AL78" s="80" t="b">
        <v>0</v>
      </c>
      <c r="AM78" s="80">
        <v>19</v>
      </c>
      <c r="AN78" s="85" t="s">
        <v>696</v>
      </c>
      <c r="AO78" s="85" t="s">
        <v>272</v>
      </c>
      <c r="AP78" s="80" t="b">
        <v>0</v>
      </c>
      <c r="AQ78" s="85" t="s">
        <v>696</v>
      </c>
      <c r="AR78" s="80" t="s">
        <v>218</v>
      </c>
      <c r="AS78" s="80">
        <v>0</v>
      </c>
      <c r="AT78" s="80">
        <v>0</v>
      </c>
      <c r="AU78" s="80"/>
      <c r="AV78" s="80"/>
      <c r="AW78" s="80"/>
      <c r="AX78" s="80"/>
      <c r="AY78" s="80"/>
      <c r="AZ78" s="80"/>
      <c r="BA78" s="80"/>
      <c r="BB78" s="80"/>
      <c r="BC78" s="80">
        <v>4</v>
      </c>
      <c r="BD78" s="79" t="str">
        <f>REPLACE(INDEX(GroupVertices[Group],MATCH(Edges49[[#This Row],[Vertex 1]],GroupVertices[Vertex],0)),1,1,"")</f>
        <v>1</v>
      </c>
      <c r="BE78" s="79" t="str">
        <f>REPLACE(INDEX(GroupVertices[Group],MATCH(Edges49[[#This Row],[Vertex 2]],GroupVertices[Vertex],0)),1,1,"")</f>
        <v>2</v>
      </c>
      <c r="BF78" s="49">
        <v>0</v>
      </c>
      <c r="BG78" s="50">
        <v>0</v>
      </c>
      <c r="BH78" s="49">
        <v>5</v>
      </c>
      <c r="BI78" s="50">
        <v>12.820512820512821</v>
      </c>
      <c r="BJ78" s="49">
        <v>0</v>
      </c>
      <c r="BK78" s="50">
        <v>0</v>
      </c>
      <c r="BL78" s="49">
        <v>34</v>
      </c>
      <c r="BM78" s="50">
        <v>87.17948717948718</v>
      </c>
      <c r="BN78" s="49">
        <v>39</v>
      </c>
    </row>
    <row r="79" spans="1:66" ht="15">
      <c r="A79" s="65" t="s">
        <v>557</v>
      </c>
      <c r="B79" s="65" t="s">
        <v>519</v>
      </c>
      <c r="C79" s="66"/>
      <c r="D79" s="67"/>
      <c r="E79" s="66"/>
      <c r="F79" s="69"/>
      <c r="G79" s="66"/>
      <c r="H79" s="70"/>
      <c r="I79" s="71"/>
      <c r="J79" s="71"/>
      <c r="K79" s="35" t="s">
        <v>65</v>
      </c>
      <c r="L79" s="72">
        <v>79</v>
      </c>
      <c r="M79" s="72"/>
      <c r="N79" s="73"/>
      <c r="O79" s="80" t="s">
        <v>264</v>
      </c>
      <c r="P79" s="82">
        <v>44692.5359837963</v>
      </c>
      <c r="Q79" s="80" t="s">
        <v>581</v>
      </c>
      <c r="R79" s="80"/>
      <c r="S79" s="80"/>
      <c r="T79" s="80"/>
      <c r="U79" s="83" t="str">
        <f>HYPERLINK("https://pbs.twimg.com/ext_tw_video_thumb/1524368758437216256/pu/img/3UwSYL_0rta3dEGi.jpg")</f>
        <v>https://pbs.twimg.com/ext_tw_video_thumb/1524368758437216256/pu/img/3UwSYL_0rta3dEGi.jpg</v>
      </c>
      <c r="V79" s="83" t="str">
        <f>HYPERLINK("https://pbs.twimg.com/ext_tw_video_thumb/1524368758437216256/pu/img/3UwSYL_0rta3dEGi.jpg")</f>
        <v>https://pbs.twimg.com/ext_tw_video_thumb/1524368758437216256/pu/img/3UwSYL_0rta3dEGi.jpg</v>
      </c>
      <c r="W79" s="82">
        <v>44692.5359837963</v>
      </c>
      <c r="X79" s="87">
        <v>44692</v>
      </c>
      <c r="Y79" s="85" t="s">
        <v>631</v>
      </c>
      <c r="Z79" s="83" t="str">
        <f>HYPERLINK("https://twitter.com/kulbir51059784/status/1524371701240598528")</f>
        <v>https://twitter.com/kulbir51059784/status/1524371701240598528</v>
      </c>
      <c r="AA79" s="80"/>
      <c r="AB79" s="80"/>
      <c r="AC79" s="85" t="s">
        <v>685</v>
      </c>
      <c r="AD79" s="80"/>
      <c r="AE79" s="80" t="b">
        <v>0</v>
      </c>
      <c r="AF79" s="80">
        <v>0</v>
      </c>
      <c r="AG79" s="85" t="s">
        <v>267</v>
      </c>
      <c r="AH79" s="80" t="b">
        <v>0</v>
      </c>
      <c r="AI79" s="80" t="s">
        <v>268</v>
      </c>
      <c r="AJ79" s="80"/>
      <c r="AK79" s="85" t="s">
        <v>267</v>
      </c>
      <c r="AL79" s="80" t="b">
        <v>0</v>
      </c>
      <c r="AM79" s="80">
        <v>16</v>
      </c>
      <c r="AN79" s="85" t="s">
        <v>698</v>
      </c>
      <c r="AO79" s="85" t="s">
        <v>272</v>
      </c>
      <c r="AP79" s="80" t="b">
        <v>0</v>
      </c>
      <c r="AQ79" s="85" t="s">
        <v>698</v>
      </c>
      <c r="AR79" s="80" t="s">
        <v>218</v>
      </c>
      <c r="AS79" s="80">
        <v>0</v>
      </c>
      <c r="AT79" s="80">
        <v>0</v>
      </c>
      <c r="AU79" s="80"/>
      <c r="AV79" s="80"/>
      <c r="AW79" s="80"/>
      <c r="AX79" s="80"/>
      <c r="AY79" s="80"/>
      <c r="AZ79" s="80"/>
      <c r="BA79" s="80"/>
      <c r="BB79" s="80"/>
      <c r="BC79" s="80">
        <v>2</v>
      </c>
      <c r="BD79" s="79" t="str">
        <f>REPLACE(INDEX(GroupVertices[Group],MATCH(Edges49[[#This Row],[Vertex 1]],GroupVertices[Vertex],0)),1,1,"")</f>
        <v>1</v>
      </c>
      <c r="BE79" s="79" t="str">
        <f>REPLACE(INDEX(GroupVertices[Group],MATCH(Edges49[[#This Row],[Vertex 2]],GroupVertices[Vertex],0)),1,1,"")</f>
        <v>1</v>
      </c>
      <c r="BF79" s="49"/>
      <c r="BG79" s="50"/>
      <c r="BH79" s="49"/>
      <c r="BI79" s="50"/>
      <c r="BJ79" s="49"/>
      <c r="BK79" s="50"/>
      <c r="BL79" s="49"/>
      <c r="BM79" s="50"/>
      <c r="BN79" s="49"/>
    </row>
    <row r="80" spans="1:66" ht="15">
      <c r="A80" s="65" t="s">
        <v>557</v>
      </c>
      <c r="B80" s="65" t="s">
        <v>559</v>
      </c>
      <c r="C80" s="66"/>
      <c r="D80" s="67"/>
      <c r="E80" s="66"/>
      <c r="F80" s="69"/>
      <c r="G80" s="66"/>
      <c r="H80" s="70"/>
      <c r="I80" s="71"/>
      <c r="J80" s="71"/>
      <c r="K80" s="35" t="s">
        <v>65</v>
      </c>
      <c r="L80" s="72">
        <v>80</v>
      </c>
      <c r="M80" s="72"/>
      <c r="N80" s="73"/>
      <c r="O80" s="80" t="s">
        <v>263</v>
      </c>
      <c r="P80" s="82">
        <v>44692.5359837963</v>
      </c>
      <c r="Q80" s="80" t="s">
        <v>581</v>
      </c>
      <c r="R80" s="80"/>
      <c r="S80" s="80"/>
      <c r="T80" s="80"/>
      <c r="U80" s="83" t="str">
        <f>HYPERLINK("https://pbs.twimg.com/ext_tw_video_thumb/1524368758437216256/pu/img/3UwSYL_0rta3dEGi.jpg")</f>
        <v>https://pbs.twimg.com/ext_tw_video_thumb/1524368758437216256/pu/img/3UwSYL_0rta3dEGi.jpg</v>
      </c>
      <c r="V80" s="83" t="str">
        <f>HYPERLINK("https://pbs.twimg.com/ext_tw_video_thumb/1524368758437216256/pu/img/3UwSYL_0rta3dEGi.jpg")</f>
        <v>https://pbs.twimg.com/ext_tw_video_thumb/1524368758437216256/pu/img/3UwSYL_0rta3dEGi.jpg</v>
      </c>
      <c r="W80" s="82">
        <v>44692.5359837963</v>
      </c>
      <c r="X80" s="87">
        <v>44692</v>
      </c>
      <c r="Y80" s="85" t="s">
        <v>631</v>
      </c>
      <c r="Z80" s="83" t="str">
        <f>HYPERLINK("https://twitter.com/kulbir51059784/status/1524371701240598528")</f>
        <v>https://twitter.com/kulbir51059784/status/1524371701240598528</v>
      </c>
      <c r="AA80" s="80"/>
      <c r="AB80" s="80"/>
      <c r="AC80" s="85" t="s">
        <v>685</v>
      </c>
      <c r="AD80" s="80"/>
      <c r="AE80" s="80" t="b">
        <v>0</v>
      </c>
      <c r="AF80" s="80">
        <v>0</v>
      </c>
      <c r="AG80" s="85" t="s">
        <v>267</v>
      </c>
      <c r="AH80" s="80" t="b">
        <v>0</v>
      </c>
      <c r="AI80" s="80" t="s">
        <v>268</v>
      </c>
      <c r="AJ80" s="80"/>
      <c r="AK80" s="85" t="s">
        <v>267</v>
      </c>
      <c r="AL80" s="80" t="b">
        <v>0</v>
      </c>
      <c r="AM80" s="80">
        <v>16</v>
      </c>
      <c r="AN80" s="85" t="s">
        <v>698</v>
      </c>
      <c r="AO80" s="85" t="s">
        <v>272</v>
      </c>
      <c r="AP80" s="80" t="b">
        <v>0</v>
      </c>
      <c r="AQ80" s="85" t="s">
        <v>698</v>
      </c>
      <c r="AR80" s="80" t="s">
        <v>218</v>
      </c>
      <c r="AS80" s="80">
        <v>0</v>
      </c>
      <c r="AT80" s="80">
        <v>0</v>
      </c>
      <c r="AU80" s="80"/>
      <c r="AV80" s="80"/>
      <c r="AW80" s="80"/>
      <c r="AX80" s="80"/>
      <c r="AY80" s="80"/>
      <c r="AZ80" s="80"/>
      <c r="BA80" s="80"/>
      <c r="BB80" s="80"/>
      <c r="BC80" s="80">
        <v>4</v>
      </c>
      <c r="BD80" s="79" t="str">
        <f>REPLACE(INDEX(GroupVertices[Group],MATCH(Edges49[[#This Row],[Vertex 1]],GroupVertices[Vertex],0)),1,1,"")</f>
        <v>1</v>
      </c>
      <c r="BE80" s="79" t="str">
        <f>REPLACE(INDEX(GroupVertices[Group],MATCH(Edges49[[#This Row],[Vertex 2]],GroupVertices[Vertex],0)),1,1,"")</f>
        <v>2</v>
      </c>
      <c r="BF80" s="49">
        <v>0</v>
      </c>
      <c r="BG80" s="50">
        <v>0</v>
      </c>
      <c r="BH80" s="49">
        <v>2</v>
      </c>
      <c r="BI80" s="50">
        <v>4.651162790697675</v>
      </c>
      <c r="BJ80" s="49">
        <v>0</v>
      </c>
      <c r="BK80" s="50">
        <v>0</v>
      </c>
      <c r="BL80" s="49">
        <v>41</v>
      </c>
      <c r="BM80" s="50">
        <v>95.34883720930233</v>
      </c>
      <c r="BN80" s="49">
        <v>43</v>
      </c>
    </row>
    <row r="81" spans="1:66" ht="15">
      <c r="A81" s="65" t="s">
        <v>557</v>
      </c>
      <c r="B81" s="65" t="s">
        <v>562</v>
      </c>
      <c r="C81" s="66"/>
      <c r="D81" s="67"/>
      <c r="E81" s="66"/>
      <c r="F81" s="69"/>
      <c r="G81" s="66"/>
      <c r="H81" s="70"/>
      <c r="I81" s="71"/>
      <c r="J81" s="71"/>
      <c r="K81" s="35" t="s">
        <v>65</v>
      </c>
      <c r="L81" s="72">
        <v>81</v>
      </c>
      <c r="M81" s="72"/>
      <c r="N81" s="73"/>
      <c r="O81" s="80" t="s">
        <v>263</v>
      </c>
      <c r="P81" s="82">
        <v>44695.248194444444</v>
      </c>
      <c r="Q81" s="80" t="s">
        <v>583</v>
      </c>
      <c r="R81" s="80"/>
      <c r="S81" s="80"/>
      <c r="T81" s="80"/>
      <c r="U81" s="80"/>
      <c r="V81" s="83" t="str">
        <f>HYPERLINK("https://pbs.twimg.com/profile_images/1495241009025806336/2f7q23Cn_normal.jpg")</f>
        <v>https://pbs.twimg.com/profile_images/1495241009025806336/2f7q23Cn_normal.jpg</v>
      </c>
      <c r="W81" s="82">
        <v>44695.248194444444</v>
      </c>
      <c r="X81" s="87">
        <v>44695</v>
      </c>
      <c r="Y81" s="85" t="s">
        <v>632</v>
      </c>
      <c r="Z81" s="83" t="str">
        <f>HYPERLINK("https://twitter.com/kulbir51059784/status/1525354574462083073")</f>
        <v>https://twitter.com/kulbir51059784/status/1525354574462083073</v>
      </c>
      <c r="AA81" s="80"/>
      <c r="AB81" s="80"/>
      <c r="AC81" s="85" t="s">
        <v>686</v>
      </c>
      <c r="AD81" s="80"/>
      <c r="AE81" s="80" t="b">
        <v>0</v>
      </c>
      <c r="AF81" s="80">
        <v>0</v>
      </c>
      <c r="AG81" s="85" t="s">
        <v>267</v>
      </c>
      <c r="AH81" s="80" t="b">
        <v>0</v>
      </c>
      <c r="AI81" s="80" t="s">
        <v>268</v>
      </c>
      <c r="AJ81" s="80"/>
      <c r="AK81" s="85" t="s">
        <v>267</v>
      </c>
      <c r="AL81" s="80" t="b">
        <v>0</v>
      </c>
      <c r="AM81" s="80">
        <v>3</v>
      </c>
      <c r="AN81" s="85" t="s">
        <v>702</v>
      </c>
      <c r="AO81" s="85" t="s">
        <v>272</v>
      </c>
      <c r="AP81" s="80" t="b">
        <v>0</v>
      </c>
      <c r="AQ81" s="85" t="s">
        <v>702</v>
      </c>
      <c r="AR81" s="80" t="s">
        <v>218</v>
      </c>
      <c r="AS81" s="80">
        <v>0</v>
      </c>
      <c r="AT81" s="80">
        <v>0</v>
      </c>
      <c r="AU81" s="80"/>
      <c r="AV81" s="80"/>
      <c r="AW81" s="80"/>
      <c r="AX81" s="80"/>
      <c r="AY81" s="80"/>
      <c r="AZ81" s="80"/>
      <c r="BA81" s="80"/>
      <c r="BB81" s="80"/>
      <c r="BC81" s="80">
        <v>2</v>
      </c>
      <c r="BD81" s="79" t="str">
        <f>REPLACE(INDEX(GroupVertices[Group],MATCH(Edges49[[#This Row],[Vertex 1]],GroupVertices[Vertex],0)),1,1,"")</f>
        <v>1</v>
      </c>
      <c r="BE81" s="79" t="str">
        <f>REPLACE(INDEX(GroupVertices[Group],MATCH(Edges49[[#This Row],[Vertex 2]],GroupVertices[Vertex],0)),1,1,"")</f>
        <v>1</v>
      </c>
      <c r="BF81" s="49">
        <v>0</v>
      </c>
      <c r="BG81" s="50">
        <v>0</v>
      </c>
      <c r="BH81" s="49">
        <v>2</v>
      </c>
      <c r="BI81" s="50">
        <v>6.666666666666667</v>
      </c>
      <c r="BJ81" s="49">
        <v>0</v>
      </c>
      <c r="BK81" s="50">
        <v>0</v>
      </c>
      <c r="BL81" s="49">
        <v>28</v>
      </c>
      <c r="BM81" s="50">
        <v>93.33333333333333</v>
      </c>
      <c r="BN81" s="49">
        <v>30</v>
      </c>
    </row>
    <row r="82" spans="1:66" ht="15">
      <c r="A82" s="65" t="s">
        <v>557</v>
      </c>
      <c r="B82" s="65" t="s">
        <v>559</v>
      </c>
      <c r="C82" s="66"/>
      <c r="D82" s="67"/>
      <c r="E82" s="66"/>
      <c r="F82" s="69"/>
      <c r="G82" s="66"/>
      <c r="H82" s="70"/>
      <c r="I82" s="71"/>
      <c r="J82" s="71"/>
      <c r="K82" s="35" t="s">
        <v>65</v>
      </c>
      <c r="L82" s="72">
        <v>82</v>
      </c>
      <c r="M82" s="72"/>
      <c r="N82" s="73"/>
      <c r="O82" s="80" t="s">
        <v>262</v>
      </c>
      <c r="P82" s="82">
        <v>44695.248194444444</v>
      </c>
      <c r="Q82" s="80" t="s">
        <v>583</v>
      </c>
      <c r="R82" s="80"/>
      <c r="S82" s="80"/>
      <c r="T82" s="80"/>
      <c r="U82" s="80"/>
      <c r="V82" s="83" t="str">
        <f>HYPERLINK("https://pbs.twimg.com/profile_images/1495241009025806336/2f7q23Cn_normal.jpg")</f>
        <v>https://pbs.twimg.com/profile_images/1495241009025806336/2f7q23Cn_normal.jpg</v>
      </c>
      <c r="W82" s="82">
        <v>44695.248194444444</v>
      </c>
      <c r="X82" s="87">
        <v>44695</v>
      </c>
      <c r="Y82" s="85" t="s">
        <v>632</v>
      </c>
      <c r="Z82" s="83" t="str">
        <f>HYPERLINK("https://twitter.com/kulbir51059784/status/1525354574462083073")</f>
        <v>https://twitter.com/kulbir51059784/status/1525354574462083073</v>
      </c>
      <c r="AA82" s="80"/>
      <c r="AB82" s="80"/>
      <c r="AC82" s="85" t="s">
        <v>686</v>
      </c>
      <c r="AD82" s="80"/>
      <c r="AE82" s="80" t="b">
        <v>0</v>
      </c>
      <c r="AF82" s="80">
        <v>0</v>
      </c>
      <c r="AG82" s="85" t="s">
        <v>267</v>
      </c>
      <c r="AH82" s="80" t="b">
        <v>0</v>
      </c>
      <c r="AI82" s="80" t="s">
        <v>268</v>
      </c>
      <c r="AJ82" s="80"/>
      <c r="AK82" s="85" t="s">
        <v>267</v>
      </c>
      <c r="AL82" s="80" t="b">
        <v>0</v>
      </c>
      <c r="AM82" s="80">
        <v>3</v>
      </c>
      <c r="AN82" s="85" t="s">
        <v>702</v>
      </c>
      <c r="AO82" s="85" t="s">
        <v>272</v>
      </c>
      <c r="AP82" s="80" t="b">
        <v>0</v>
      </c>
      <c r="AQ82" s="85" t="s">
        <v>702</v>
      </c>
      <c r="AR82" s="80" t="s">
        <v>218</v>
      </c>
      <c r="AS82" s="80">
        <v>0</v>
      </c>
      <c r="AT82" s="80">
        <v>0</v>
      </c>
      <c r="AU82" s="80"/>
      <c r="AV82" s="80"/>
      <c r="AW82" s="80"/>
      <c r="AX82" s="80"/>
      <c r="AY82" s="80"/>
      <c r="AZ82" s="80"/>
      <c r="BA82" s="80"/>
      <c r="BB82" s="80"/>
      <c r="BC82" s="80">
        <v>4</v>
      </c>
      <c r="BD82" s="79" t="str">
        <f>REPLACE(INDEX(GroupVertices[Group],MATCH(Edges49[[#This Row],[Vertex 1]],GroupVertices[Vertex],0)),1,1,"")</f>
        <v>1</v>
      </c>
      <c r="BE82" s="79" t="str">
        <f>REPLACE(INDEX(GroupVertices[Group],MATCH(Edges49[[#This Row],[Vertex 2]],GroupVertices[Vertex],0)),1,1,"")</f>
        <v>2</v>
      </c>
      <c r="BF82" s="49"/>
      <c r="BG82" s="50"/>
      <c r="BH82" s="49"/>
      <c r="BI82" s="50"/>
      <c r="BJ82" s="49"/>
      <c r="BK82" s="50"/>
      <c r="BL82" s="49"/>
      <c r="BM82" s="50"/>
      <c r="BN82" s="49"/>
    </row>
    <row r="83" spans="1:66" ht="15">
      <c r="A83" s="65" t="s">
        <v>557</v>
      </c>
      <c r="B83" s="65" t="s">
        <v>562</v>
      </c>
      <c r="C83" s="66"/>
      <c r="D83" s="67"/>
      <c r="E83" s="66"/>
      <c r="F83" s="69"/>
      <c r="G83" s="66"/>
      <c r="H83" s="70"/>
      <c r="I83" s="71"/>
      <c r="J83" s="71"/>
      <c r="K83" s="35" t="s">
        <v>65</v>
      </c>
      <c r="L83" s="72">
        <v>83</v>
      </c>
      <c r="M83" s="72"/>
      <c r="N83" s="73"/>
      <c r="O83" s="80" t="s">
        <v>263</v>
      </c>
      <c r="P83" s="82">
        <v>44695.24826388889</v>
      </c>
      <c r="Q83" s="80" t="s">
        <v>584</v>
      </c>
      <c r="R83" s="80"/>
      <c r="S83" s="80"/>
      <c r="T83" s="80"/>
      <c r="U83" s="80"/>
      <c r="V83" s="83" t="str">
        <f>HYPERLINK("https://pbs.twimg.com/profile_images/1495241009025806336/2f7q23Cn_normal.jpg")</f>
        <v>https://pbs.twimg.com/profile_images/1495241009025806336/2f7q23Cn_normal.jpg</v>
      </c>
      <c r="W83" s="82">
        <v>44695.24826388889</v>
      </c>
      <c r="X83" s="87">
        <v>44695</v>
      </c>
      <c r="Y83" s="85" t="s">
        <v>633</v>
      </c>
      <c r="Z83" s="83" t="str">
        <f>HYPERLINK("https://twitter.com/kulbir51059784/status/1525354596113084416")</f>
        <v>https://twitter.com/kulbir51059784/status/1525354596113084416</v>
      </c>
      <c r="AA83" s="80"/>
      <c r="AB83" s="80"/>
      <c r="AC83" s="85" t="s">
        <v>687</v>
      </c>
      <c r="AD83" s="80"/>
      <c r="AE83" s="80" t="b">
        <v>0</v>
      </c>
      <c r="AF83" s="80">
        <v>0</v>
      </c>
      <c r="AG83" s="85" t="s">
        <v>267</v>
      </c>
      <c r="AH83" s="80" t="b">
        <v>0</v>
      </c>
      <c r="AI83" s="80" t="s">
        <v>268</v>
      </c>
      <c r="AJ83" s="80"/>
      <c r="AK83" s="85" t="s">
        <v>267</v>
      </c>
      <c r="AL83" s="80" t="b">
        <v>0</v>
      </c>
      <c r="AM83" s="80">
        <v>2</v>
      </c>
      <c r="AN83" s="85" t="s">
        <v>701</v>
      </c>
      <c r="AO83" s="85" t="s">
        <v>272</v>
      </c>
      <c r="AP83" s="80" t="b">
        <v>0</v>
      </c>
      <c r="AQ83" s="85" t="s">
        <v>701</v>
      </c>
      <c r="AR83" s="80" t="s">
        <v>218</v>
      </c>
      <c r="AS83" s="80">
        <v>0</v>
      </c>
      <c r="AT83" s="80">
        <v>0</v>
      </c>
      <c r="AU83" s="80"/>
      <c r="AV83" s="80"/>
      <c r="AW83" s="80"/>
      <c r="AX83" s="80"/>
      <c r="AY83" s="80"/>
      <c r="AZ83" s="80"/>
      <c r="BA83" s="80"/>
      <c r="BB83" s="80"/>
      <c r="BC83" s="80">
        <v>2</v>
      </c>
      <c r="BD83" s="79" t="str">
        <f>REPLACE(INDEX(GroupVertices[Group],MATCH(Edges49[[#This Row],[Vertex 1]],GroupVertices[Vertex],0)),1,1,"")</f>
        <v>1</v>
      </c>
      <c r="BE83" s="79" t="str">
        <f>REPLACE(INDEX(GroupVertices[Group],MATCH(Edges49[[#This Row],[Vertex 2]],GroupVertices[Vertex],0)),1,1,"")</f>
        <v>1</v>
      </c>
      <c r="BF83" s="49">
        <v>0</v>
      </c>
      <c r="BG83" s="50">
        <v>0</v>
      </c>
      <c r="BH83" s="49">
        <v>0</v>
      </c>
      <c r="BI83" s="50">
        <v>0</v>
      </c>
      <c r="BJ83" s="49">
        <v>0</v>
      </c>
      <c r="BK83" s="50">
        <v>0</v>
      </c>
      <c r="BL83" s="49">
        <v>8</v>
      </c>
      <c r="BM83" s="50">
        <v>100</v>
      </c>
      <c r="BN83" s="49">
        <v>8</v>
      </c>
    </row>
    <row r="84" spans="1:66" ht="15">
      <c r="A84" s="65" t="s">
        <v>557</v>
      </c>
      <c r="B84" s="65" t="s">
        <v>559</v>
      </c>
      <c r="C84" s="66"/>
      <c r="D84" s="67"/>
      <c r="E84" s="66"/>
      <c r="F84" s="69"/>
      <c r="G84" s="66"/>
      <c r="H84" s="70"/>
      <c r="I84" s="71"/>
      <c r="J84" s="71"/>
      <c r="K84" s="35" t="s">
        <v>65</v>
      </c>
      <c r="L84" s="72">
        <v>84</v>
      </c>
      <c r="M84" s="72"/>
      <c r="N84" s="73"/>
      <c r="O84" s="80" t="s">
        <v>262</v>
      </c>
      <c r="P84" s="82">
        <v>44695.24826388889</v>
      </c>
      <c r="Q84" s="80" t="s">
        <v>584</v>
      </c>
      <c r="R84" s="80"/>
      <c r="S84" s="80"/>
      <c r="T84" s="80"/>
      <c r="U84" s="80"/>
      <c r="V84" s="83" t="str">
        <f>HYPERLINK("https://pbs.twimg.com/profile_images/1495241009025806336/2f7q23Cn_normal.jpg")</f>
        <v>https://pbs.twimg.com/profile_images/1495241009025806336/2f7q23Cn_normal.jpg</v>
      </c>
      <c r="W84" s="82">
        <v>44695.24826388889</v>
      </c>
      <c r="X84" s="87">
        <v>44695</v>
      </c>
      <c r="Y84" s="85" t="s">
        <v>633</v>
      </c>
      <c r="Z84" s="83" t="str">
        <f>HYPERLINK("https://twitter.com/kulbir51059784/status/1525354596113084416")</f>
        <v>https://twitter.com/kulbir51059784/status/1525354596113084416</v>
      </c>
      <c r="AA84" s="80"/>
      <c r="AB84" s="80"/>
      <c r="AC84" s="85" t="s">
        <v>687</v>
      </c>
      <c r="AD84" s="80"/>
      <c r="AE84" s="80" t="b">
        <v>0</v>
      </c>
      <c r="AF84" s="80">
        <v>0</v>
      </c>
      <c r="AG84" s="85" t="s">
        <v>267</v>
      </c>
      <c r="AH84" s="80" t="b">
        <v>0</v>
      </c>
      <c r="AI84" s="80" t="s">
        <v>268</v>
      </c>
      <c r="AJ84" s="80"/>
      <c r="AK84" s="85" t="s">
        <v>267</v>
      </c>
      <c r="AL84" s="80" t="b">
        <v>0</v>
      </c>
      <c r="AM84" s="80">
        <v>2</v>
      </c>
      <c r="AN84" s="85" t="s">
        <v>701</v>
      </c>
      <c r="AO84" s="85" t="s">
        <v>272</v>
      </c>
      <c r="AP84" s="80" t="b">
        <v>0</v>
      </c>
      <c r="AQ84" s="85" t="s">
        <v>701</v>
      </c>
      <c r="AR84" s="80" t="s">
        <v>218</v>
      </c>
      <c r="AS84" s="80">
        <v>0</v>
      </c>
      <c r="AT84" s="80">
        <v>0</v>
      </c>
      <c r="AU84" s="80"/>
      <c r="AV84" s="80"/>
      <c r="AW84" s="80"/>
      <c r="AX84" s="80"/>
      <c r="AY84" s="80"/>
      <c r="AZ84" s="80"/>
      <c r="BA84" s="80"/>
      <c r="BB84" s="80"/>
      <c r="BC84" s="80">
        <v>4</v>
      </c>
      <c r="BD84" s="79" t="str">
        <f>REPLACE(INDEX(GroupVertices[Group],MATCH(Edges49[[#This Row],[Vertex 1]],GroupVertices[Vertex],0)),1,1,"")</f>
        <v>1</v>
      </c>
      <c r="BE84" s="79" t="str">
        <f>REPLACE(INDEX(GroupVertices[Group],MATCH(Edges49[[#This Row],[Vertex 2]],GroupVertices[Vertex],0)),1,1,"")</f>
        <v>2</v>
      </c>
      <c r="BF84" s="49"/>
      <c r="BG84" s="50"/>
      <c r="BH84" s="49"/>
      <c r="BI84" s="50"/>
      <c r="BJ84" s="49"/>
      <c r="BK84" s="50"/>
      <c r="BL84" s="49"/>
      <c r="BM84" s="50"/>
      <c r="BN84" s="49"/>
    </row>
    <row r="85" spans="1:66" ht="15">
      <c r="A85" s="65" t="s">
        <v>558</v>
      </c>
      <c r="B85" s="65" t="s">
        <v>519</v>
      </c>
      <c r="C85" s="66"/>
      <c r="D85" s="67"/>
      <c r="E85" s="66"/>
      <c r="F85" s="69"/>
      <c r="G85" s="66"/>
      <c r="H85" s="70"/>
      <c r="I85" s="71"/>
      <c r="J85" s="71"/>
      <c r="K85" s="35" t="s">
        <v>65</v>
      </c>
      <c r="L85" s="72">
        <v>85</v>
      </c>
      <c r="M85" s="72"/>
      <c r="N85" s="73"/>
      <c r="O85" s="80" t="s">
        <v>264</v>
      </c>
      <c r="P85" s="82">
        <v>44692.20413194445</v>
      </c>
      <c r="Q85" s="80" t="s">
        <v>580</v>
      </c>
      <c r="R85" s="80"/>
      <c r="S85" s="80"/>
      <c r="T85" s="85" t="s">
        <v>596</v>
      </c>
      <c r="U85" s="83" t="str">
        <f>HYPERLINK("https://pbs.twimg.com/media/FSc09v5aQAAY6bm.jpg")</f>
        <v>https://pbs.twimg.com/media/FSc09v5aQAAY6bm.jpg</v>
      </c>
      <c r="V85" s="83" t="str">
        <f>HYPERLINK("https://pbs.twimg.com/media/FSc09v5aQAAY6bm.jpg")</f>
        <v>https://pbs.twimg.com/media/FSc09v5aQAAY6bm.jpg</v>
      </c>
      <c r="W85" s="82">
        <v>44692.20413194445</v>
      </c>
      <c r="X85" s="87">
        <v>44692</v>
      </c>
      <c r="Y85" s="85" t="s">
        <v>634</v>
      </c>
      <c r="Z85" s="83" t="str">
        <f>HYPERLINK("https://twitter.com/hargurpreetkau4/status/1524251440260460544")</f>
        <v>https://twitter.com/hargurpreetkau4/status/1524251440260460544</v>
      </c>
      <c r="AA85" s="80"/>
      <c r="AB85" s="80"/>
      <c r="AC85" s="85" t="s">
        <v>688</v>
      </c>
      <c r="AD85" s="80"/>
      <c r="AE85" s="80" t="b">
        <v>0</v>
      </c>
      <c r="AF85" s="80">
        <v>0</v>
      </c>
      <c r="AG85" s="85" t="s">
        <v>267</v>
      </c>
      <c r="AH85" s="80" t="b">
        <v>0</v>
      </c>
      <c r="AI85" s="80" t="s">
        <v>268</v>
      </c>
      <c r="AJ85" s="80"/>
      <c r="AK85" s="85" t="s">
        <v>267</v>
      </c>
      <c r="AL85" s="80" t="b">
        <v>0</v>
      </c>
      <c r="AM85" s="80">
        <v>19</v>
      </c>
      <c r="AN85" s="85" t="s">
        <v>696</v>
      </c>
      <c r="AO85" s="85" t="s">
        <v>272</v>
      </c>
      <c r="AP85" s="80" t="b">
        <v>0</v>
      </c>
      <c r="AQ85" s="85" t="s">
        <v>696</v>
      </c>
      <c r="AR85" s="80" t="s">
        <v>218</v>
      </c>
      <c r="AS85" s="80">
        <v>0</v>
      </c>
      <c r="AT85" s="80">
        <v>0</v>
      </c>
      <c r="AU85" s="80"/>
      <c r="AV85" s="80"/>
      <c r="AW85" s="80"/>
      <c r="AX85" s="80"/>
      <c r="AY85" s="80"/>
      <c r="AZ85" s="80"/>
      <c r="BA85" s="80"/>
      <c r="BB85" s="80"/>
      <c r="BC85" s="80">
        <v>2</v>
      </c>
      <c r="BD85" s="79" t="str">
        <f>REPLACE(INDEX(GroupVertices[Group],MATCH(Edges49[[#This Row],[Vertex 1]],GroupVertices[Vertex],0)),1,1,"")</f>
        <v>1</v>
      </c>
      <c r="BE85" s="79" t="str">
        <f>REPLACE(INDEX(GroupVertices[Group],MATCH(Edges49[[#This Row],[Vertex 2]],GroupVertices[Vertex],0)),1,1,"")</f>
        <v>1</v>
      </c>
      <c r="BF85" s="49"/>
      <c r="BG85" s="50"/>
      <c r="BH85" s="49"/>
      <c r="BI85" s="50"/>
      <c r="BJ85" s="49"/>
      <c r="BK85" s="50"/>
      <c r="BL85" s="49"/>
      <c r="BM85" s="50"/>
      <c r="BN85" s="49"/>
    </row>
    <row r="86" spans="1:66" ht="15">
      <c r="A86" s="65" t="s">
        <v>558</v>
      </c>
      <c r="B86" s="65" t="s">
        <v>258</v>
      </c>
      <c r="C86" s="66"/>
      <c r="D86" s="67"/>
      <c r="E86" s="66"/>
      <c r="F86" s="69"/>
      <c r="G86" s="66"/>
      <c r="H86" s="70"/>
      <c r="I86" s="71"/>
      <c r="J86" s="71"/>
      <c r="K86" s="35" t="s">
        <v>65</v>
      </c>
      <c r="L86" s="72">
        <v>86</v>
      </c>
      <c r="M86" s="72"/>
      <c r="N86" s="73"/>
      <c r="O86" s="80" t="s">
        <v>264</v>
      </c>
      <c r="P86" s="82">
        <v>44692.20413194445</v>
      </c>
      <c r="Q86" s="80" t="s">
        <v>580</v>
      </c>
      <c r="R86" s="80"/>
      <c r="S86" s="80"/>
      <c r="T86" s="85" t="s">
        <v>596</v>
      </c>
      <c r="U86" s="83" t="str">
        <f>HYPERLINK("https://pbs.twimg.com/media/FSc09v5aQAAY6bm.jpg")</f>
        <v>https://pbs.twimg.com/media/FSc09v5aQAAY6bm.jpg</v>
      </c>
      <c r="V86" s="83" t="str">
        <f>HYPERLINK("https://pbs.twimg.com/media/FSc09v5aQAAY6bm.jpg")</f>
        <v>https://pbs.twimg.com/media/FSc09v5aQAAY6bm.jpg</v>
      </c>
      <c r="W86" s="82">
        <v>44692.20413194445</v>
      </c>
      <c r="X86" s="87">
        <v>44692</v>
      </c>
      <c r="Y86" s="85" t="s">
        <v>634</v>
      </c>
      <c r="Z86" s="83" t="str">
        <f>HYPERLINK("https://twitter.com/hargurpreetkau4/status/1524251440260460544")</f>
        <v>https://twitter.com/hargurpreetkau4/status/1524251440260460544</v>
      </c>
      <c r="AA86" s="80"/>
      <c r="AB86" s="80"/>
      <c r="AC86" s="85" t="s">
        <v>688</v>
      </c>
      <c r="AD86" s="80"/>
      <c r="AE86" s="80" t="b">
        <v>0</v>
      </c>
      <c r="AF86" s="80">
        <v>0</v>
      </c>
      <c r="AG86" s="85" t="s">
        <v>267</v>
      </c>
      <c r="AH86" s="80" t="b">
        <v>0</v>
      </c>
      <c r="AI86" s="80" t="s">
        <v>268</v>
      </c>
      <c r="AJ86" s="80"/>
      <c r="AK86" s="85" t="s">
        <v>267</v>
      </c>
      <c r="AL86" s="80" t="b">
        <v>0</v>
      </c>
      <c r="AM86" s="80">
        <v>19</v>
      </c>
      <c r="AN86" s="85" t="s">
        <v>696</v>
      </c>
      <c r="AO86" s="85" t="s">
        <v>272</v>
      </c>
      <c r="AP86" s="80" t="b">
        <v>0</v>
      </c>
      <c r="AQ86" s="85" t="s">
        <v>696</v>
      </c>
      <c r="AR86" s="80" t="s">
        <v>218</v>
      </c>
      <c r="AS86" s="80">
        <v>0</v>
      </c>
      <c r="AT86" s="80">
        <v>0</v>
      </c>
      <c r="AU86" s="80"/>
      <c r="AV86" s="80"/>
      <c r="AW86" s="80"/>
      <c r="AX86" s="80"/>
      <c r="AY86" s="80"/>
      <c r="AZ86" s="80"/>
      <c r="BA86" s="80"/>
      <c r="BB86" s="80"/>
      <c r="BC86" s="80">
        <v>1</v>
      </c>
      <c r="BD86" s="79" t="str">
        <f>REPLACE(INDEX(GroupVertices[Group],MATCH(Edges49[[#This Row],[Vertex 1]],GroupVertices[Vertex],0)),1,1,"")</f>
        <v>1</v>
      </c>
      <c r="BE86" s="79" t="str">
        <f>REPLACE(INDEX(GroupVertices[Group],MATCH(Edges49[[#This Row],[Vertex 2]],GroupVertices[Vertex],0)),1,1,"")</f>
        <v>1</v>
      </c>
      <c r="BF86" s="49"/>
      <c r="BG86" s="50"/>
      <c r="BH86" s="49"/>
      <c r="BI86" s="50"/>
      <c r="BJ86" s="49"/>
      <c r="BK86" s="50"/>
      <c r="BL86" s="49"/>
      <c r="BM86" s="50"/>
      <c r="BN86" s="49"/>
    </row>
    <row r="87" spans="1:66" ht="15">
      <c r="A87" s="65" t="s">
        <v>558</v>
      </c>
      <c r="B87" s="65" t="s">
        <v>559</v>
      </c>
      <c r="C87" s="66"/>
      <c r="D87" s="67"/>
      <c r="E87" s="66"/>
      <c r="F87" s="69"/>
      <c r="G87" s="66"/>
      <c r="H87" s="70"/>
      <c r="I87" s="71"/>
      <c r="J87" s="71"/>
      <c r="K87" s="35" t="s">
        <v>65</v>
      </c>
      <c r="L87" s="72">
        <v>87</v>
      </c>
      <c r="M87" s="72"/>
      <c r="N87" s="73"/>
      <c r="O87" s="80" t="s">
        <v>263</v>
      </c>
      <c r="P87" s="82">
        <v>44692.20413194445</v>
      </c>
      <c r="Q87" s="80" t="s">
        <v>580</v>
      </c>
      <c r="R87" s="80"/>
      <c r="S87" s="80"/>
      <c r="T87" s="85" t="s">
        <v>596</v>
      </c>
      <c r="U87" s="83" t="str">
        <f>HYPERLINK("https://pbs.twimg.com/media/FSc09v5aQAAY6bm.jpg")</f>
        <v>https://pbs.twimg.com/media/FSc09v5aQAAY6bm.jpg</v>
      </c>
      <c r="V87" s="83" t="str">
        <f>HYPERLINK("https://pbs.twimg.com/media/FSc09v5aQAAY6bm.jpg")</f>
        <v>https://pbs.twimg.com/media/FSc09v5aQAAY6bm.jpg</v>
      </c>
      <c r="W87" s="82">
        <v>44692.20413194445</v>
      </c>
      <c r="X87" s="87">
        <v>44692</v>
      </c>
      <c r="Y87" s="85" t="s">
        <v>634</v>
      </c>
      <c r="Z87" s="83" t="str">
        <f>HYPERLINK("https://twitter.com/hargurpreetkau4/status/1524251440260460544")</f>
        <v>https://twitter.com/hargurpreetkau4/status/1524251440260460544</v>
      </c>
      <c r="AA87" s="80"/>
      <c r="AB87" s="80"/>
      <c r="AC87" s="85" t="s">
        <v>688</v>
      </c>
      <c r="AD87" s="80"/>
      <c r="AE87" s="80" t="b">
        <v>0</v>
      </c>
      <c r="AF87" s="80">
        <v>0</v>
      </c>
      <c r="AG87" s="85" t="s">
        <v>267</v>
      </c>
      <c r="AH87" s="80" t="b">
        <v>0</v>
      </c>
      <c r="AI87" s="80" t="s">
        <v>268</v>
      </c>
      <c r="AJ87" s="80"/>
      <c r="AK87" s="85" t="s">
        <v>267</v>
      </c>
      <c r="AL87" s="80" t="b">
        <v>0</v>
      </c>
      <c r="AM87" s="80">
        <v>19</v>
      </c>
      <c r="AN87" s="85" t="s">
        <v>696</v>
      </c>
      <c r="AO87" s="85" t="s">
        <v>272</v>
      </c>
      <c r="AP87" s="80" t="b">
        <v>0</v>
      </c>
      <c r="AQ87" s="85" t="s">
        <v>696</v>
      </c>
      <c r="AR87" s="80" t="s">
        <v>218</v>
      </c>
      <c r="AS87" s="80">
        <v>0</v>
      </c>
      <c r="AT87" s="80">
        <v>0</v>
      </c>
      <c r="AU87" s="80"/>
      <c r="AV87" s="80"/>
      <c r="AW87" s="80"/>
      <c r="AX87" s="80"/>
      <c r="AY87" s="80"/>
      <c r="AZ87" s="80"/>
      <c r="BA87" s="80"/>
      <c r="BB87" s="80"/>
      <c r="BC87" s="80">
        <v>4</v>
      </c>
      <c r="BD87" s="79" t="str">
        <f>REPLACE(INDEX(GroupVertices[Group],MATCH(Edges49[[#This Row],[Vertex 1]],GroupVertices[Vertex],0)),1,1,"")</f>
        <v>1</v>
      </c>
      <c r="BE87" s="79" t="str">
        <f>REPLACE(INDEX(GroupVertices[Group],MATCH(Edges49[[#This Row],[Vertex 2]],GroupVertices[Vertex],0)),1,1,"")</f>
        <v>2</v>
      </c>
      <c r="BF87" s="49">
        <v>0</v>
      </c>
      <c r="BG87" s="50">
        <v>0</v>
      </c>
      <c r="BH87" s="49">
        <v>5</v>
      </c>
      <c r="BI87" s="50">
        <v>12.820512820512821</v>
      </c>
      <c r="BJ87" s="49">
        <v>0</v>
      </c>
      <c r="BK87" s="50">
        <v>0</v>
      </c>
      <c r="BL87" s="49">
        <v>34</v>
      </c>
      <c r="BM87" s="50">
        <v>87.17948717948718</v>
      </c>
      <c r="BN87" s="49">
        <v>39</v>
      </c>
    </row>
    <row r="88" spans="1:66" ht="15">
      <c r="A88" s="65" t="s">
        <v>558</v>
      </c>
      <c r="B88" s="65" t="s">
        <v>519</v>
      </c>
      <c r="C88" s="66"/>
      <c r="D88" s="67"/>
      <c r="E88" s="66"/>
      <c r="F88" s="69"/>
      <c r="G88" s="66"/>
      <c r="H88" s="70"/>
      <c r="I88" s="71"/>
      <c r="J88" s="71"/>
      <c r="K88" s="35" t="s">
        <v>65</v>
      </c>
      <c r="L88" s="72">
        <v>88</v>
      </c>
      <c r="M88" s="72"/>
      <c r="N88" s="73"/>
      <c r="O88" s="80" t="s">
        <v>264</v>
      </c>
      <c r="P88" s="82">
        <v>44693.37333333334</v>
      </c>
      <c r="Q88" s="80" t="s">
        <v>581</v>
      </c>
      <c r="R88" s="80"/>
      <c r="S88" s="80"/>
      <c r="T88" s="80"/>
      <c r="U88" s="83" t="str">
        <f>HYPERLINK("https://pbs.twimg.com/ext_tw_video_thumb/1524368758437216256/pu/img/3UwSYL_0rta3dEGi.jpg")</f>
        <v>https://pbs.twimg.com/ext_tw_video_thumb/1524368758437216256/pu/img/3UwSYL_0rta3dEGi.jpg</v>
      </c>
      <c r="V88" s="83" t="str">
        <f>HYPERLINK("https://pbs.twimg.com/ext_tw_video_thumb/1524368758437216256/pu/img/3UwSYL_0rta3dEGi.jpg")</f>
        <v>https://pbs.twimg.com/ext_tw_video_thumb/1524368758437216256/pu/img/3UwSYL_0rta3dEGi.jpg</v>
      </c>
      <c r="W88" s="82">
        <v>44693.37333333334</v>
      </c>
      <c r="X88" s="87">
        <v>44693</v>
      </c>
      <c r="Y88" s="85" t="s">
        <v>635</v>
      </c>
      <c r="Z88" s="83" t="str">
        <f>HYPERLINK("https://twitter.com/hargurpreetkau4/status/1524675147508031488")</f>
        <v>https://twitter.com/hargurpreetkau4/status/1524675147508031488</v>
      </c>
      <c r="AA88" s="80"/>
      <c r="AB88" s="80"/>
      <c r="AC88" s="85" t="s">
        <v>689</v>
      </c>
      <c r="AD88" s="80"/>
      <c r="AE88" s="80" t="b">
        <v>0</v>
      </c>
      <c r="AF88" s="80">
        <v>0</v>
      </c>
      <c r="AG88" s="85" t="s">
        <v>267</v>
      </c>
      <c r="AH88" s="80" t="b">
        <v>0</v>
      </c>
      <c r="AI88" s="80" t="s">
        <v>268</v>
      </c>
      <c r="AJ88" s="80"/>
      <c r="AK88" s="85" t="s">
        <v>267</v>
      </c>
      <c r="AL88" s="80" t="b">
        <v>0</v>
      </c>
      <c r="AM88" s="80">
        <v>16</v>
      </c>
      <c r="AN88" s="85" t="s">
        <v>698</v>
      </c>
      <c r="AO88" s="85" t="s">
        <v>272</v>
      </c>
      <c r="AP88" s="80" t="b">
        <v>0</v>
      </c>
      <c r="AQ88" s="85" t="s">
        <v>698</v>
      </c>
      <c r="AR88" s="80" t="s">
        <v>218</v>
      </c>
      <c r="AS88" s="80">
        <v>0</v>
      </c>
      <c r="AT88" s="80">
        <v>0</v>
      </c>
      <c r="AU88" s="80"/>
      <c r="AV88" s="80"/>
      <c r="AW88" s="80"/>
      <c r="AX88" s="80"/>
      <c r="AY88" s="80"/>
      <c r="AZ88" s="80"/>
      <c r="BA88" s="80"/>
      <c r="BB88" s="80"/>
      <c r="BC88" s="80">
        <v>2</v>
      </c>
      <c r="BD88" s="79" t="str">
        <f>REPLACE(INDEX(GroupVertices[Group],MATCH(Edges49[[#This Row],[Vertex 1]],GroupVertices[Vertex],0)),1,1,"")</f>
        <v>1</v>
      </c>
      <c r="BE88" s="79" t="str">
        <f>REPLACE(INDEX(GroupVertices[Group],MATCH(Edges49[[#This Row],[Vertex 2]],GroupVertices[Vertex],0)),1,1,"")</f>
        <v>1</v>
      </c>
      <c r="BF88" s="49"/>
      <c r="BG88" s="50"/>
      <c r="BH88" s="49"/>
      <c r="BI88" s="50"/>
      <c r="BJ88" s="49"/>
      <c r="BK88" s="50"/>
      <c r="BL88" s="49"/>
      <c r="BM88" s="50"/>
      <c r="BN88" s="49"/>
    </row>
    <row r="89" spans="1:66" ht="15">
      <c r="A89" s="65" t="s">
        <v>558</v>
      </c>
      <c r="B89" s="65" t="s">
        <v>559</v>
      </c>
      <c r="C89" s="66"/>
      <c r="D89" s="67"/>
      <c r="E89" s="66"/>
      <c r="F89" s="69"/>
      <c r="G89" s="66"/>
      <c r="H89" s="70"/>
      <c r="I89" s="71"/>
      <c r="J89" s="71"/>
      <c r="K89" s="35" t="s">
        <v>65</v>
      </c>
      <c r="L89" s="72">
        <v>89</v>
      </c>
      <c r="M89" s="72"/>
      <c r="N89" s="73"/>
      <c r="O89" s="80" t="s">
        <v>263</v>
      </c>
      <c r="P89" s="82">
        <v>44693.37333333334</v>
      </c>
      <c r="Q89" s="80" t="s">
        <v>581</v>
      </c>
      <c r="R89" s="80"/>
      <c r="S89" s="80"/>
      <c r="T89" s="80"/>
      <c r="U89" s="83" t="str">
        <f>HYPERLINK("https://pbs.twimg.com/ext_tw_video_thumb/1524368758437216256/pu/img/3UwSYL_0rta3dEGi.jpg")</f>
        <v>https://pbs.twimg.com/ext_tw_video_thumb/1524368758437216256/pu/img/3UwSYL_0rta3dEGi.jpg</v>
      </c>
      <c r="V89" s="83" t="str">
        <f>HYPERLINK("https://pbs.twimg.com/ext_tw_video_thumb/1524368758437216256/pu/img/3UwSYL_0rta3dEGi.jpg")</f>
        <v>https://pbs.twimg.com/ext_tw_video_thumb/1524368758437216256/pu/img/3UwSYL_0rta3dEGi.jpg</v>
      </c>
      <c r="W89" s="82">
        <v>44693.37333333334</v>
      </c>
      <c r="X89" s="87">
        <v>44693</v>
      </c>
      <c r="Y89" s="85" t="s">
        <v>635</v>
      </c>
      <c r="Z89" s="83" t="str">
        <f>HYPERLINK("https://twitter.com/hargurpreetkau4/status/1524675147508031488")</f>
        <v>https://twitter.com/hargurpreetkau4/status/1524675147508031488</v>
      </c>
      <c r="AA89" s="80"/>
      <c r="AB89" s="80"/>
      <c r="AC89" s="85" t="s">
        <v>689</v>
      </c>
      <c r="AD89" s="80"/>
      <c r="AE89" s="80" t="b">
        <v>0</v>
      </c>
      <c r="AF89" s="80">
        <v>0</v>
      </c>
      <c r="AG89" s="85" t="s">
        <v>267</v>
      </c>
      <c r="AH89" s="80" t="b">
        <v>0</v>
      </c>
      <c r="AI89" s="80" t="s">
        <v>268</v>
      </c>
      <c r="AJ89" s="80"/>
      <c r="AK89" s="85" t="s">
        <v>267</v>
      </c>
      <c r="AL89" s="80" t="b">
        <v>0</v>
      </c>
      <c r="AM89" s="80">
        <v>16</v>
      </c>
      <c r="AN89" s="85" t="s">
        <v>698</v>
      </c>
      <c r="AO89" s="85" t="s">
        <v>272</v>
      </c>
      <c r="AP89" s="80" t="b">
        <v>0</v>
      </c>
      <c r="AQ89" s="85" t="s">
        <v>698</v>
      </c>
      <c r="AR89" s="80" t="s">
        <v>218</v>
      </c>
      <c r="AS89" s="80">
        <v>0</v>
      </c>
      <c r="AT89" s="80">
        <v>0</v>
      </c>
      <c r="AU89" s="80"/>
      <c r="AV89" s="80"/>
      <c r="AW89" s="80"/>
      <c r="AX89" s="80"/>
      <c r="AY89" s="80"/>
      <c r="AZ89" s="80"/>
      <c r="BA89" s="80"/>
      <c r="BB89" s="80"/>
      <c r="BC89" s="80">
        <v>4</v>
      </c>
      <c r="BD89" s="79" t="str">
        <f>REPLACE(INDEX(GroupVertices[Group],MATCH(Edges49[[#This Row],[Vertex 1]],GroupVertices[Vertex],0)),1,1,"")</f>
        <v>1</v>
      </c>
      <c r="BE89" s="79" t="str">
        <f>REPLACE(INDEX(GroupVertices[Group],MATCH(Edges49[[#This Row],[Vertex 2]],GroupVertices[Vertex],0)),1,1,"")</f>
        <v>2</v>
      </c>
      <c r="BF89" s="49">
        <v>0</v>
      </c>
      <c r="BG89" s="50">
        <v>0</v>
      </c>
      <c r="BH89" s="49">
        <v>2</v>
      </c>
      <c r="BI89" s="50">
        <v>4.651162790697675</v>
      </c>
      <c r="BJ89" s="49">
        <v>0</v>
      </c>
      <c r="BK89" s="50">
        <v>0</v>
      </c>
      <c r="BL89" s="49">
        <v>41</v>
      </c>
      <c r="BM89" s="50">
        <v>95.34883720930233</v>
      </c>
      <c r="BN89" s="49">
        <v>43</v>
      </c>
    </row>
    <row r="90" spans="1:66" ht="15">
      <c r="A90" s="65" t="s">
        <v>558</v>
      </c>
      <c r="B90" s="65" t="s">
        <v>562</v>
      </c>
      <c r="C90" s="66"/>
      <c r="D90" s="67"/>
      <c r="E90" s="66"/>
      <c r="F90" s="69"/>
      <c r="G90" s="66"/>
      <c r="H90" s="70"/>
      <c r="I90" s="71"/>
      <c r="J90" s="71"/>
      <c r="K90" s="35" t="s">
        <v>65</v>
      </c>
      <c r="L90" s="72">
        <v>90</v>
      </c>
      <c r="M90" s="72"/>
      <c r="N90" s="73"/>
      <c r="O90" s="80" t="s">
        <v>263</v>
      </c>
      <c r="P90" s="82">
        <v>44695.29560185185</v>
      </c>
      <c r="Q90" s="80" t="s">
        <v>583</v>
      </c>
      <c r="R90" s="80"/>
      <c r="S90" s="80"/>
      <c r="T90" s="80"/>
      <c r="U90" s="80"/>
      <c r="V90" s="83" t="str">
        <f>HYPERLINK("https://abs.twimg.com/sticky/default_profile_images/default_profile_normal.png")</f>
        <v>https://abs.twimg.com/sticky/default_profile_images/default_profile_normal.png</v>
      </c>
      <c r="W90" s="82">
        <v>44695.29560185185</v>
      </c>
      <c r="X90" s="87">
        <v>44695</v>
      </c>
      <c r="Y90" s="85" t="s">
        <v>636</v>
      </c>
      <c r="Z90" s="83" t="str">
        <f>HYPERLINK("https://twitter.com/hargurpreetkau4/status/1525371752292880384")</f>
        <v>https://twitter.com/hargurpreetkau4/status/1525371752292880384</v>
      </c>
      <c r="AA90" s="80"/>
      <c r="AB90" s="80"/>
      <c r="AC90" s="85" t="s">
        <v>690</v>
      </c>
      <c r="AD90" s="80"/>
      <c r="AE90" s="80" t="b">
        <v>0</v>
      </c>
      <c r="AF90" s="80">
        <v>0</v>
      </c>
      <c r="AG90" s="85" t="s">
        <v>267</v>
      </c>
      <c r="AH90" s="80" t="b">
        <v>0</v>
      </c>
      <c r="AI90" s="80" t="s">
        <v>268</v>
      </c>
      <c r="AJ90" s="80"/>
      <c r="AK90" s="85" t="s">
        <v>267</v>
      </c>
      <c r="AL90" s="80" t="b">
        <v>0</v>
      </c>
      <c r="AM90" s="80">
        <v>3</v>
      </c>
      <c r="AN90" s="85" t="s">
        <v>702</v>
      </c>
      <c r="AO90" s="85" t="s">
        <v>272</v>
      </c>
      <c r="AP90" s="80" t="b">
        <v>0</v>
      </c>
      <c r="AQ90" s="85" t="s">
        <v>702</v>
      </c>
      <c r="AR90" s="80" t="s">
        <v>218</v>
      </c>
      <c r="AS90" s="80">
        <v>0</v>
      </c>
      <c r="AT90" s="80">
        <v>0</v>
      </c>
      <c r="AU90" s="80"/>
      <c r="AV90" s="80"/>
      <c r="AW90" s="80"/>
      <c r="AX90" s="80"/>
      <c r="AY90" s="80"/>
      <c r="AZ90" s="80"/>
      <c r="BA90" s="80"/>
      <c r="BB90" s="80"/>
      <c r="BC90" s="80">
        <v>2</v>
      </c>
      <c r="BD90" s="79" t="str">
        <f>REPLACE(INDEX(GroupVertices[Group],MATCH(Edges49[[#This Row],[Vertex 1]],GroupVertices[Vertex],0)),1,1,"")</f>
        <v>1</v>
      </c>
      <c r="BE90" s="79" t="str">
        <f>REPLACE(INDEX(GroupVertices[Group],MATCH(Edges49[[#This Row],[Vertex 2]],GroupVertices[Vertex],0)),1,1,"")</f>
        <v>1</v>
      </c>
      <c r="BF90" s="49"/>
      <c r="BG90" s="50"/>
      <c r="BH90" s="49"/>
      <c r="BI90" s="50"/>
      <c r="BJ90" s="49"/>
      <c r="BK90" s="50"/>
      <c r="BL90" s="49"/>
      <c r="BM90" s="50"/>
      <c r="BN90" s="49"/>
    </row>
    <row r="91" spans="1:66" ht="15">
      <c r="A91" s="65" t="s">
        <v>558</v>
      </c>
      <c r="B91" s="65" t="s">
        <v>559</v>
      </c>
      <c r="C91" s="66"/>
      <c r="D91" s="67"/>
      <c r="E91" s="66"/>
      <c r="F91" s="69"/>
      <c r="G91" s="66"/>
      <c r="H91" s="70"/>
      <c r="I91" s="71"/>
      <c r="J91" s="71"/>
      <c r="K91" s="35" t="s">
        <v>65</v>
      </c>
      <c r="L91" s="72">
        <v>91</v>
      </c>
      <c r="M91" s="72"/>
      <c r="N91" s="73"/>
      <c r="O91" s="80" t="s">
        <v>262</v>
      </c>
      <c r="P91" s="82">
        <v>44695.29560185185</v>
      </c>
      <c r="Q91" s="80" t="s">
        <v>583</v>
      </c>
      <c r="R91" s="80"/>
      <c r="S91" s="80"/>
      <c r="T91" s="80"/>
      <c r="U91" s="80"/>
      <c r="V91" s="83" t="str">
        <f>HYPERLINK("https://abs.twimg.com/sticky/default_profile_images/default_profile_normal.png")</f>
        <v>https://abs.twimg.com/sticky/default_profile_images/default_profile_normal.png</v>
      </c>
      <c r="W91" s="82">
        <v>44695.29560185185</v>
      </c>
      <c r="X91" s="87">
        <v>44695</v>
      </c>
      <c r="Y91" s="85" t="s">
        <v>636</v>
      </c>
      <c r="Z91" s="83" t="str">
        <f>HYPERLINK("https://twitter.com/hargurpreetkau4/status/1525371752292880384")</f>
        <v>https://twitter.com/hargurpreetkau4/status/1525371752292880384</v>
      </c>
      <c r="AA91" s="80"/>
      <c r="AB91" s="80"/>
      <c r="AC91" s="85" t="s">
        <v>690</v>
      </c>
      <c r="AD91" s="80"/>
      <c r="AE91" s="80" t="b">
        <v>0</v>
      </c>
      <c r="AF91" s="80">
        <v>0</v>
      </c>
      <c r="AG91" s="85" t="s">
        <v>267</v>
      </c>
      <c r="AH91" s="80" t="b">
        <v>0</v>
      </c>
      <c r="AI91" s="80" t="s">
        <v>268</v>
      </c>
      <c r="AJ91" s="80"/>
      <c r="AK91" s="85" t="s">
        <v>267</v>
      </c>
      <c r="AL91" s="80" t="b">
        <v>0</v>
      </c>
      <c r="AM91" s="80">
        <v>3</v>
      </c>
      <c r="AN91" s="85" t="s">
        <v>702</v>
      </c>
      <c r="AO91" s="85" t="s">
        <v>272</v>
      </c>
      <c r="AP91" s="80" t="b">
        <v>0</v>
      </c>
      <c r="AQ91" s="85" t="s">
        <v>702</v>
      </c>
      <c r="AR91" s="80" t="s">
        <v>218</v>
      </c>
      <c r="AS91" s="80">
        <v>0</v>
      </c>
      <c r="AT91" s="80">
        <v>0</v>
      </c>
      <c r="AU91" s="80"/>
      <c r="AV91" s="80"/>
      <c r="AW91" s="80"/>
      <c r="AX91" s="80"/>
      <c r="AY91" s="80"/>
      <c r="AZ91" s="80"/>
      <c r="BA91" s="80"/>
      <c r="BB91" s="80"/>
      <c r="BC91" s="80">
        <v>4</v>
      </c>
      <c r="BD91" s="79" t="str">
        <f>REPLACE(INDEX(GroupVertices[Group],MATCH(Edges49[[#This Row],[Vertex 1]],GroupVertices[Vertex],0)),1,1,"")</f>
        <v>1</v>
      </c>
      <c r="BE91" s="79" t="str">
        <f>REPLACE(INDEX(GroupVertices[Group],MATCH(Edges49[[#This Row],[Vertex 2]],GroupVertices[Vertex],0)),1,1,"")</f>
        <v>2</v>
      </c>
      <c r="BF91" s="49">
        <v>0</v>
      </c>
      <c r="BG91" s="50">
        <v>0</v>
      </c>
      <c r="BH91" s="49">
        <v>2</v>
      </c>
      <c r="BI91" s="50">
        <v>6.666666666666667</v>
      </c>
      <c r="BJ91" s="49">
        <v>0</v>
      </c>
      <c r="BK91" s="50">
        <v>0</v>
      </c>
      <c r="BL91" s="49">
        <v>28</v>
      </c>
      <c r="BM91" s="50">
        <v>93.33333333333333</v>
      </c>
      <c r="BN91" s="49">
        <v>30</v>
      </c>
    </row>
    <row r="92" spans="1:66" ht="15">
      <c r="A92" s="65" t="s">
        <v>558</v>
      </c>
      <c r="B92" s="65" t="s">
        <v>562</v>
      </c>
      <c r="C92" s="66"/>
      <c r="D92" s="67"/>
      <c r="E92" s="66"/>
      <c r="F92" s="69"/>
      <c r="G92" s="66"/>
      <c r="H92" s="70"/>
      <c r="I92" s="71"/>
      <c r="J92" s="71"/>
      <c r="K92" s="35" t="s">
        <v>65</v>
      </c>
      <c r="L92" s="72">
        <v>92</v>
      </c>
      <c r="M92" s="72"/>
      <c r="N92" s="73"/>
      <c r="O92" s="80" t="s">
        <v>263</v>
      </c>
      <c r="P92" s="82">
        <v>44695.295752314814</v>
      </c>
      <c r="Q92" s="80" t="s">
        <v>584</v>
      </c>
      <c r="R92" s="80"/>
      <c r="S92" s="80"/>
      <c r="T92" s="80"/>
      <c r="U92" s="80"/>
      <c r="V92" s="83" t="str">
        <f>HYPERLINK("https://abs.twimg.com/sticky/default_profile_images/default_profile_normal.png")</f>
        <v>https://abs.twimg.com/sticky/default_profile_images/default_profile_normal.png</v>
      </c>
      <c r="W92" s="82">
        <v>44695.295752314814</v>
      </c>
      <c r="X92" s="87">
        <v>44695</v>
      </c>
      <c r="Y92" s="85" t="s">
        <v>637</v>
      </c>
      <c r="Z92" s="83" t="str">
        <f>HYPERLINK("https://twitter.com/hargurpreetkau4/status/1525371807032692736")</f>
        <v>https://twitter.com/hargurpreetkau4/status/1525371807032692736</v>
      </c>
      <c r="AA92" s="80"/>
      <c r="AB92" s="80"/>
      <c r="AC92" s="85" t="s">
        <v>691</v>
      </c>
      <c r="AD92" s="80"/>
      <c r="AE92" s="80" t="b">
        <v>0</v>
      </c>
      <c r="AF92" s="80">
        <v>0</v>
      </c>
      <c r="AG92" s="85" t="s">
        <v>267</v>
      </c>
      <c r="AH92" s="80" t="b">
        <v>0</v>
      </c>
      <c r="AI92" s="80" t="s">
        <v>268</v>
      </c>
      <c r="AJ92" s="80"/>
      <c r="AK92" s="85" t="s">
        <v>267</v>
      </c>
      <c r="AL92" s="80" t="b">
        <v>0</v>
      </c>
      <c r="AM92" s="80">
        <v>2</v>
      </c>
      <c r="AN92" s="85" t="s">
        <v>701</v>
      </c>
      <c r="AO92" s="85" t="s">
        <v>272</v>
      </c>
      <c r="AP92" s="80" t="b">
        <v>0</v>
      </c>
      <c r="AQ92" s="85" t="s">
        <v>701</v>
      </c>
      <c r="AR92" s="80" t="s">
        <v>218</v>
      </c>
      <c r="AS92" s="80">
        <v>0</v>
      </c>
      <c r="AT92" s="80">
        <v>0</v>
      </c>
      <c r="AU92" s="80"/>
      <c r="AV92" s="80"/>
      <c r="AW92" s="80"/>
      <c r="AX92" s="80"/>
      <c r="AY92" s="80"/>
      <c r="AZ92" s="80"/>
      <c r="BA92" s="80"/>
      <c r="BB92" s="80"/>
      <c r="BC92" s="80">
        <v>2</v>
      </c>
      <c r="BD92" s="79" t="str">
        <f>REPLACE(INDEX(GroupVertices[Group],MATCH(Edges49[[#This Row],[Vertex 1]],GroupVertices[Vertex],0)),1,1,"")</f>
        <v>1</v>
      </c>
      <c r="BE92" s="79" t="str">
        <f>REPLACE(INDEX(GroupVertices[Group],MATCH(Edges49[[#This Row],[Vertex 2]],GroupVertices[Vertex],0)),1,1,"")</f>
        <v>1</v>
      </c>
      <c r="BF92" s="49"/>
      <c r="BG92" s="50"/>
      <c r="BH92" s="49"/>
      <c r="BI92" s="50"/>
      <c r="BJ92" s="49"/>
      <c r="BK92" s="50"/>
      <c r="BL92" s="49"/>
      <c r="BM92" s="50"/>
      <c r="BN92" s="49"/>
    </row>
    <row r="93" spans="1:66" ht="15">
      <c r="A93" s="65" t="s">
        <v>558</v>
      </c>
      <c r="B93" s="65" t="s">
        <v>559</v>
      </c>
      <c r="C93" s="66"/>
      <c r="D93" s="67"/>
      <c r="E93" s="66"/>
      <c r="F93" s="69"/>
      <c r="G93" s="66"/>
      <c r="H93" s="70"/>
      <c r="I93" s="71"/>
      <c r="J93" s="71"/>
      <c r="K93" s="35" t="s">
        <v>65</v>
      </c>
      <c r="L93" s="72">
        <v>93</v>
      </c>
      <c r="M93" s="72"/>
      <c r="N93" s="73"/>
      <c r="O93" s="80" t="s">
        <v>262</v>
      </c>
      <c r="P93" s="82">
        <v>44695.295752314814</v>
      </c>
      <c r="Q93" s="80" t="s">
        <v>584</v>
      </c>
      <c r="R93" s="80"/>
      <c r="S93" s="80"/>
      <c r="T93" s="80"/>
      <c r="U93" s="80"/>
      <c r="V93" s="83" t="str">
        <f>HYPERLINK("https://abs.twimg.com/sticky/default_profile_images/default_profile_normal.png")</f>
        <v>https://abs.twimg.com/sticky/default_profile_images/default_profile_normal.png</v>
      </c>
      <c r="W93" s="82">
        <v>44695.295752314814</v>
      </c>
      <c r="X93" s="87">
        <v>44695</v>
      </c>
      <c r="Y93" s="85" t="s">
        <v>637</v>
      </c>
      <c r="Z93" s="83" t="str">
        <f>HYPERLINK("https://twitter.com/hargurpreetkau4/status/1525371807032692736")</f>
        <v>https://twitter.com/hargurpreetkau4/status/1525371807032692736</v>
      </c>
      <c r="AA93" s="80"/>
      <c r="AB93" s="80"/>
      <c r="AC93" s="85" t="s">
        <v>691</v>
      </c>
      <c r="AD93" s="80"/>
      <c r="AE93" s="80" t="b">
        <v>0</v>
      </c>
      <c r="AF93" s="80">
        <v>0</v>
      </c>
      <c r="AG93" s="85" t="s">
        <v>267</v>
      </c>
      <c r="AH93" s="80" t="b">
        <v>0</v>
      </c>
      <c r="AI93" s="80" t="s">
        <v>268</v>
      </c>
      <c r="AJ93" s="80"/>
      <c r="AK93" s="85" t="s">
        <v>267</v>
      </c>
      <c r="AL93" s="80" t="b">
        <v>0</v>
      </c>
      <c r="AM93" s="80">
        <v>2</v>
      </c>
      <c r="AN93" s="85" t="s">
        <v>701</v>
      </c>
      <c r="AO93" s="85" t="s">
        <v>272</v>
      </c>
      <c r="AP93" s="80" t="b">
        <v>0</v>
      </c>
      <c r="AQ93" s="85" t="s">
        <v>701</v>
      </c>
      <c r="AR93" s="80" t="s">
        <v>218</v>
      </c>
      <c r="AS93" s="80">
        <v>0</v>
      </c>
      <c r="AT93" s="80">
        <v>0</v>
      </c>
      <c r="AU93" s="80"/>
      <c r="AV93" s="80"/>
      <c r="AW93" s="80"/>
      <c r="AX93" s="80"/>
      <c r="AY93" s="80"/>
      <c r="AZ93" s="80"/>
      <c r="BA93" s="80"/>
      <c r="BB93" s="80"/>
      <c r="BC93" s="80">
        <v>4</v>
      </c>
      <c r="BD93" s="79" t="str">
        <f>REPLACE(INDEX(GroupVertices[Group],MATCH(Edges49[[#This Row],[Vertex 1]],GroupVertices[Vertex],0)),1,1,"")</f>
        <v>1</v>
      </c>
      <c r="BE93" s="79" t="str">
        <f>REPLACE(INDEX(GroupVertices[Group],MATCH(Edges49[[#This Row],[Vertex 2]],GroupVertices[Vertex],0)),1,1,"")</f>
        <v>2</v>
      </c>
      <c r="BF93" s="49">
        <v>0</v>
      </c>
      <c r="BG93" s="50">
        <v>0</v>
      </c>
      <c r="BH93" s="49">
        <v>0</v>
      </c>
      <c r="BI93" s="50">
        <v>0</v>
      </c>
      <c r="BJ93" s="49">
        <v>0</v>
      </c>
      <c r="BK93" s="50">
        <v>0</v>
      </c>
      <c r="BL93" s="49">
        <v>8</v>
      </c>
      <c r="BM93" s="50">
        <v>100</v>
      </c>
      <c r="BN93" s="49">
        <v>8</v>
      </c>
    </row>
    <row r="94" spans="1:66" ht="15">
      <c r="A94" s="65" t="s">
        <v>559</v>
      </c>
      <c r="B94" s="65" t="s">
        <v>520</v>
      </c>
      <c r="C94" s="66"/>
      <c r="D94" s="67"/>
      <c r="E94" s="66"/>
      <c r="F94" s="69"/>
      <c r="G94" s="66"/>
      <c r="H94" s="70"/>
      <c r="I94" s="71"/>
      <c r="J94" s="71"/>
      <c r="K94" s="35" t="s">
        <v>65</v>
      </c>
      <c r="L94" s="72">
        <v>94</v>
      </c>
      <c r="M94" s="72"/>
      <c r="N94" s="73"/>
      <c r="O94" s="80" t="s">
        <v>261</v>
      </c>
      <c r="P94" s="82">
        <v>44693.23054398148</v>
      </c>
      <c r="Q94" s="80" t="s">
        <v>585</v>
      </c>
      <c r="R94" s="83" t="s">
        <v>593</v>
      </c>
      <c r="S94" s="80" t="s">
        <v>266</v>
      </c>
      <c r="T94" s="85" t="s">
        <v>597</v>
      </c>
      <c r="U94" s="80"/>
      <c r="V94" s="83" t="str">
        <f>HYPERLINK("https://pbs.twimg.com/profile_images/1423569281292271617/RHqRplkb_normal.jpg")</f>
        <v>https://pbs.twimg.com/profile_images/1423569281292271617/RHqRplkb_normal.jpg</v>
      </c>
      <c r="W94" s="82">
        <v>44693.23054398148</v>
      </c>
      <c r="X94" s="87">
        <v>44693</v>
      </c>
      <c r="Y94" s="85" t="s">
        <v>638</v>
      </c>
      <c r="Z94" s="83" t="str">
        <f>HYPERLINK("https://twitter.com/letusbacktonz/status/1524623401868214272")</f>
        <v>https://twitter.com/letusbacktonz/status/1524623401868214272</v>
      </c>
      <c r="AA94" s="80"/>
      <c r="AB94" s="80"/>
      <c r="AC94" s="85" t="s">
        <v>692</v>
      </c>
      <c r="AD94" s="80"/>
      <c r="AE94" s="80" t="b">
        <v>0</v>
      </c>
      <c r="AF94" s="80">
        <v>9</v>
      </c>
      <c r="AG94" s="85" t="s">
        <v>267</v>
      </c>
      <c r="AH94" s="80" t="b">
        <v>0</v>
      </c>
      <c r="AI94" s="80" t="s">
        <v>268</v>
      </c>
      <c r="AJ94" s="80"/>
      <c r="AK94" s="85" t="s">
        <v>267</v>
      </c>
      <c r="AL94" s="80" t="b">
        <v>0</v>
      </c>
      <c r="AM94" s="80">
        <v>9</v>
      </c>
      <c r="AN94" s="85" t="s">
        <v>267</v>
      </c>
      <c r="AO94" s="85" t="s">
        <v>270</v>
      </c>
      <c r="AP94" s="80" t="b">
        <v>0</v>
      </c>
      <c r="AQ94" s="85" t="s">
        <v>692</v>
      </c>
      <c r="AR94" s="80" t="s">
        <v>218</v>
      </c>
      <c r="AS94" s="80">
        <v>0</v>
      </c>
      <c r="AT94" s="80">
        <v>0</v>
      </c>
      <c r="AU94" s="80"/>
      <c r="AV94" s="80"/>
      <c r="AW94" s="80"/>
      <c r="AX94" s="80"/>
      <c r="AY94" s="80"/>
      <c r="AZ94" s="80"/>
      <c r="BA94" s="80"/>
      <c r="BB94" s="80"/>
      <c r="BC94" s="80">
        <v>1</v>
      </c>
      <c r="BD94" s="79" t="str">
        <f>REPLACE(INDEX(GroupVertices[Group],MATCH(Edges49[[#This Row],[Vertex 1]],GroupVertices[Vertex],0)),1,1,"")</f>
        <v>2</v>
      </c>
      <c r="BE94" s="79" t="str">
        <f>REPLACE(INDEX(GroupVertices[Group],MATCH(Edges49[[#This Row],[Vertex 2]],GroupVertices[Vertex],0)),1,1,"")</f>
        <v>4</v>
      </c>
      <c r="BF94" s="49">
        <v>0</v>
      </c>
      <c r="BG94" s="50">
        <v>0</v>
      </c>
      <c r="BH94" s="49">
        <v>1</v>
      </c>
      <c r="BI94" s="50">
        <v>2.5</v>
      </c>
      <c r="BJ94" s="49">
        <v>0</v>
      </c>
      <c r="BK94" s="50">
        <v>0</v>
      </c>
      <c r="BL94" s="49">
        <v>39</v>
      </c>
      <c r="BM94" s="50">
        <v>97.5</v>
      </c>
      <c r="BN94" s="49">
        <v>40</v>
      </c>
    </row>
    <row r="95" spans="1:66" ht="15">
      <c r="A95" s="65" t="s">
        <v>559</v>
      </c>
      <c r="B95" s="65" t="s">
        <v>564</v>
      </c>
      <c r="C95" s="66"/>
      <c r="D95" s="67"/>
      <c r="E95" s="66"/>
      <c r="F95" s="69"/>
      <c r="G95" s="66"/>
      <c r="H95" s="70"/>
      <c r="I95" s="71"/>
      <c r="J95" s="71"/>
      <c r="K95" s="35" t="s">
        <v>65</v>
      </c>
      <c r="L95" s="72">
        <v>95</v>
      </c>
      <c r="M95" s="72"/>
      <c r="N95" s="73"/>
      <c r="O95" s="80" t="s">
        <v>261</v>
      </c>
      <c r="P95" s="82">
        <v>44693.23284722222</v>
      </c>
      <c r="Q95" s="80" t="s">
        <v>586</v>
      </c>
      <c r="R95" s="83" t="str">
        <f>HYPERLINK("https://twitter.com/LetusbacktoNZ/status/1524623401868214272")</f>
        <v>https://twitter.com/LetusbacktoNZ/status/1524623401868214272</v>
      </c>
      <c r="S95" s="80" t="s">
        <v>265</v>
      </c>
      <c r="T95" s="80"/>
      <c r="U95" s="80"/>
      <c r="V95" s="83" t="str">
        <f>HYPERLINK("https://pbs.twimg.com/profile_images/1423569281292271617/RHqRplkb_normal.jpg")</f>
        <v>https://pbs.twimg.com/profile_images/1423569281292271617/RHqRplkb_normal.jpg</v>
      </c>
      <c r="W95" s="82">
        <v>44693.23284722222</v>
      </c>
      <c r="X95" s="87">
        <v>44693</v>
      </c>
      <c r="Y95" s="85" t="s">
        <v>639</v>
      </c>
      <c r="Z95" s="83" t="str">
        <f>HYPERLINK("https://twitter.com/letusbacktonz/status/1524624235989442561")</f>
        <v>https://twitter.com/letusbacktonz/status/1524624235989442561</v>
      </c>
      <c r="AA95" s="80"/>
      <c r="AB95" s="80"/>
      <c r="AC95" s="85" t="s">
        <v>693</v>
      </c>
      <c r="AD95" s="80"/>
      <c r="AE95" s="80" t="b">
        <v>0</v>
      </c>
      <c r="AF95" s="80">
        <v>1</v>
      </c>
      <c r="AG95" s="85" t="s">
        <v>303</v>
      </c>
      <c r="AH95" s="80" t="b">
        <v>1</v>
      </c>
      <c r="AI95" s="80" t="s">
        <v>269</v>
      </c>
      <c r="AJ95" s="80"/>
      <c r="AK95" s="85" t="s">
        <v>692</v>
      </c>
      <c r="AL95" s="80" t="b">
        <v>0</v>
      </c>
      <c r="AM95" s="80">
        <v>1</v>
      </c>
      <c r="AN95" s="85" t="s">
        <v>267</v>
      </c>
      <c r="AO95" s="85" t="s">
        <v>270</v>
      </c>
      <c r="AP95" s="80" t="b">
        <v>0</v>
      </c>
      <c r="AQ95" s="85" t="s">
        <v>693</v>
      </c>
      <c r="AR95" s="80" t="s">
        <v>218</v>
      </c>
      <c r="AS95" s="80">
        <v>0</v>
      </c>
      <c r="AT95" s="80">
        <v>0</v>
      </c>
      <c r="AU95" s="80"/>
      <c r="AV95" s="80"/>
      <c r="AW95" s="80"/>
      <c r="AX95" s="80"/>
      <c r="AY95" s="80"/>
      <c r="AZ95" s="80"/>
      <c r="BA95" s="80"/>
      <c r="BB95" s="80"/>
      <c r="BC95" s="80">
        <v>1</v>
      </c>
      <c r="BD95" s="79" t="str">
        <f>REPLACE(INDEX(GroupVertices[Group],MATCH(Edges49[[#This Row],[Vertex 1]],GroupVertices[Vertex],0)),1,1,"")</f>
        <v>2</v>
      </c>
      <c r="BE95" s="79" t="str">
        <f>REPLACE(INDEX(GroupVertices[Group],MATCH(Edges49[[#This Row],[Vertex 2]],GroupVertices[Vertex],0)),1,1,"")</f>
        <v>2</v>
      </c>
      <c r="BF95" s="49"/>
      <c r="BG95" s="50"/>
      <c r="BH95" s="49"/>
      <c r="BI95" s="50"/>
      <c r="BJ95" s="49"/>
      <c r="BK95" s="50"/>
      <c r="BL95" s="49"/>
      <c r="BM95" s="50"/>
      <c r="BN95" s="49"/>
    </row>
    <row r="96" spans="1:66" ht="15">
      <c r="A96" s="65" t="s">
        <v>559</v>
      </c>
      <c r="B96" s="65" t="s">
        <v>565</v>
      </c>
      <c r="C96" s="66"/>
      <c r="D96" s="67"/>
      <c r="E96" s="66"/>
      <c r="F96" s="69"/>
      <c r="G96" s="66"/>
      <c r="H96" s="70"/>
      <c r="I96" s="71"/>
      <c r="J96" s="71"/>
      <c r="K96" s="35" t="s">
        <v>65</v>
      </c>
      <c r="L96" s="72">
        <v>96</v>
      </c>
      <c r="M96" s="72"/>
      <c r="N96" s="73"/>
      <c r="O96" s="80" t="s">
        <v>261</v>
      </c>
      <c r="P96" s="82">
        <v>44693.23284722222</v>
      </c>
      <c r="Q96" s="80" t="s">
        <v>586</v>
      </c>
      <c r="R96" s="83" t="str">
        <f>HYPERLINK("https://twitter.com/LetusbacktoNZ/status/1524623401868214272")</f>
        <v>https://twitter.com/LetusbacktoNZ/status/1524623401868214272</v>
      </c>
      <c r="S96" s="80" t="s">
        <v>265</v>
      </c>
      <c r="T96" s="80"/>
      <c r="U96" s="80"/>
      <c r="V96" s="83" t="str">
        <f>HYPERLINK("https://pbs.twimg.com/profile_images/1423569281292271617/RHqRplkb_normal.jpg")</f>
        <v>https://pbs.twimg.com/profile_images/1423569281292271617/RHqRplkb_normal.jpg</v>
      </c>
      <c r="W96" s="82">
        <v>44693.23284722222</v>
      </c>
      <c r="X96" s="87">
        <v>44693</v>
      </c>
      <c r="Y96" s="85" t="s">
        <v>639</v>
      </c>
      <c r="Z96" s="83" t="str">
        <f>HYPERLINK("https://twitter.com/letusbacktonz/status/1524624235989442561")</f>
        <v>https://twitter.com/letusbacktonz/status/1524624235989442561</v>
      </c>
      <c r="AA96" s="80"/>
      <c r="AB96" s="80"/>
      <c r="AC96" s="85" t="s">
        <v>693</v>
      </c>
      <c r="AD96" s="80"/>
      <c r="AE96" s="80" t="b">
        <v>0</v>
      </c>
      <c r="AF96" s="80">
        <v>1</v>
      </c>
      <c r="AG96" s="85" t="s">
        <v>303</v>
      </c>
      <c r="AH96" s="80" t="b">
        <v>1</v>
      </c>
      <c r="AI96" s="80" t="s">
        <v>269</v>
      </c>
      <c r="AJ96" s="80"/>
      <c r="AK96" s="85" t="s">
        <v>692</v>
      </c>
      <c r="AL96" s="80" t="b">
        <v>0</v>
      </c>
      <c r="AM96" s="80">
        <v>1</v>
      </c>
      <c r="AN96" s="85" t="s">
        <v>267</v>
      </c>
      <c r="AO96" s="85" t="s">
        <v>270</v>
      </c>
      <c r="AP96" s="80" t="b">
        <v>0</v>
      </c>
      <c r="AQ96" s="85" t="s">
        <v>693</v>
      </c>
      <c r="AR96" s="80" t="s">
        <v>218</v>
      </c>
      <c r="AS96" s="80">
        <v>0</v>
      </c>
      <c r="AT96" s="80">
        <v>0</v>
      </c>
      <c r="AU96" s="80"/>
      <c r="AV96" s="80"/>
      <c r="AW96" s="80"/>
      <c r="AX96" s="80"/>
      <c r="AY96" s="80"/>
      <c r="AZ96" s="80"/>
      <c r="BA96" s="80"/>
      <c r="BB96" s="80"/>
      <c r="BC96" s="80">
        <v>1</v>
      </c>
      <c r="BD96" s="79" t="str">
        <f>REPLACE(INDEX(GroupVertices[Group],MATCH(Edges49[[#This Row],[Vertex 1]],GroupVertices[Vertex],0)),1,1,"")</f>
        <v>2</v>
      </c>
      <c r="BE96" s="79" t="str">
        <f>REPLACE(INDEX(GroupVertices[Group],MATCH(Edges49[[#This Row],[Vertex 2]],GroupVertices[Vertex],0)),1,1,"")</f>
        <v>2</v>
      </c>
      <c r="BF96" s="49"/>
      <c r="BG96" s="50"/>
      <c r="BH96" s="49"/>
      <c r="BI96" s="50"/>
      <c r="BJ96" s="49"/>
      <c r="BK96" s="50"/>
      <c r="BL96" s="49"/>
      <c r="BM96" s="50"/>
      <c r="BN96" s="49"/>
    </row>
    <row r="97" spans="1:66" ht="15">
      <c r="A97" s="65" t="s">
        <v>559</v>
      </c>
      <c r="B97" s="65" t="s">
        <v>566</v>
      </c>
      <c r="C97" s="66"/>
      <c r="D97" s="67"/>
      <c r="E97" s="66"/>
      <c r="F97" s="69"/>
      <c r="G97" s="66"/>
      <c r="H97" s="70"/>
      <c r="I97" s="71"/>
      <c r="J97" s="71"/>
      <c r="K97" s="35" t="s">
        <v>65</v>
      </c>
      <c r="L97" s="72">
        <v>97</v>
      </c>
      <c r="M97" s="72"/>
      <c r="N97" s="73"/>
      <c r="O97" s="80" t="s">
        <v>261</v>
      </c>
      <c r="P97" s="82">
        <v>44693.23284722222</v>
      </c>
      <c r="Q97" s="80" t="s">
        <v>586</v>
      </c>
      <c r="R97" s="83" t="str">
        <f>HYPERLINK("https://twitter.com/LetusbacktoNZ/status/1524623401868214272")</f>
        <v>https://twitter.com/LetusbacktoNZ/status/1524623401868214272</v>
      </c>
      <c r="S97" s="80" t="s">
        <v>265</v>
      </c>
      <c r="T97" s="80"/>
      <c r="U97" s="80"/>
      <c r="V97" s="83" t="str">
        <f>HYPERLINK("https://pbs.twimg.com/profile_images/1423569281292271617/RHqRplkb_normal.jpg")</f>
        <v>https://pbs.twimg.com/profile_images/1423569281292271617/RHqRplkb_normal.jpg</v>
      </c>
      <c r="W97" s="82">
        <v>44693.23284722222</v>
      </c>
      <c r="X97" s="87">
        <v>44693</v>
      </c>
      <c r="Y97" s="85" t="s">
        <v>639</v>
      </c>
      <c r="Z97" s="83" t="str">
        <f>HYPERLINK("https://twitter.com/letusbacktonz/status/1524624235989442561")</f>
        <v>https://twitter.com/letusbacktonz/status/1524624235989442561</v>
      </c>
      <c r="AA97" s="80"/>
      <c r="AB97" s="80"/>
      <c r="AC97" s="85" t="s">
        <v>693</v>
      </c>
      <c r="AD97" s="80"/>
      <c r="AE97" s="80" t="b">
        <v>0</v>
      </c>
      <c r="AF97" s="80">
        <v>1</v>
      </c>
      <c r="AG97" s="85" t="s">
        <v>303</v>
      </c>
      <c r="AH97" s="80" t="b">
        <v>1</v>
      </c>
      <c r="AI97" s="80" t="s">
        <v>269</v>
      </c>
      <c r="AJ97" s="80"/>
      <c r="AK97" s="85" t="s">
        <v>692</v>
      </c>
      <c r="AL97" s="80" t="b">
        <v>0</v>
      </c>
      <c r="AM97" s="80">
        <v>1</v>
      </c>
      <c r="AN97" s="85" t="s">
        <v>267</v>
      </c>
      <c r="AO97" s="85" t="s">
        <v>270</v>
      </c>
      <c r="AP97" s="80" t="b">
        <v>0</v>
      </c>
      <c r="AQ97" s="85" t="s">
        <v>693</v>
      </c>
      <c r="AR97" s="80" t="s">
        <v>218</v>
      </c>
      <c r="AS97" s="80">
        <v>0</v>
      </c>
      <c r="AT97" s="80">
        <v>0</v>
      </c>
      <c r="AU97" s="80"/>
      <c r="AV97" s="80"/>
      <c r="AW97" s="80"/>
      <c r="AX97" s="80"/>
      <c r="AY97" s="80"/>
      <c r="AZ97" s="80"/>
      <c r="BA97" s="80"/>
      <c r="BB97" s="80"/>
      <c r="BC97" s="80">
        <v>1</v>
      </c>
      <c r="BD97" s="79" t="str">
        <f>REPLACE(INDEX(GroupVertices[Group],MATCH(Edges49[[#This Row],[Vertex 1]],GroupVertices[Vertex],0)),1,1,"")</f>
        <v>2</v>
      </c>
      <c r="BE97" s="79" t="str">
        <f>REPLACE(INDEX(GroupVertices[Group],MATCH(Edges49[[#This Row],[Vertex 2]],GroupVertices[Vertex],0)),1,1,"")</f>
        <v>2</v>
      </c>
      <c r="BF97" s="49"/>
      <c r="BG97" s="50"/>
      <c r="BH97" s="49"/>
      <c r="BI97" s="50"/>
      <c r="BJ97" s="49"/>
      <c r="BK97" s="50"/>
      <c r="BL97" s="49"/>
      <c r="BM97" s="50"/>
      <c r="BN97" s="49"/>
    </row>
    <row r="98" spans="1:66" ht="15">
      <c r="A98" s="65" t="s">
        <v>559</v>
      </c>
      <c r="B98" s="65" t="s">
        <v>567</v>
      </c>
      <c r="C98" s="66"/>
      <c r="D98" s="67"/>
      <c r="E98" s="66"/>
      <c r="F98" s="69"/>
      <c r="G98" s="66"/>
      <c r="H98" s="70"/>
      <c r="I98" s="71"/>
      <c r="J98" s="71"/>
      <c r="K98" s="35" t="s">
        <v>65</v>
      </c>
      <c r="L98" s="72">
        <v>98</v>
      </c>
      <c r="M98" s="72"/>
      <c r="N98" s="73"/>
      <c r="O98" s="80" t="s">
        <v>261</v>
      </c>
      <c r="P98" s="82">
        <v>44693.23284722222</v>
      </c>
      <c r="Q98" s="80" t="s">
        <v>586</v>
      </c>
      <c r="R98" s="83" t="str">
        <f>HYPERLINK("https://twitter.com/LetusbacktoNZ/status/1524623401868214272")</f>
        <v>https://twitter.com/LetusbacktoNZ/status/1524623401868214272</v>
      </c>
      <c r="S98" s="80" t="s">
        <v>265</v>
      </c>
      <c r="T98" s="80"/>
      <c r="U98" s="80"/>
      <c r="V98" s="83" t="str">
        <f>HYPERLINK("https://pbs.twimg.com/profile_images/1423569281292271617/RHqRplkb_normal.jpg")</f>
        <v>https://pbs.twimg.com/profile_images/1423569281292271617/RHqRplkb_normal.jpg</v>
      </c>
      <c r="W98" s="82">
        <v>44693.23284722222</v>
      </c>
      <c r="X98" s="87">
        <v>44693</v>
      </c>
      <c r="Y98" s="85" t="s">
        <v>639</v>
      </c>
      <c r="Z98" s="83" t="str">
        <f>HYPERLINK("https://twitter.com/letusbacktonz/status/1524624235989442561")</f>
        <v>https://twitter.com/letusbacktonz/status/1524624235989442561</v>
      </c>
      <c r="AA98" s="80"/>
      <c r="AB98" s="80"/>
      <c r="AC98" s="85" t="s">
        <v>693</v>
      </c>
      <c r="AD98" s="80"/>
      <c r="AE98" s="80" t="b">
        <v>0</v>
      </c>
      <c r="AF98" s="80">
        <v>1</v>
      </c>
      <c r="AG98" s="85" t="s">
        <v>303</v>
      </c>
      <c r="AH98" s="80" t="b">
        <v>1</v>
      </c>
      <c r="AI98" s="80" t="s">
        <v>269</v>
      </c>
      <c r="AJ98" s="80"/>
      <c r="AK98" s="85" t="s">
        <v>692</v>
      </c>
      <c r="AL98" s="80" t="b">
        <v>0</v>
      </c>
      <c r="AM98" s="80">
        <v>1</v>
      </c>
      <c r="AN98" s="85" t="s">
        <v>267</v>
      </c>
      <c r="AO98" s="85" t="s">
        <v>270</v>
      </c>
      <c r="AP98" s="80" t="b">
        <v>0</v>
      </c>
      <c r="AQ98" s="85" t="s">
        <v>693</v>
      </c>
      <c r="AR98" s="80" t="s">
        <v>218</v>
      </c>
      <c r="AS98" s="80">
        <v>0</v>
      </c>
      <c r="AT98" s="80">
        <v>0</v>
      </c>
      <c r="AU98" s="80"/>
      <c r="AV98" s="80"/>
      <c r="AW98" s="80"/>
      <c r="AX98" s="80"/>
      <c r="AY98" s="80"/>
      <c r="AZ98" s="80"/>
      <c r="BA98" s="80"/>
      <c r="BB98" s="80"/>
      <c r="BC98" s="80">
        <v>1</v>
      </c>
      <c r="BD98" s="79" t="str">
        <f>REPLACE(INDEX(GroupVertices[Group],MATCH(Edges49[[#This Row],[Vertex 1]],GroupVertices[Vertex],0)),1,1,"")</f>
        <v>2</v>
      </c>
      <c r="BE98" s="79" t="str">
        <f>REPLACE(INDEX(GroupVertices[Group],MATCH(Edges49[[#This Row],[Vertex 2]],GroupVertices[Vertex],0)),1,1,"")</f>
        <v>2</v>
      </c>
      <c r="BF98" s="49"/>
      <c r="BG98" s="50"/>
      <c r="BH98" s="49"/>
      <c r="BI98" s="50"/>
      <c r="BJ98" s="49"/>
      <c r="BK98" s="50"/>
      <c r="BL98" s="49"/>
      <c r="BM98" s="50"/>
      <c r="BN98" s="49"/>
    </row>
    <row r="99" spans="1:66" ht="15">
      <c r="A99" s="65" t="s">
        <v>559</v>
      </c>
      <c r="B99" s="65" t="s">
        <v>259</v>
      </c>
      <c r="C99" s="66"/>
      <c r="D99" s="67"/>
      <c r="E99" s="66"/>
      <c r="F99" s="69"/>
      <c r="G99" s="66"/>
      <c r="H99" s="70"/>
      <c r="I99" s="71"/>
      <c r="J99" s="71"/>
      <c r="K99" s="35" t="s">
        <v>65</v>
      </c>
      <c r="L99" s="72">
        <v>99</v>
      </c>
      <c r="M99" s="72"/>
      <c r="N99" s="73"/>
      <c r="O99" s="80" t="s">
        <v>261</v>
      </c>
      <c r="P99" s="82">
        <v>44693.23284722222</v>
      </c>
      <c r="Q99" s="80" t="s">
        <v>586</v>
      </c>
      <c r="R99" s="83" t="str">
        <f>HYPERLINK("https://twitter.com/LetusbacktoNZ/status/1524623401868214272")</f>
        <v>https://twitter.com/LetusbacktoNZ/status/1524623401868214272</v>
      </c>
      <c r="S99" s="80" t="s">
        <v>265</v>
      </c>
      <c r="T99" s="80"/>
      <c r="U99" s="80"/>
      <c r="V99" s="83" t="str">
        <f>HYPERLINK("https://pbs.twimg.com/profile_images/1423569281292271617/RHqRplkb_normal.jpg")</f>
        <v>https://pbs.twimg.com/profile_images/1423569281292271617/RHqRplkb_normal.jpg</v>
      </c>
      <c r="W99" s="82">
        <v>44693.23284722222</v>
      </c>
      <c r="X99" s="87">
        <v>44693</v>
      </c>
      <c r="Y99" s="85" t="s">
        <v>639</v>
      </c>
      <c r="Z99" s="83" t="str">
        <f>HYPERLINK("https://twitter.com/letusbacktonz/status/1524624235989442561")</f>
        <v>https://twitter.com/letusbacktonz/status/1524624235989442561</v>
      </c>
      <c r="AA99" s="80"/>
      <c r="AB99" s="80"/>
      <c r="AC99" s="85" t="s">
        <v>693</v>
      </c>
      <c r="AD99" s="80"/>
      <c r="AE99" s="80" t="b">
        <v>0</v>
      </c>
      <c r="AF99" s="80">
        <v>1</v>
      </c>
      <c r="AG99" s="85" t="s">
        <v>303</v>
      </c>
      <c r="AH99" s="80" t="b">
        <v>1</v>
      </c>
      <c r="AI99" s="80" t="s">
        <v>269</v>
      </c>
      <c r="AJ99" s="80"/>
      <c r="AK99" s="85" t="s">
        <v>692</v>
      </c>
      <c r="AL99" s="80" t="b">
        <v>0</v>
      </c>
      <c r="AM99" s="80">
        <v>1</v>
      </c>
      <c r="AN99" s="85" t="s">
        <v>267</v>
      </c>
      <c r="AO99" s="85" t="s">
        <v>270</v>
      </c>
      <c r="AP99" s="80" t="b">
        <v>0</v>
      </c>
      <c r="AQ99" s="85" t="s">
        <v>693</v>
      </c>
      <c r="AR99" s="80" t="s">
        <v>218</v>
      </c>
      <c r="AS99" s="80">
        <v>0</v>
      </c>
      <c r="AT99" s="80">
        <v>0</v>
      </c>
      <c r="AU99" s="80"/>
      <c r="AV99" s="80"/>
      <c r="AW99" s="80"/>
      <c r="AX99" s="80"/>
      <c r="AY99" s="80"/>
      <c r="AZ99" s="80"/>
      <c r="BA99" s="80"/>
      <c r="BB99" s="80"/>
      <c r="BC99" s="80">
        <v>1</v>
      </c>
      <c r="BD99" s="79" t="str">
        <f>REPLACE(INDEX(GroupVertices[Group],MATCH(Edges49[[#This Row],[Vertex 1]],GroupVertices[Vertex],0)),1,1,"")</f>
        <v>2</v>
      </c>
      <c r="BE99" s="79" t="str">
        <f>REPLACE(INDEX(GroupVertices[Group],MATCH(Edges49[[#This Row],[Vertex 2]],GroupVertices[Vertex],0)),1,1,"")</f>
        <v>2</v>
      </c>
      <c r="BF99" s="49"/>
      <c r="BG99" s="50"/>
      <c r="BH99" s="49"/>
      <c r="BI99" s="50"/>
      <c r="BJ99" s="49"/>
      <c r="BK99" s="50"/>
      <c r="BL99" s="49"/>
      <c r="BM99" s="50"/>
      <c r="BN99" s="49"/>
    </row>
    <row r="100" spans="1:66" ht="15">
      <c r="A100" s="65" t="s">
        <v>559</v>
      </c>
      <c r="B100" s="65" t="s">
        <v>568</v>
      </c>
      <c r="C100" s="66"/>
      <c r="D100" s="67"/>
      <c r="E100" s="66"/>
      <c r="F100" s="69"/>
      <c r="G100" s="66"/>
      <c r="H100" s="70"/>
      <c r="I100" s="71"/>
      <c r="J100" s="71"/>
      <c r="K100" s="35" t="s">
        <v>65</v>
      </c>
      <c r="L100" s="72">
        <v>100</v>
      </c>
      <c r="M100" s="72"/>
      <c r="N100" s="73"/>
      <c r="O100" s="80" t="s">
        <v>261</v>
      </c>
      <c r="P100" s="82">
        <v>44693.23284722222</v>
      </c>
      <c r="Q100" s="80" t="s">
        <v>586</v>
      </c>
      <c r="R100" s="83" t="str">
        <f>HYPERLINK("https://twitter.com/LetusbacktoNZ/status/1524623401868214272")</f>
        <v>https://twitter.com/LetusbacktoNZ/status/1524623401868214272</v>
      </c>
      <c r="S100" s="80" t="s">
        <v>265</v>
      </c>
      <c r="T100" s="80"/>
      <c r="U100" s="80"/>
      <c r="V100" s="83" t="str">
        <f>HYPERLINK("https://pbs.twimg.com/profile_images/1423569281292271617/RHqRplkb_normal.jpg")</f>
        <v>https://pbs.twimg.com/profile_images/1423569281292271617/RHqRplkb_normal.jpg</v>
      </c>
      <c r="W100" s="82">
        <v>44693.23284722222</v>
      </c>
      <c r="X100" s="87">
        <v>44693</v>
      </c>
      <c r="Y100" s="85" t="s">
        <v>639</v>
      </c>
      <c r="Z100" s="83" t="str">
        <f>HYPERLINK("https://twitter.com/letusbacktonz/status/1524624235989442561")</f>
        <v>https://twitter.com/letusbacktonz/status/1524624235989442561</v>
      </c>
      <c r="AA100" s="80"/>
      <c r="AB100" s="80"/>
      <c r="AC100" s="85" t="s">
        <v>693</v>
      </c>
      <c r="AD100" s="80"/>
      <c r="AE100" s="80" t="b">
        <v>0</v>
      </c>
      <c r="AF100" s="80">
        <v>1</v>
      </c>
      <c r="AG100" s="85" t="s">
        <v>303</v>
      </c>
      <c r="AH100" s="80" t="b">
        <v>1</v>
      </c>
      <c r="AI100" s="80" t="s">
        <v>269</v>
      </c>
      <c r="AJ100" s="80"/>
      <c r="AK100" s="85" t="s">
        <v>692</v>
      </c>
      <c r="AL100" s="80" t="b">
        <v>0</v>
      </c>
      <c r="AM100" s="80">
        <v>1</v>
      </c>
      <c r="AN100" s="85" t="s">
        <v>267</v>
      </c>
      <c r="AO100" s="85" t="s">
        <v>270</v>
      </c>
      <c r="AP100" s="80" t="b">
        <v>0</v>
      </c>
      <c r="AQ100" s="85" t="s">
        <v>693</v>
      </c>
      <c r="AR100" s="80" t="s">
        <v>218</v>
      </c>
      <c r="AS100" s="80">
        <v>0</v>
      </c>
      <c r="AT100" s="80">
        <v>0</v>
      </c>
      <c r="AU100" s="80"/>
      <c r="AV100" s="80"/>
      <c r="AW100" s="80"/>
      <c r="AX100" s="80"/>
      <c r="AY100" s="80"/>
      <c r="AZ100" s="80"/>
      <c r="BA100" s="80"/>
      <c r="BB100" s="80"/>
      <c r="BC100" s="80">
        <v>1</v>
      </c>
      <c r="BD100" s="79" t="str">
        <f>REPLACE(INDEX(GroupVertices[Group],MATCH(Edges49[[#This Row],[Vertex 1]],GroupVertices[Vertex],0)),1,1,"")</f>
        <v>2</v>
      </c>
      <c r="BE100" s="79" t="str">
        <f>REPLACE(INDEX(GroupVertices[Group],MATCH(Edges49[[#This Row],[Vertex 2]],GroupVertices[Vertex],0)),1,1,"")</f>
        <v>2</v>
      </c>
      <c r="BF100" s="49"/>
      <c r="BG100" s="50"/>
      <c r="BH100" s="49"/>
      <c r="BI100" s="50"/>
      <c r="BJ100" s="49"/>
      <c r="BK100" s="50"/>
      <c r="BL100" s="49"/>
      <c r="BM100" s="50"/>
      <c r="BN100" s="49"/>
    </row>
    <row r="101" spans="1:66" ht="15">
      <c r="A101" s="65" t="s">
        <v>559</v>
      </c>
      <c r="B101" s="65" t="s">
        <v>569</v>
      </c>
      <c r="C101" s="66"/>
      <c r="D101" s="67"/>
      <c r="E101" s="66"/>
      <c r="F101" s="69"/>
      <c r="G101" s="66"/>
      <c r="H101" s="70"/>
      <c r="I101" s="71"/>
      <c r="J101" s="71"/>
      <c r="K101" s="35" t="s">
        <v>65</v>
      </c>
      <c r="L101" s="72">
        <v>101</v>
      </c>
      <c r="M101" s="72"/>
      <c r="N101" s="73"/>
      <c r="O101" s="80" t="s">
        <v>261</v>
      </c>
      <c r="P101" s="82">
        <v>44693.23284722222</v>
      </c>
      <c r="Q101" s="80" t="s">
        <v>586</v>
      </c>
      <c r="R101" s="83" t="str">
        <f>HYPERLINK("https://twitter.com/LetusbacktoNZ/status/1524623401868214272")</f>
        <v>https://twitter.com/LetusbacktoNZ/status/1524623401868214272</v>
      </c>
      <c r="S101" s="80" t="s">
        <v>265</v>
      </c>
      <c r="T101" s="80"/>
      <c r="U101" s="80"/>
      <c r="V101" s="83" t="str">
        <f>HYPERLINK("https://pbs.twimg.com/profile_images/1423569281292271617/RHqRplkb_normal.jpg")</f>
        <v>https://pbs.twimg.com/profile_images/1423569281292271617/RHqRplkb_normal.jpg</v>
      </c>
      <c r="W101" s="82">
        <v>44693.23284722222</v>
      </c>
      <c r="X101" s="87">
        <v>44693</v>
      </c>
      <c r="Y101" s="85" t="s">
        <v>639</v>
      </c>
      <c r="Z101" s="83" t="str">
        <f>HYPERLINK("https://twitter.com/letusbacktonz/status/1524624235989442561")</f>
        <v>https://twitter.com/letusbacktonz/status/1524624235989442561</v>
      </c>
      <c r="AA101" s="80"/>
      <c r="AB101" s="80"/>
      <c r="AC101" s="85" t="s">
        <v>693</v>
      </c>
      <c r="AD101" s="80"/>
      <c r="AE101" s="80" t="b">
        <v>0</v>
      </c>
      <c r="AF101" s="80">
        <v>1</v>
      </c>
      <c r="AG101" s="85" t="s">
        <v>303</v>
      </c>
      <c r="AH101" s="80" t="b">
        <v>1</v>
      </c>
      <c r="AI101" s="80" t="s">
        <v>269</v>
      </c>
      <c r="AJ101" s="80"/>
      <c r="AK101" s="85" t="s">
        <v>692</v>
      </c>
      <c r="AL101" s="80" t="b">
        <v>0</v>
      </c>
      <c r="AM101" s="80">
        <v>1</v>
      </c>
      <c r="AN101" s="85" t="s">
        <v>267</v>
      </c>
      <c r="AO101" s="85" t="s">
        <v>270</v>
      </c>
      <c r="AP101" s="80" t="b">
        <v>0</v>
      </c>
      <c r="AQ101" s="85" t="s">
        <v>693</v>
      </c>
      <c r="AR101" s="80" t="s">
        <v>218</v>
      </c>
      <c r="AS101" s="80">
        <v>0</v>
      </c>
      <c r="AT101" s="80">
        <v>0</v>
      </c>
      <c r="AU101" s="80"/>
      <c r="AV101" s="80"/>
      <c r="AW101" s="80"/>
      <c r="AX101" s="80"/>
      <c r="AY101" s="80"/>
      <c r="AZ101" s="80"/>
      <c r="BA101" s="80"/>
      <c r="BB101" s="80"/>
      <c r="BC101" s="80">
        <v>1</v>
      </c>
      <c r="BD101" s="79" t="str">
        <f>REPLACE(INDEX(GroupVertices[Group],MATCH(Edges49[[#This Row],[Vertex 1]],GroupVertices[Vertex],0)),1,1,"")</f>
        <v>2</v>
      </c>
      <c r="BE101" s="79" t="str">
        <f>REPLACE(INDEX(GroupVertices[Group],MATCH(Edges49[[#This Row],[Vertex 2]],GroupVertices[Vertex],0)),1,1,"")</f>
        <v>2</v>
      </c>
      <c r="BF101" s="49"/>
      <c r="BG101" s="50"/>
      <c r="BH101" s="49"/>
      <c r="BI101" s="50"/>
      <c r="BJ101" s="49"/>
      <c r="BK101" s="50"/>
      <c r="BL101" s="49"/>
      <c r="BM101" s="50"/>
      <c r="BN101" s="49"/>
    </row>
    <row r="102" spans="1:66" ht="15">
      <c r="A102" s="65" t="s">
        <v>559</v>
      </c>
      <c r="B102" s="65" t="s">
        <v>570</v>
      </c>
      <c r="C102" s="66"/>
      <c r="D102" s="67"/>
      <c r="E102" s="66"/>
      <c r="F102" s="69"/>
      <c r="G102" s="66"/>
      <c r="H102" s="70"/>
      <c r="I102" s="71"/>
      <c r="J102" s="71"/>
      <c r="K102" s="35" t="s">
        <v>65</v>
      </c>
      <c r="L102" s="72">
        <v>102</v>
      </c>
      <c r="M102" s="72"/>
      <c r="N102" s="73"/>
      <c r="O102" s="80" t="s">
        <v>261</v>
      </c>
      <c r="P102" s="82">
        <v>44693.23284722222</v>
      </c>
      <c r="Q102" s="80" t="s">
        <v>586</v>
      </c>
      <c r="R102" s="83" t="str">
        <f>HYPERLINK("https://twitter.com/LetusbacktoNZ/status/1524623401868214272")</f>
        <v>https://twitter.com/LetusbacktoNZ/status/1524623401868214272</v>
      </c>
      <c r="S102" s="80" t="s">
        <v>265</v>
      </c>
      <c r="T102" s="80"/>
      <c r="U102" s="80"/>
      <c r="V102" s="83" t="str">
        <f>HYPERLINK("https://pbs.twimg.com/profile_images/1423569281292271617/RHqRplkb_normal.jpg")</f>
        <v>https://pbs.twimg.com/profile_images/1423569281292271617/RHqRplkb_normal.jpg</v>
      </c>
      <c r="W102" s="82">
        <v>44693.23284722222</v>
      </c>
      <c r="X102" s="87">
        <v>44693</v>
      </c>
      <c r="Y102" s="85" t="s">
        <v>639</v>
      </c>
      <c r="Z102" s="83" t="str">
        <f>HYPERLINK("https://twitter.com/letusbacktonz/status/1524624235989442561")</f>
        <v>https://twitter.com/letusbacktonz/status/1524624235989442561</v>
      </c>
      <c r="AA102" s="80"/>
      <c r="AB102" s="80"/>
      <c r="AC102" s="85" t="s">
        <v>693</v>
      </c>
      <c r="AD102" s="80"/>
      <c r="AE102" s="80" t="b">
        <v>0</v>
      </c>
      <c r="AF102" s="80">
        <v>1</v>
      </c>
      <c r="AG102" s="85" t="s">
        <v>303</v>
      </c>
      <c r="AH102" s="80" t="b">
        <v>1</v>
      </c>
      <c r="AI102" s="80" t="s">
        <v>269</v>
      </c>
      <c r="AJ102" s="80"/>
      <c r="AK102" s="85" t="s">
        <v>692</v>
      </c>
      <c r="AL102" s="80" t="b">
        <v>0</v>
      </c>
      <c r="AM102" s="80">
        <v>1</v>
      </c>
      <c r="AN102" s="85" t="s">
        <v>267</v>
      </c>
      <c r="AO102" s="85" t="s">
        <v>270</v>
      </c>
      <c r="AP102" s="80" t="b">
        <v>0</v>
      </c>
      <c r="AQ102" s="85" t="s">
        <v>693</v>
      </c>
      <c r="AR102" s="80" t="s">
        <v>218</v>
      </c>
      <c r="AS102" s="80">
        <v>0</v>
      </c>
      <c r="AT102" s="80">
        <v>0</v>
      </c>
      <c r="AU102" s="80"/>
      <c r="AV102" s="80"/>
      <c r="AW102" s="80"/>
      <c r="AX102" s="80"/>
      <c r="AY102" s="80"/>
      <c r="AZ102" s="80"/>
      <c r="BA102" s="80"/>
      <c r="BB102" s="80"/>
      <c r="BC102" s="80">
        <v>1</v>
      </c>
      <c r="BD102" s="79" t="str">
        <f>REPLACE(INDEX(GroupVertices[Group],MATCH(Edges49[[#This Row],[Vertex 1]],GroupVertices[Vertex],0)),1,1,"")</f>
        <v>2</v>
      </c>
      <c r="BE102" s="79" t="str">
        <f>REPLACE(INDEX(GroupVertices[Group],MATCH(Edges49[[#This Row],[Vertex 2]],GroupVertices[Vertex],0)),1,1,"")</f>
        <v>2</v>
      </c>
      <c r="BF102" s="49"/>
      <c r="BG102" s="50"/>
      <c r="BH102" s="49"/>
      <c r="BI102" s="50"/>
      <c r="BJ102" s="49"/>
      <c r="BK102" s="50"/>
      <c r="BL102" s="49"/>
      <c r="BM102" s="50"/>
      <c r="BN102" s="49"/>
    </row>
    <row r="103" spans="1:66" ht="15">
      <c r="A103" s="65" t="s">
        <v>559</v>
      </c>
      <c r="B103" s="65" t="s">
        <v>571</v>
      </c>
      <c r="C103" s="66"/>
      <c r="D103" s="67"/>
      <c r="E103" s="66"/>
      <c r="F103" s="69"/>
      <c r="G103" s="66"/>
      <c r="H103" s="70"/>
      <c r="I103" s="71"/>
      <c r="J103" s="71"/>
      <c r="K103" s="35" t="s">
        <v>65</v>
      </c>
      <c r="L103" s="72">
        <v>103</v>
      </c>
      <c r="M103" s="72"/>
      <c r="N103" s="73"/>
      <c r="O103" s="80" t="s">
        <v>261</v>
      </c>
      <c r="P103" s="82">
        <v>44693.23284722222</v>
      </c>
      <c r="Q103" s="80" t="s">
        <v>586</v>
      </c>
      <c r="R103" s="83" t="str">
        <f>HYPERLINK("https://twitter.com/LetusbacktoNZ/status/1524623401868214272")</f>
        <v>https://twitter.com/LetusbacktoNZ/status/1524623401868214272</v>
      </c>
      <c r="S103" s="80" t="s">
        <v>265</v>
      </c>
      <c r="T103" s="80"/>
      <c r="U103" s="80"/>
      <c r="V103" s="83" t="str">
        <f>HYPERLINK("https://pbs.twimg.com/profile_images/1423569281292271617/RHqRplkb_normal.jpg")</f>
        <v>https://pbs.twimg.com/profile_images/1423569281292271617/RHqRplkb_normal.jpg</v>
      </c>
      <c r="W103" s="82">
        <v>44693.23284722222</v>
      </c>
      <c r="X103" s="87">
        <v>44693</v>
      </c>
      <c r="Y103" s="85" t="s">
        <v>639</v>
      </c>
      <c r="Z103" s="83" t="str">
        <f>HYPERLINK("https://twitter.com/letusbacktonz/status/1524624235989442561")</f>
        <v>https://twitter.com/letusbacktonz/status/1524624235989442561</v>
      </c>
      <c r="AA103" s="80"/>
      <c r="AB103" s="80"/>
      <c r="AC103" s="85" t="s">
        <v>693</v>
      </c>
      <c r="AD103" s="80"/>
      <c r="AE103" s="80" t="b">
        <v>0</v>
      </c>
      <c r="AF103" s="80">
        <v>1</v>
      </c>
      <c r="AG103" s="85" t="s">
        <v>303</v>
      </c>
      <c r="AH103" s="80" t="b">
        <v>1</v>
      </c>
      <c r="AI103" s="80" t="s">
        <v>269</v>
      </c>
      <c r="AJ103" s="80"/>
      <c r="AK103" s="85" t="s">
        <v>692</v>
      </c>
      <c r="AL103" s="80" t="b">
        <v>0</v>
      </c>
      <c r="AM103" s="80">
        <v>1</v>
      </c>
      <c r="AN103" s="85" t="s">
        <v>267</v>
      </c>
      <c r="AO103" s="85" t="s">
        <v>270</v>
      </c>
      <c r="AP103" s="80" t="b">
        <v>0</v>
      </c>
      <c r="AQ103" s="85" t="s">
        <v>693</v>
      </c>
      <c r="AR103" s="80" t="s">
        <v>218</v>
      </c>
      <c r="AS103" s="80">
        <v>0</v>
      </c>
      <c r="AT103" s="80">
        <v>0</v>
      </c>
      <c r="AU103" s="80"/>
      <c r="AV103" s="80"/>
      <c r="AW103" s="80"/>
      <c r="AX103" s="80"/>
      <c r="AY103" s="80"/>
      <c r="AZ103" s="80"/>
      <c r="BA103" s="80"/>
      <c r="BB103" s="80"/>
      <c r="BC103" s="80">
        <v>1</v>
      </c>
      <c r="BD103" s="79" t="str">
        <f>REPLACE(INDEX(GroupVertices[Group],MATCH(Edges49[[#This Row],[Vertex 1]],GroupVertices[Vertex],0)),1,1,"")</f>
        <v>2</v>
      </c>
      <c r="BE103" s="79" t="str">
        <f>REPLACE(INDEX(GroupVertices[Group],MATCH(Edges49[[#This Row],[Vertex 2]],GroupVertices[Vertex],0)),1,1,"")</f>
        <v>2</v>
      </c>
      <c r="BF103" s="49"/>
      <c r="BG103" s="50"/>
      <c r="BH103" s="49"/>
      <c r="BI103" s="50"/>
      <c r="BJ103" s="49"/>
      <c r="BK103" s="50"/>
      <c r="BL103" s="49"/>
      <c r="BM103" s="50"/>
      <c r="BN103" s="49"/>
    </row>
    <row r="104" spans="1:66" ht="15">
      <c r="A104" s="65" t="s">
        <v>559</v>
      </c>
      <c r="B104" s="65" t="s">
        <v>572</v>
      </c>
      <c r="C104" s="66"/>
      <c r="D104" s="67"/>
      <c r="E104" s="66"/>
      <c r="F104" s="69"/>
      <c r="G104" s="66"/>
      <c r="H104" s="70"/>
      <c r="I104" s="71"/>
      <c r="J104" s="71"/>
      <c r="K104" s="35" t="s">
        <v>65</v>
      </c>
      <c r="L104" s="72">
        <v>104</v>
      </c>
      <c r="M104" s="72"/>
      <c r="N104" s="73"/>
      <c r="O104" s="80" t="s">
        <v>261</v>
      </c>
      <c r="P104" s="82">
        <v>44693.23284722222</v>
      </c>
      <c r="Q104" s="80" t="s">
        <v>586</v>
      </c>
      <c r="R104" s="83" t="str">
        <f>HYPERLINK("https://twitter.com/LetusbacktoNZ/status/1524623401868214272")</f>
        <v>https://twitter.com/LetusbacktoNZ/status/1524623401868214272</v>
      </c>
      <c r="S104" s="80" t="s">
        <v>265</v>
      </c>
      <c r="T104" s="80"/>
      <c r="U104" s="80"/>
      <c r="V104" s="83" t="str">
        <f>HYPERLINK("https://pbs.twimg.com/profile_images/1423569281292271617/RHqRplkb_normal.jpg")</f>
        <v>https://pbs.twimg.com/profile_images/1423569281292271617/RHqRplkb_normal.jpg</v>
      </c>
      <c r="W104" s="82">
        <v>44693.23284722222</v>
      </c>
      <c r="X104" s="87">
        <v>44693</v>
      </c>
      <c r="Y104" s="85" t="s">
        <v>639</v>
      </c>
      <c r="Z104" s="83" t="str">
        <f>HYPERLINK("https://twitter.com/letusbacktonz/status/1524624235989442561")</f>
        <v>https://twitter.com/letusbacktonz/status/1524624235989442561</v>
      </c>
      <c r="AA104" s="80"/>
      <c r="AB104" s="80"/>
      <c r="AC104" s="85" t="s">
        <v>693</v>
      </c>
      <c r="AD104" s="80"/>
      <c r="AE104" s="80" t="b">
        <v>0</v>
      </c>
      <c r="AF104" s="80">
        <v>1</v>
      </c>
      <c r="AG104" s="85" t="s">
        <v>303</v>
      </c>
      <c r="AH104" s="80" t="b">
        <v>1</v>
      </c>
      <c r="AI104" s="80" t="s">
        <v>269</v>
      </c>
      <c r="AJ104" s="80"/>
      <c r="AK104" s="85" t="s">
        <v>692</v>
      </c>
      <c r="AL104" s="80" t="b">
        <v>0</v>
      </c>
      <c r="AM104" s="80">
        <v>1</v>
      </c>
      <c r="AN104" s="85" t="s">
        <v>267</v>
      </c>
      <c r="AO104" s="85" t="s">
        <v>270</v>
      </c>
      <c r="AP104" s="80" t="b">
        <v>0</v>
      </c>
      <c r="AQ104" s="85" t="s">
        <v>693</v>
      </c>
      <c r="AR104" s="80" t="s">
        <v>218</v>
      </c>
      <c r="AS104" s="80">
        <v>0</v>
      </c>
      <c r="AT104" s="80">
        <v>0</v>
      </c>
      <c r="AU104" s="80"/>
      <c r="AV104" s="80"/>
      <c r="AW104" s="80"/>
      <c r="AX104" s="80"/>
      <c r="AY104" s="80"/>
      <c r="AZ104" s="80"/>
      <c r="BA104" s="80"/>
      <c r="BB104" s="80"/>
      <c r="BC104" s="80">
        <v>1</v>
      </c>
      <c r="BD104" s="79" t="str">
        <f>REPLACE(INDEX(GroupVertices[Group],MATCH(Edges49[[#This Row],[Vertex 1]],GroupVertices[Vertex],0)),1,1,"")</f>
        <v>2</v>
      </c>
      <c r="BE104" s="79" t="str">
        <f>REPLACE(INDEX(GroupVertices[Group],MATCH(Edges49[[#This Row],[Vertex 2]],GroupVertices[Vertex],0)),1,1,"")</f>
        <v>2</v>
      </c>
      <c r="BF104" s="49"/>
      <c r="BG104" s="50"/>
      <c r="BH104" s="49"/>
      <c r="BI104" s="50"/>
      <c r="BJ104" s="49"/>
      <c r="BK104" s="50"/>
      <c r="BL104" s="49"/>
      <c r="BM104" s="50"/>
      <c r="BN104" s="49"/>
    </row>
    <row r="105" spans="1:66" ht="15">
      <c r="A105" s="65" t="s">
        <v>559</v>
      </c>
      <c r="B105" s="65" t="s">
        <v>573</v>
      </c>
      <c r="C105" s="66"/>
      <c r="D105" s="67"/>
      <c r="E105" s="66"/>
      <c r="F105" s="69"/>
      <c r="G105" s="66"/>
      <c r="H105" s="70"/>
      <c r="I105" s="71"/>
      <c r="J105" s="71"/>
      <c r="K105" s="35" t="s">
        <v>65</v>
      </c>
      <c r="L105" s="72">
        <v>105</v>
      </c>
      <c r="M105" s="72"/>
      <c r="N105" s="73"/>
      <c r="O105" s="80" t="s">
        <v>261</v>
      </c>
      <c r="P105" s="82">
        <v>44693.23284722222</v>
      </c>
      <c r="Q105" s="80" t="s">
        <v>586</v>
      </c>
      <c r="R105" s="83" t="str">
        <f>HYPERLINK("https://twitter.com/LetusbacktoNZ/status/1524623401868214272")</f>
        <v>https://twitter.com/LetusbacktoNZ/status/1524623401868214272</v>
      </c>
      <c r="S105" s="80" t="s">
        <v>265</v>
      </c>
      <c r="T105" s="80"/>
      <c r="U105" s="80"/>
      <c r="V105" s="83" t="str">
        <f>HYPERLINK("https://pbs.twimg.com/profile_images/1423569281292271617/RHqRplkb_normal.jpg")</f>
        <v>https://pbs.twimg.com/profile_images/1423569281292271617/RHqRplkb_normal.jpg</v>
      </c>
      <c r="W105" s="82">
        <v>44693.23284722222</v>
      </c>
      <c r="X105" s="87">
        <v>44693</v>
      </c>
      <c r="Y105" s="85" t="s">
        <v>639</v>
      </c>
      <c r="Z105" s="83" t="str">
        <f>HYPERLINK("https://twitter.com/letusbacktonz/status/1524624235989442561")</f>
        <v>https://twitter.com/letusbacktonz/status/1524624235989442561</v>
      </c>
      <c r="AA105" s="80"/>
      <c r="AB105" s="80"/>
      <c r="AC105" s="85" t="s">
        <v>693</v>
      </c>
      <c r="AD105" s="80"/>
      <c r="AE105" s="80" t="b">
        <v>0</v>
      </c>
      <c r="AF105" s="80">
        <v>1</v>
      </c>
      <c r="AG105" s="85" t="s">
        <v>303</v>
      </c>
      <c r="AH105" s="80" t="b">
        <v>1</v>
      </c>
      <c r="AI105" s="80" t="s">
        <v>269</v>
      </c>
      <c r="AJ105" s="80"/>
      <c r="AK105" s="85" t="s">
        <v>692</v>
      </c>
      <c r="AL105" s="80" t="b">
        <v>0</v>
      </c>
      <c r="AM105" s="80">
        <v>1</v>
      </c>
      <c r="AN105" s="85" t="s">
        <v>267</v>
      </c>
      <c r="AO105" s="85" t="s">
        <v>270</v>
      </c>
      <c r="AP105" s="80" t="b">
        <v>0</v>
      </c>
      <c r="AQ105" s="85" t="s">
        <v>693</v>
      </c>
      <c r="AR105" s="80" t="s">
        <v>218</v>
      </c>
      <c r="AS105" s="80">
        <v>0</v>
      </c>
      <c r="AT105" s="80">
        <v>0</v>
      </c>
      <c r="AU105" s="80"/>
      <c r="AV105" s="80"/>
      <c r="AW105" s="80"/>
      <c r="AX105" s="80"/>
      <c r="AY105" s="80"/>
      <c r="AZ105" s="80"/>
      <c r="BA105" s="80"/>
      <c r="BB105" s="80"/>
      <c r="BC105" s="80">
        <v>1</v>
      </c>
      <c r="BD105" s="79" t="str">
        <f>REPLACE(INDEX(GroupVertices[Group],MATCH(Edges49[[#This Row],[Vertex 1]],GroupVertices[Vertex],0)),1,1,"")</f>
        <v>2</v>
      </c>
      <c r="BE105" s="79" t="str">
        <f>REPLACE(INDEX(GroupVertices[Group],MATCH(Edges49[[#This Row],[Vertex 2]],GroupVertices[Vertex],0)),1,1,"")</f>
        <v>2</v>
      </c>
      <c r="BF105" s="49"/>
      <c r="BG105" s="50"/>
      <c r="BH105" s="49"/>
      <c r="BI105" s="50"/>
      <c r="BJ105" s="49"/>
      <c r="BK105" s="50"/>
      <c r="BL105" s="49"/>
      <c r="BM105" s="50"/>
      <c r="BN105" s="49"/>
    </row>
    <row r="106" spans="1:66" ht="15">
      <c r="A106" s="65" t="s">
        <v>559</v>
      </c>
      <c r="B106" s="65" t="s">
        <v>574</v>
      </c>
      <c r="C106" s="66"/>
      <c r="D106" s="67"/>
      <c r="E106" s="66"/>
      <c r="F106" s="69"/>
      <c r="G106" s="66"/>
      <c r="H106" s="70"/>
      <c r="I106" s="71"/>
      <c r="J106" s="71"/>
      <c r="K106" s="35" t="s">
        <v>65</v>
      </c>
      <c r="L106" s="72">
        <v>106</v>
      </c>
      <c r="M106" s="72"/>
      <c r="N106" s="73"/>
      <c r="O106" s="80" t="s">
        <v>261</v>
      </c>
      <c r="P106" s="82">
        <v>44693.23284722222</v>
      </c>
      <c r="Q106" s="80" t="s">
        <v>586</v>
      </c>
      <c r="R106" s="83" t="str">
        <f>HYPERLINK("https://twitter.com/LetusbacktoNZ/status/1524623401868214272")</f>
        <v>https://twitter.com/LetusbacktoNZ/status/1524623401868214272</v>
      </c>
      <c r="S106" s="80" t="s">
        <v>265</v>
      </c>
      <c r="T106" s="80"/>
      <c r="U106" s="80"/>
      <c r="V106" s="83" t="str">
        <f>HYPERLINK("https://pbs.twimg.com/profile_images/1423569281292271617/RHqRplkb_normal.jpg")</f>
        <v>https://pbs.twimg.com/profile_images/1423569281292271617/RHqRplkb_normal.jpg</v>
      </c>
      <c r="W106" s="82">
        <v>44693.23284722222</v>
      </c>
      <c r="X106" s="87">
        <v>44693</v>
      </c>
      <c r="Y106" s="85" t="s">
        <v>639</v>
      </c>
      <c r="Z106" s="83" t="str">
        <f>HYPERLINK("https://twitter.com/letusbacktonz/status/1524624235989442561")</f>
        <v>https://twitter.com/letusbacktonz/status/1524624235989442561</v>
      </c>
      <c r="AA106" s="80"/>
      <c r="AB106" s="80"/>
      <c r="AC106" s="85" t="s">
        <v>693</v>
      </c>
      <c r="AD106" s="80"/>
      <c r="AE106" s="80" t="b">
        <v>0</v>
      </c>
      <c r="AF106" s="80">
        <v>1</v>
      </c>
      <c r="AG106" s="85" t="s">
        <v>303</v>
      </c>
      <c r="AH106" s="80" t="b">
        <v>1</v>
      </c>
      <c r="AI106" s="80" t="s">
        <v>269</v>
      </c>
      <c r="AJ106" s="80"/>
      <c r="AK106" s="85" t="s">
        <v>692</v>
      </c>
      <c r="AL106" s="80" t="b">
        <v>0</v>
      </c>
      <c r="AM106" s="80">
        <v>1</v>
      </c>
      <c r="AN106" s="85" t="s">
        <v>267</v>
      </c>
      <c r="AO106" s="85" t="s">
        <v>270</v>
      </c>
      <c r="AP106" s="80" t="b">
        <v>0</v>
      </c>
      <c r="AQ106" s="85" t="s">
        <v>693</v>
      </c>
      <c r="AR106" s="80" t="s">
        <v>218</v>
      </c>
      <c r="AS106" s="80">
        <v>0</v>
      </c>
      <c r="AT106" s="80">
        <v>0</v>
      </c>
      <c r="AU106" s="80"/>
      <c r="AV106" s="80"/>
      <c r="AW106" s="80"/>
      <c r="AX106" s="80"/>
      <c r="AY106" s="80"/>
      <c r="AZ106" s="80"/>
      <c r="BA106" s="80"/>
      <c r="BB106" s="80"/>
      <c r="BC106" s="80">
        <v>1</v>
      </c>
      <c r="BD106" s="79" t="str">
        <f>REPLACE(INDEX(GroupVertices[Group],MATCH(Edges49[[#This Row],[Vertex 1]],GroupVertices[Vertex],0)),1,1,"")</f>
        <v>2</v>
      </c>
      <c r="BE106" s="79" t="str">
        <f>REPLACE(INDEX(GroupVertices[Group],MATCH(Edges49[[#This Row],[Vertex 2]],GroupVertices[Vertex],0)),1,1,"")</f>
        <v>2</v>
      </c>
      <c r="BF106" s="49"/>
      <c r="BG106" s="50"/>
      <c r="BH106" s="49"/>
      <c r="BI106" s="50"/>
      <c r="BJ106" s="49"/>
      <c r="BK106" s="50"/>
      <c r="BL106" s="49"/>
      <c r="BM106" s="50"/>
      <c r="BN106" s="49"/>
    </row>
    <row r="107" spans="1:66" ht="15">
      <c r="A107" s="65" t="s">
        <v>559</v>
      </c>
      <c r="B107" s="65" t="s">
        <v>575</v>
      </c>
      <c r="C107" s="66"/>
      <c r="D107" s="67"/>
      <c r="E107" s="66"/>
      <c r="F107" s="69"/>
      <c r="G107" s="66"/>
      <c r="H107" s="70"/>
      <c r="I107" s="71"/>
      <c r="J107" s="71"/>
      <c r="K107" s="35" t="s">
        <v>65</v>
      </c>
      <c r="L107" s="72">
        <v>107</v>
      </c>
      <c r="M107" s="72"/>
      <c r="N107" s="73"/>
      <c r="O107" s="80" t="s">
        <v>261</v>
      </c>
      <c r="P107" s="82">
        <v>44693.23284722222</v>
      </c>
      <c r="Q107" s="80" t="s">
        <v>586</v>
      </c>
      <c r="R107" s="83" t="str">
        <f>HYPERLINK("https://twitter.com/LetusbacktoNZ/status/1524623401868214272")</f>
        <v>https://twitter.com/LetusbacktoNZ/status/1524623401868214272</v>
      </c>
      <c r="S107" s="80" t="s">
        <v>265</v>
      </c>
      <c r="T107" s="80"/>
      <c r="U107" s="80"/>
      <c r="V107" s="83" t="str">
        <f>HYPERLINK("https://pbs.twimg.com/profile_images/1423569281292271617/RHqRplkb_normal.jpg")</f>
        <v>https://pbs.twimg.com/profile_images/1423569281292271617/RHqRplkb_normal.jpg</v>
      </c>
      <c r="W107" s="82">
        <v>44693.23284722222</v>
      </c>
      <c r="X107" s="87">
        <v>44693</v>
      </c>
      <c r="Y107" s="85" t="s">
        <v>639</v>
      </c>
      <c r="Z107" s="83" t="str">
        <f>HYPERLINK("https://twitter.com/letusbacktonz/status/1524624235989442561")</f>
        <v>https://twitter.com/letusbacktonz/status/1524624235989442561</v>
      </c>
      <c r="AA107" s="80"/>
      <c r="AB107" s="80"/>
      <c r="AC107" s="85" t="s">
        <v>693</v>
      </c>
      <c r="AD107" s="80"/>
      <c r="AE107" s="80" t="b">
        <v>0</v>
      </c>
      <c r="AF107" s="80">
        <v>1</v>
      </c>
      <c r="AG107" s="85" t="s">
        <v>303</v>
      </c>
      <c r="AH107" s="80" t="b">
        <v>1</v>
      </c>
      <c r="AI107" s="80" t="s">
        <v>269</v>
      </c>
      <c r="AJ107" s="80"/>
      <c r="AK107" s="85" t="s">
        <v>692</v>
      </c>
      <c r="AL107" s="80" t="b">
        <v>0</v>
      </c>
      <c r="AM107" s="80">
        <v>1</v>
      </c>
      <c r="AN107" s="85" t="s">
        <v>267</v>
      </c>
      <c r="AO107" s="85" t="s">
        <v>270</v>
      </c>
      <c r="AP107" s="80" t="b">
        <v>0</v>
      </c>
      <c r="AQ107" s="85" t="s">
        <v>693</v>
      </c>
      <c r="AR107" s="80" t="s">
        <v>218</v>
      </c>
      <c r="AS107" s="80">
        <v>0</v>
      </c>
      <c r="AT107" s="80">
        <v>0</v>
      </c>
      <c r="AU107" s="80"/>
      <c r="AV107" s="80"/>
      <c r="AW107" s="80"/>
      <c r="AX107" s="80"/>
      <c r="AY107" s="80"/>
      <c r="AZ107" s="80"/>
      <c r="BA107" s="80"/>
      <c r="BB107" s="80"/>
      <c r="BC107" s="80">
        <v>1</v>
      </c>
      <c r="BD107" s="79" t="str">
        <f>REPLACE(INDEX(GroupVertices[Group],MATCH(Edges49[[#This Row],[Vertex 1]],GroupVertices[Vertex],0)),1,1,"")</f>
        <v>2</v>
      </c>
      <c r="BE107" s="79" t="str">
        <f>REPLACE(INDEX(GroupVertices[Group],MATCH(Edges49[[#This Row],[Vertex 2]],GroupVertices[Vertex],0)),1,1,"")</f>
        <v>2</v>
      </c>
      <c r="BF107" s="49"/>
      <c r="BG107" s="50"/>
      <c r="BH107" s="49"/>
      <c r="BI107" s="50"/>
      <c r="BJ107" s="49"/>
      <c r="BK107" s="50"/>
      <c r="BL107" s="49"/>
      <c r="BM107" s="50"/>
      <c r="BN107" s="49"/>
    </row>
    <row r="108" spans="1:66" ht="15">
      <c r="A108" s="65" t="s">
        <v>559</v>
      </c>
      <c r="B108" s="65" t="s">
        <v>576</v>
      </c>
      <c r="C108" s="66"/>
      <c r="D108" s="67"/>
      <c r="E108" s="66"/>
      <c r="F108" s="69"/>
      <c r="G108" s="66"/>
      <c r="H108" s="70"/>
      <c r="I108" s="71"/>
      <c r="J108" s="71"/>
      <c r="K108" s="35" t="s">
        <v>65</v>
      </c>
      <c r="L108" s="72">
        <v>108</v>
      </c>
      <c r="M108" s="72"/>
      <c r="N108" s="73"/>
      <c r="O108" s="80" t="s">
        <v>261</v>
      </c>
      <c r="P108" s="82">
        <v>44693.23284722222</v>
      </c>
      <c r="Q108" s="80" t="s">
        <v>586</v>
      </c>
      <c r="R108" s="83" t="str">
        <f>HYPERLINK("https://twitter.com/LetusbacktoNZ/status/1524623401868214272")</f>
        <v>https://twitter.com/LetusbacktoNZ/status/1524623401868214272</v>
      </c>
      <c r="S108" s="80" t="s">
        <v>265</v>
      </c>
      <c r="T108" s="80"/>
      <c r="U108" s="80"/>
      <c r="V108" s="83" t="str">
        <f>HYPERLINK("https://pbs.twimg.com/profile_images/1423569281292271617/RHqRplkb_normal.jpg")</f>
        <v>https://pbs.twimg.com/profile_images/1423569281292271617/RHqRplkb_normal.jpg</v>
      </c>
      <c r="W108" s="82">
        <v>44693.23284722222</v>
      </c>
      <c r="X108" s="87">
        <v>44693</v>
      </c>
      <c r="Y108" s="85" t="s">
        <v>639</v>
      </c>
      <c r="Z108" s="83" t="str">
        <f>HYPERLINK("https://twitter.com/letusbacktonz/status/1524624235989442561")</f>
        <v>https://twitter.com/letusbacktonz/status/1524624235989442561</v>
      </c>
      <c r="AA108" s="80"/>
      <c r="AB108" s="80"/>
      <c r="AC108" s="85" t="s">
        <v>693</v>
      </c>
      <c r="AD108" s="80"/>
      <c r="AE108" s="80" t="b">
        <v>0</v>
      </c>
      <c r="AF108" s="80">
        <v>1</v>
      </c>
      <c r="AG108" s="85" t="s">
        <v>303</v>
      </c>
      <c r="AH108" s="80" t="b">
        <v>1</v>
      </c>
      <c r="AI108" s="80" t="s">
        <v>269</v>
      </c>
      <c r="AJ108" s="80"/>
      <c r="AK108" s="85" t="s">
        <v>692</v>
      </c>
      <c r="AL108" s="80" t="b">
        <v>0</v>
      </c>
      <c r="AM108" s="80">
        <v>1</v>
      </c>
      <c r="AN108" s="85" t="s">
        <v>267</v>
      </c>
      <c r="AO108" s="85" t="s">
        <v>270</v>
      </c>
      <c r="AP108" s="80" t="b">
        <v>0</v>
      </c>
      <c r="AQ108" s="85" t="s">
        <v>693</v>
      </c>
      <c r="AR108" s="80" t="s">
        <v>218</v>
      </c>
      <c r="AS108" s="80">
        <v>0</v>
      </c>
      <c r="AT108" s="80">
        <v>0</v>
      </c>
      <c r="AU108" s="80"/>
      <c r="AV108" s="80"/>
      <c r="AW108" s="80"/>
      <c r="AX108" s="80"/>
      <c r="AY108" s="80"/>
      <c r="AZ108" s="80"/>
      <c r="BA108" s="80"/>
      <c r="BB108" s="80"/>
      <c r="BC108" s="80">
        <v>1</v>
      </c>
      <c r="BD108" s="79" t="str">
        <f>REPLACE(INDEX(GroupVertices[Group],MATCH(Edges49[[#This Row],[Vertex 1]],GroupVertices[Vertex],0)),1,1,"")</f>
        <v>2</v>
      </c>
      <c r="BE108" s="79" t="str">
        <f>REPLACE(INDEX(GroupVertices[Group],MATCH(Edges49[[#This Row],[Vertex 2]],GroupVertices[Vertex],0)),1,1,"")</f>
        <v>2</v>
      </c>
      <c r="BF108" s="49"/>
      <c r="BG108" s="50"/>
      <c r="BH108" s="49"/>
      <c r="BI108" s="50"/>
      <c r="BJ108" s="49"/>
      <c r="BK108" s="50"/>
      <c r="BL108" s="49"/>
      <c r="BM108" s="50"/>
      <c r="BN108" s="49"/>
    </row>
    <row r="109" spans="1:66" ht="15">
      <c r="A109" s="65" t="s">
        <v>559</v>
      </c>
      <c r="B109" s="65" t="s">
        <v>577</v>
      </c>
      <c r="C109" s="66"/>
      <c r="D109" s="67"/>
      <c r="E109" s="66"/>
      <c r="F109" s="69"/>
      <c r="G109" s="66"/>
      <c r="H109" s="70"/>
      <c r="I109" s="71"/>
      <c r="J109" s="71"/>
      <c r="K109" s="35" t="s">
        <v>65</v>
      </c>
      <c r="L109" s="72">
        <v>109</v>
      </c>
      <c r="M109" s="72"/>
      <c r="N109" s="73"/>
      <c r="O109" s="80" t="s">
        <v>261</v>
      </c>
      <c r="P109" s="82">
        <v>44693.23284722222</v>
      </c>
      <c r="Q109" s="80" t="s">
        <v>586</v>
      </c>
      <c r="R109" s="83" t="str">
        <f>HYPERLINK("https://twitter.com/LetusbacktoNZ/status/1524623401868214272")</f>
        <v>https://twitter.com/LetusbacktoNZ/status/1524623401868214272</v>
      </c>
      <c r="S109" s="80" t="s">
        <v>265</v>
      </c>
      <c r="T109" s="80"/>
      <c r="U109" s="80"/>
      <c r="V109" s="83" t="str">
        <f>HYPERLINK("https://pbs.twimg.com/profile_images/1423569281292271617/RHqRplkb_normal.jpg")</f>
        <v>https://pbs.twimg.com/profile_images/1423569281292271617/RHqRplkb_normal.jpg</v>
      </c>
      <c r="W109" s="82">
        <v>44693.23284722222</v>
      </c>
      <c r="X109" s="87">
        <v>44693</v>
      </c>
      <c r="Y109" s="85" t="s">
        <v>639</v>
      </c>
      <c r="Z109" s="83" t="str">
        <f>HYPERLINK("https://twitter.com/letusbacktonz/status/1524624235989442561")</f>
        <v>https://twitter.com/letusbacktonz/status/1524624235989442561</v>
      </c>
      <c r="AA109" s="80"/>
      <c r="AB109" s="80"/>
      <c r="AC109" s="85" t="s">
        <v>693</v>
      </c>
      <c r="AD109" s="80"/>
      <c r="AE109" s="80" t="b">
        <v>0</v>
      </c>
      <c r="AF109" s="80">
        <v>1</v>
      </c>
      <c r="AG109" s="85" t="s">
        <v>303</v>
      </c>
      <c r="AH109" s="80" t="b">
        <v>1</v>
      </c>
      <c r="AI109" s="80" t="s">
        <v>269</v>
      </c>
      <c r="AJ109" s="80"/>
      <c r="AK109" s="85" t="s">
        <v>692</v>
      </c>
      <c r="AL109" s="80" t="b">
        <v>0</v>
      </c>
      <c r="AM109" s="80">
        <v>1</v>
      </c>
      <c r="AN109" s="85" t="s">
        <v>267</v>
      </c>
      <c r="AO109" s="85" t="s">
        <v>270</v>
      </c>
      <c r="AP109" s="80" t="b">
        <v>0</v>
      </c>
      <c r="AQ109" s="85" t="s">
        <v>693</v>
      </c>
      <c r="AR109" s="80" t="s">
        <v>218</v>
      </c>
      <c r="AS109" s="80">
        <v>0</v>
      </c>
      <c r="AT109" s="80">
        <v>0</v>
      </c>
      <c r="AU109" s="80"/>
      <c r="AV109" s="80"/>
      <c r="AW109" s="80"/>
      <c r="AX109" s="80"/>
      <c r="AY109" s="80"/>
      <c r="AZ109" s="80"/>
      <c r="BA109" s="80"/>
      <c r="BB109" s="80"/>
      <c r="BC109" s="80">
        <v>1</v>
      </c>
      <c r="BD109" s="79" t="str">
        <f>REPLACE(INDEX(GroupVertices[Group],MATCH(Edges49[[#This Row],[Vertex 1]],GroupVertices[Vertex],0)),1,1,"")</f>
        <v>2</v>
      </c>
      <c r="BE109" s="79" t="str">
        <f>REPLACE(INDEX(GroupVertices[Group],MATCH(Edges49[[#This Row],[Vertex 2]],GroupVertices[Vertex],0)),1,1,"")</f>
        <v>2</v>
      </c>
      <c r="BF109" s="49"/>
      <c r="BG109" s="50"/>
      <c r="BH109" s="49"/>
      <c r="BI109" s="50"/>
      <c r="BJ109" s="49"/>
      <c r="BK109" s="50"/>
      <c r="BL109" s="49"/>
      <c r="BM109" s="50"/>
      <c r="BN109" s="49"/>
    </row>
    <row r="110" spans="1:66" ht="15">
      <c r="A110" s="65" t="s">
        <v>560</v>
      </c>
      <c r="B110" s="65" t="s">
        <v>578</v>
      </c>
      <c r="C110" s="66"/>
      <c r="D110" s="67"/>
      <c r="E110" s="66"/>
      <c r="F110" s="69"/>
      <c r="G110" s="66"/>
      <c r="H110" s="70"/>
      <c r="I110" s="71"/>
      <c r="J110" s="71"/>
      <c r="K110" s="35" t="s">
        <v>65</v>
      </c>
      <c r="L110" s="72">
        <v>110</v>
      </c>
      <c r="M110" s="72"/>
      <c r="N110" s="73"/>
      <c r="O110" s="80" t="s">
        <v>261</v>
      </c>
      <c r="P110" s="82">
        <v>44693.26857638889</v>
      </c>
      <c r="Q110" s="80" t="s">
        <v>587</v>
      </c>
      <c r="R110" s="83" t="str">
        <f>HYPERLINK("https://www.stuff.co.nz/business/128606699/immigration-is-being-reset-back-to-where-we-started")</f>
        <v>https://www.stuff.co.nz/business/128606699/immigration-is-being-reset-back-to-where-we-started</v>
      </c>
      <c r="S110" s="80" t="s">
        <v>266</v>
      </c>
      <c r="T110" s="80"/>
      <c r="U110" s="80"/>
      <c r="V110" s="83" t="str">
        <f>HYPERLINK("https://pbs.twimg.com/profile_images/1246635876819451904/i-cOhbw2_normal.jpg")</f>
        <v>https://pbs.twimg.com/profile_images/1246635876819451904/i-cOhbw2_normal.jpg</v>
      </c>
      <c r="W110" s="82">
        <v>44693.26857638889</v>
      </c>
      <c r="X110" s="87">
        <v>44693</v>
      </c>
      <c r="Y110" s="85" t="s">
        <v>640</v>
      </c>
      <c r="Z110" s="83" t="str">
        <f>HYPERLINK("https://twitter.com/ericastanfordmp/status/1524637184011120641")</f>
        <v>https://twitter.com/ericastanfordmp/status/1524637184011120641</v>
      </c>
      <c r="AA110" s="80"/>
      <c r="AB110" s="80"/>
      <c r="AC110" s="85" t="s">
        <v>694</v>
      </c>
      <c r="AD110" s="80"/>
      <c r="AE110" s="80" t="b">
        <v>0</v>
      </c>
      <c r="AF110" s="80">
        <v>58</v>
      </c>
      <c r="AG110" s="85" t="s">
        <v>267</v>
      </c>
      <c r="AH110" s="80" t="b">
        <v>0</v>
      </c>
      <c r="AI110" s="80" t="s">
        <v>268</v>
      </c>
      <c r="AJ110" s="80"/>
      <c r="AK110" s="85" t="s">
        <v>267</v>
      </c>
      <c r="AL110" s="80" t="b">
        <v>0</v>
      </c>
      <c r="AM110" s="80">
        <v>28</v>
      </c>
      <c r="AN110" s="85" t="s">
        <v>267</v>
      </c>
      <c r="AO110" s="85" t="s">
        <v>271</v>
      </c>
      <c r="AP110" s="80" t="b">
        <v>0</v>
      </c>
      <c r="AQ110" s="85" t="s">
        <v>694</v>
      </c>
      <c r="AR110" s="80" t="s">
        <v>263</v>
      </c>
      <c r="AS110" s="80">
        <v>0</v>
      </c>
      <c r="AT110" s="80">
        <v>0</v>
      </c>
      <c r="AU110" s="80"/>
      <c r="AV110" s="80"/>
      <c r="AW110" s="80"/>
      <c r="AX110" s="80"/>
      <c r="AY110" s="80"/>
      <c r="AZ110" s="80"/>
      <c r="BA110" s="80"/>
      <c r="BB110" s="80"/>
      <c r="BC110" s="80">
        <v>1</v>
      </c>
      <c r="BD110" s="79" t="str">
        <f>REPLACE(INDEX(GroupVertices[Group],MATCH(Edges49[[#This Row],[Vertex 1]],GroupVertices[Vertex],0)),1,1,"")</f>
        <v>2</v>
      </c>
      <c r="BE110" s="79" t="str">
        <f>REPLACE(INDEX(GroupVertices[Group],MATCH(Edges49[[#This Row],[Vertex 2]],GroupVertices[Vertex],0)),1,1,"")</f>
        <v>2</v>
      </c>
      <c r="BF110" s="49">
        <v>1</v>
      </c>
      <c r="BG110" s="50">
        <v>2.9411764705882355</v>
      </c>
      <c r="BH110" s="49">
        <v>0</v>
      </c>
      <c r="BI110" s="50">
        <v>0</v>
      </c>
      <c r="BJ110" s="49">
        <v>0</v>
      </c>
      <c r="BK110" s="50">
        <v>0</v>
      </c>
      <c r="BL110" s="49">
        <v>33</v>
      </c>
      <c r="BM110" s="50">
        <v>97.05882352941177</v>
      </c>
      <c r="BN110" s="49">
        <v>34</v>
      </c>
    </row>
    <row r="111" spans="1:66" ht="15">
      <c r="A111" s="65" t="s">
        <v>559</v>
      </c>
      <c r="B111" s="65" t="s">
        <v>578</v>
      </c>
      <c r="C111" s="66"/>
      <c r="D111" s="67"/>
      <c r="E111" s="66"/>
      <c r="F111" s="69"/>
      <c r="G111" s="66"/>
      <c r="H111" s="70"/>
      <c r="I111" s="71"/>
      <c r="J111" s="71"/>
      <c r="K111" s="35" t="s">
        <v>65</v>
      </c>
      <c r="L111" s="72">
        <v>111</v>
      </c>
      <c r="M111" s="72"/>
      <c r="N111" s="73"/>
      <c r="O111" s="80" t="s">
        <v>264</v>
      </c>
      <c r="P111" s="82">
        <v>44693.53847222222</v>
      </c>
      <c r="Q111" s="80" t="s">
        <v>587</v>
      </c>
      <c r="R111" s="83" t="str">
        <f>HYPERLINK("https://www.stuff.co.nz/business/128606699/immigration-is-being-reset-back-to-where-we-started")</f>
        <v>https://www.stuff.co.nz/business/128606699/immigration-is-being-reset-back-to-where-we-started</v>
      </c>
      <c r="S111" s="80" t="s">
        <v>266</v>
      </c>
      <c r="T111" s="80"/>
      <c r="U111" s="80"/>
      <c r="V111" s="83" t="str">
        <f>HYPERLINK("https://pbs.twimg.com/profile_images/1423569281292271617/RHqRplkb_normal.jpg")</f>
        <v>https://pbs.twimg.com/profile_images/1423569281292271617/RHqRplkb_normal.jpg</v>
      </c>
      <c r="W111" s="82">
        <v>44693.53847222222</v>
      </c>
      <c r="X111" s="87">
        <v>44693</v>
      </c>
      <c r="Y111" s="85" t="s">
        <v>641</v>
      </c>
      <c r="Z111" s="83" t="str">
        <f>HYPERLINK("https://twitter.com/letusbacktonz/status/1524734992089497600")</f>
        <v>https://twitter.com/letusbacktonz/status/1524734992089497600</v>
      </c>
      <c r="AA111" s="80"/>
      <c r="AB111" s="80"/>
      <c r="AC111" s="85" t="s">
        <v>695</v>
      </c>
      <c r="AD111" s="80"/>
      <c r="AE111" s="80" t="b">
        <v>0</v>
      </c>
      <c r="AF111" s="80">
        <v>0</v>
      </c>
      <c r="AG111" s="85" t="s">
        <v>267</v>
      </c>
      <c r="AH111" s="80" t="b">
        <v>0</v>
      </c>
      <c r="AI111" s="80" t="s">
        <v>268</v>
      </c>
      <c r="AJ111" s="80"/>
      <c r="AK111" s="85" t="s">
        <v>267</v>
      </c>
      <c r="AL111" s="80" t="b">
        <v>0</v>
      </c>
      <c r="AM111" s="80">
        <v>28</v>
      </c>
      <c r="AN111" s="85" t="s">
        <v>694</v>
      </c>
      <c r="AO111" s="85" t="s">
        <v>270</v>
      </c>
      <c r="AP111" s="80" t="b">
        <v>0</v>
      </c>
      <c r="AQ111" s="85" t="s">
        <v>694</v>
      </c>
      <c r="AR111" s="80" t="s">
        <v>218</v>
      </c>
      <c r="AS111" s="80">
        <v>0</v>
      </c>
      <c r="AT111" s="80">
        <v>0</v>
      </c>
      <c r="AU111" s="80"/>
      <c r="AV111" s="80"/>
      <c r="AW111" s="80"/>
      <c r="AX111" s="80"/>
      <c r="AY111" s="80"/>
      <c r="AZ111" s="80"/>
      <c r="BA111" s="80"/>
      <c r="BB111" s="80"/>
      <c r="BC111" s="80">
        <v>1</v>
      </c>
      <c r="BD111" s="79" t="str">
        <f>REPLACE(INDEX(GroupVertices[Group],MATCH(Edges49[[#This Row],[Vertex 1]],GroupVertices[Vertex],0)),1,1,"")</f>
        <v>2</v>
      </c>
      <c r="BE111" s="79" t="str">
        <f>REPLACE(INDEX(GroupVertices[Group],MATCH(Edges49[[#This Row],[Vertex 2]],GroupVertices[Vertex],0)),1,1,"")</f>
        <v>2</v>
      </c>
      <c r="BF111" s="49">
        <v>1</v>
      </c>
      <c r="BG111" s="50">
        <v>2.9411764705882355</v>
      </c>
      <c r="BH111" s="49">
        <v>0</v>
      </c>
      <c r="BI111" s="50">
        <v>0</v>
      </c>
      <c r="BJ111" s="49">
        <v>0</v>
      </c>
      <c r="BK111" s="50">
        <v>0</v>
      </c>
      <c r="BL111" s="49">
        <v>33</v>
      </c>
      <c r="BM111" s="50">
        <v>97.05882352941177</v>
      </c>
      <c r="BN111" s="49">
        <v>34</v>
      </c>
    </row>
    <row r="112" spans="1:66" ht="15">
      <c r="A112" s="65" t="s">
        <v>559</v>
      </c>
      <c r="B112" s="65" t="s">
        <v>560</v>
      </c>
      <c r="C112" s="66"/>
      <c r="D112" s="67"/>
      <c r="E112" s="66"/>
      <c r="F112" s="69"/>
      <c r="G112" s="66"/>
      <c r="H112" s="70"/>
      <c r="I112" s="71"/>
      <c r="J112" s="71"/>
      <c r="K112" s="35" t="s">
        <v>65</v>
      </c>
      <c r="L112" s="72">
        <v>112</v>
      </c>
      <c r="M112" s="72"/>
      <c r="N112" s="73"/>
      <c r="O112" s="80" t="s">
        <v>261</v>
      </c>
      <c r="P112" s="82">
        <v>44693.23284722222</v>
      </c>
      <c r="Q112" s="80" t="s">
        <v>586</v>
      </c>
      <c r="R112" s="83" t="str">
        <f>HYPERLINK("https://twitter.com/LetusbacktoNZ/status/1524623401868214272")</f>
        <v>https://twitter.com/LetusbacktoNZ/status/1524623401868214272</v>
      </c>
      <c r="S112" s="80" t="s">
        <v>265</v>
      </c>
      <c r="T112" s="80"/>
      <c r="U112" s="80"/>
      <c r="V112" s="83" t="str">
        <f>HYPERLINK("https://pbs.twimg.com/profile_images/1423569281292271617/RHqRplkb_normal.jpg")</f>
        <v>https://pbs.twimg.com/profile_images/1423569281292271617/RHqRplkb_normal.jpg</v>
      </c>
      <c r="W112" s="82">
        <v>44693.23284722222</v>
      </c>
      <c r="X112" s="87">
        <v>44693</v>
      </c>
      <c r="Y112" s="85" t="s">
        <v>639</v>
      </c>
      <c r="Z112" s="83" t="str">
        <f>HYPERLINK("https://twitter.com/letusbacktonz/status/1524624235989442561")</f>
        <v>https://twitter.com/letusbacktonz/status/1524624235989442561</v>
      </c>
      <c r="AA112" s="80"/>
      <c r="AB112" s="80"/>
      <c r="AC112" s="85" t="s">
        <v>693</v>
      </c>
      <c r="AD112" s="80"/>
      <c r="AE112" s="80" t="b">
        <v>0</v>
      </c>
      <c r="AF112" s="80">
        <v>1</v>
      </c>
      <c r="AG112" s="85" t="s">
        <v>303</v>
      </c>
      <c r="AH112" s="80" t="b">
        <v>1</v>
      </c>
      <c r="AI112" s="80" t="s">
        <v>269</v>
      </c>
      <c r="AJ112" s="80"/>
      <c r="AK112" s="85" t="s">
        <v>692</v>
      </c>
      <c r="AL112" s="80" t="b">
        <v>0</v>
      </c>
      <c r="AM112" s="80">
        <v>1</v>
      </c>
      <c r="AN112" s="85" t="s">
        <v>267</v>
      </c>
      <c r="AO112" s="85" t="s">
        <v>270</v>
      </c>
      <c r="AP112" s="80" t="b">
        <v>0</v>
      </c>
      <c r="AQ112" s="85" t="s">
        <v>693</v>
      </c>
      <c r="AR112" s="80" t="s">
        <v>218</v>
      </c>
      <c r="AS112" s="80">
        <v>0</v>
      </c>
      <c r="AT112" s="80">
        <v>0</v>
      </c>
      <c r="AU112" s="80"/>
      <c r="AV112" s="80"/>
      <c r="AW112" s="80"/>
      <c r="AX112" s="80"/>
      <c r="AY112" s="80"/>
      <c r="AZ112" s="80"/>
      <c r="BA112" s="80"/>
      <c r="BB112" s="80"/>
      <c r="BC112" s="80">
        <v>2</v>
      </c>
      <c r="BD112" s="79" t="str">
        <f>REPLACE(INDEX(GroupVertices[Group],MATCH(Edges49[[#This Row],[Vertex 1]],GroupVertices[Vertex],0)),1,1,"")</f>
        <v>2</v>
      </c>
      <c r="BE112" s="79" t="str">
        <f>REPLACE(INDEX(GroupVertices[Group],MATCH(Edges49[[#This Row],[Vertex 2]],GroupVertices[Vertex],0)),1,1,"")</f>
        <v>2</v>
      </c>
      <c r="BF112" s="49"/>
      <c r="BG112" s="50"/>
      <c r="BH112" s="49"/>
      <c r="BI112" s="50"/>
      <c r="BJ112" s="49"/>
      <c r="BK112" s="50"/>
      <c r="BL112" s="49"/>
      <c r="BM112" s="50"/>
      <c r="BN112" s="49"/>
    </row>
    <row r="113" spans="1:66" ht="15">
      <c r="A113" s="65" t="s">
        <v>559</v>
      </c>
      <c r="B113" s="65" t="s">
        <v>560</v>
      </c>
      <c r="C113" s="66"/>
      <c r="D113" s="67"/>
      <c r="E113" s="66"/>
      <c r="F113" s="69"/>
      <c r="G113" s="66"/>
      <c r="H113" s="70"/>
      <c r="I113" s="71"/>
      <c r="J113" s="71"/>
      <c r="K113" s="35" t="s">
        <v>65</v>
      </c>
      <c r="L113" s="72">
        <v>113</v>
      </c>
      <c r="M113" s="72"/>
      <c r="N113" s="73"/>
      <c r="O113" s="80" t="s">
        <v>263</v>
      </c>
      <c r="P113" s="82">
        <v>44693.53847222222</v>
      </c>
      <c r="Q113" s="80" t="s">
        <v>587</v>
      </c>
      <c r="R113" s="83" t="str">
        <f>HYPERLINK("https://www.stuff.co.nz/business/128606699/immigration-is-being-reset-back-to-where-we-started")</f>
        <v>https://www.stuff.co.nz/business/128606699/immigration-is-being-reset-back-to-where-we-started</v>
      </c>
      <c r="S113" s="80" t="s">
        <v>266</v>
      </c>
      <c r="T113" s="80"/>
      <c r="U113" s="80"/>
      <c r="V113" s="83" t="str">
        <f>HYPERLINK("https://pbs.twimg.com/profile_images/1423569281292271617/RHqRplkb_normal.jpg")</f>
        <v>https://pbs.twimg.com/profile_images/1423569281292271617/RHqRplkb_normal.jpg</v>
      </c>
      <c r="W113" s="82">
        <v>44693.53847222222</v>
      </c>
      <c r="X113" s="87">
        <v>44693</v>
      </c>
      <c r="Y113" s="85" t="s">
        <v>641</v>
      </c>
      <c r="Z113" s="83" t="str">
        <f>HYPERLINK("https://twitter.com/letusbacktonz/status/1524734992089497600")</f>
        <v>https://twitter.com/letusbacktonz/status/1524734992089497600</v>
      </c>
      <c r="AA113" s="80"/>
      <c r="AB113" s="80"/>
      <c r="AC113" s="85" t="s">
        <v>695</v>
      </c>
      <c r="AD113" s="80"/>
      <c r="AE113" s="80" t="b">
        <v>0</v>
      </c>
      <c r="AF113" s="80">
        <v>0</v>
      </c>
      <c r="AG113" s="85" t="s">
        <v>267</v>
      </c>
      <c r="AH113" s="80" t="b">
        <v>0</v>
      </c>
      <c r="AI113" s="80" t="s">
        <v>268</v>
      </c>
      <c r="AJ113" s="80"/>
      <c r="AK113" s="85" t="s">
        <v>267</v>
      </c>
      <c r="AL113" s="80" t="b">
        <v>0</v>
      </c>
      <c r="AM113" s="80">
        <v>28</v>
      </c>
      <c r="AN113" s="85" t="s">
        <v>694</v>
      </c>
      <c r="AO113" s="85" t="s">
        <v>270</v>
      </c>
      <c r="AP113" s="80" t="b">
        <v>0</v>
      </c>
      <c r="AQ113" s="85" t="s">
        <v>694</v>
      </c>
      <c r="AR113" s="80" t="s">
        <v>218</v>
      </c>
      <c r="AS113" s="80">
        <v>0</v>
      </c>
      <c r="AT113" s="80">
        <v>0</v>
      </c>
      <c r="AU113" s="80"/>
      <c r="AV113" s="80"/>
      <c r="AW113" s="80"/>
      <c r="AX113" s="80"/>
      <c r="AY113" s="80"/>
      <c r="AZ113" s="80"/>
      <c r="BA113" s="80"/>
      <c r="BB113" s="80"/>
      <c r="BC113" s="80">
        <v>2</v>
      </c>
      <c r="BD113" s="79" t="str">
        <f>REPLACE(INDEX(GroupVertices[Group],MATCH(Edges49[[#This Row],[Vertex 1]],GroupVertices[Vertex],0)),1,1,"")</f>
        <v>2</v>
      </c>
      <c r="BE113" s="79" t="str">
        <f>REPLACE(INDEX(GroupVertices[Group],MATCH(Edges49[[#This Row],[Vertex 2]],GroupVertices[Vertex],0)),1,1,"")</f>
        <v>2</v>
      </c>
      <c r="BF113" s="49"/>
      <c r="BG113" s="50"/>
      <c r="BH113" s="49"/>
      <c r="BI113" s="50"/>
      <c r="BJ113" s="49"/>
      <c r="BK113" s="50"/>
      <c r="BL113" s="49"/>
      <c r="BM113" s="50"/>
      <c r="BN113" s="49"/>
    </row>
    <row r="114" spans="1:66" ht="15">
      <c r="A114" s="65" t="s">
        <v>559</v>
      </c>
      <c r="B114" s="65" t="s">
        <v>519</v>
      </c>
      <c r="C114" s="66"/>
      <c r="D114" s="67"/>
      <c r="E114" s="66"/>
      <c r="F114" s="69"/>
      <c r="G114" s="66"/>
      <c r="H114" s="70"/>
      <c r="I114" s="71"/>
      <c r="J114" s="71"/>
      <c r="K114" s="35" t="s">
        <v>65</v>
      </c>
      <c r="L114" s="72">
        <v>114</v>
      </c>
      <c r="M114" s="72"/>
      <c r="N114" s="73"/>
      <c r="O114" s="80" t="s">
        <v>261</v>
      </c>
      <c r="P114" s="82">
        <v>44692.19440972222</v>
      </c>
      <c r="Q114" s="80" t="s">
        <v>580</v>
      </c>
      <c r="R114" s="80"/>
      <c r="S114" s="80"/>
      <c r="T114" s="85" t="s">
        <v>596</v>
      </c>
      <c r="U114" s="83" t="str">
        <f>HYPERLINK("https://pbs.twimg.com/media/FSc09v5aQAAY6bm.jpg")</f>
        <v>https://pbs.twimg.com/media/FSc09v5aQAAY6bm.jpg</v>
      </c>
      <c r="V114" s="83" t="str">
        <f>HYPERLINK("https://pbs.twimg.com/media/FSc09v5aQAAY6bm.jpg")</f>
        <v>https://pbs.twimg.com/media/FSc09v5aQAAY6bm.jpg</v>
      </c>
      <c r="W114" s="82">
        <v>44692.19440972222</v>
      </c>
      <c r="X114" s="87">
        <v>44692</v>
      </c>
      <c r="Y114" s="85" t="s">
        <v>642</v>
      </c>
      <c r="Z114" s="83" t="str">
        <f>HYPERLINK("https://twitter.com/letusbacktonz/status/1524247919188389888")</f>
        <v>https://twitter.com/letusbacktonz/status/1524247919188389888</v>
      </c>
      <c r="AA114" s="80"/>
      <c r="AB114" s="80"/>
      <c r="AC114" s="85" t="s">
        <v>696</v>
      </c>
      <c r="AD114" s="80"/>
      <c r="AE114" s="80" t="b">
        <v>0</v>
      </c>
      <c r="AF114" s="80">
        <v>17</v>
      </c>
      <c r="AG114" s="85" t="s">
        <v>267</v>
      </c>
      <c r="AH114" s="80" t="b">
        <v>0</v>
      </c>
      <c r="AI114" s="80" t="s">
        <v>268</v>
      </c>
      <c r="AJ114" s="80"/>
      <c r="AK114" s="85" t="s">
        <v>267</v>
      </c>
      <c r="AL114" s="80" t="b">
        <v>0</v>
      </c>
      <c r="AM114" s="80">
        <v>19</v>
      </c>
      <c r="AN114" s="85" t="s">
        <v>267</v>
      </c>
      <c r="AO114" s="85" t="s">
        <v>270</v>
      </c>
      <c r="AP114" s="80" t="b">
        <v>0</v>
      </c>
      <c r="AQ114" s="85" t="s">
        <v>696</v>
      </c>
      <c r="AR114" s="80" t="s">
        <v>218</v>
      </c>
      <c r="AS114" s="80">
        <v>0</v>
      </c>
      <c r="AT114" s="80">
        <v>0</v>
      </c>
      <c r="AU114" s="80"/>
      <c r="AV114" s="80"/>
      <c r="AW114" s="80"/>
      <c r="AX114" s="80"/>
      <c r="AY114" s="80"/>
      <c r="AZ114" s="80"/>
      <c r="BA114" s="80"/>
      <c r="BB114" s="80"/>
      <c r="BC114" s="80">
        <v>4</v>
      </c>
      <c r="BD114" s="79" t="str">
        <f>REPLACE(INDEX(GroupVertices[Group],MATCH(Edges49[[#This Row],[Vertex 1]],GroupVertices[Vertex],0)),1,1,"")</f>
        <v>2</v>
      </c>
      <c r="BE114" s="79" t="str">
        <f>REPLACE(INDEX(GroupVertices[Group],MATCH(Edges49[[#This Row],[Vertex 2]],GroupVertices[Vertex],0)),1,1,"")</f>
        <v>1</v>
      </c>
      <c r="BF114" s="49"/>
      <c r="BG114" s="50"/>
      <c r="BH114" s="49"/>
      <c r="BI114" s="50"/>
      <c r="BJ114" s="49"/>
      <c r="BK114" s="50"/>
      <c r="BL114" s="49"/>
      <c r="BM114" s="50"/>
      <c r="BN114" s="49"/>
    </row>
    <row r="115" spans="1:66" ht="15">
      <c r="A115" s="65" t="s">
        <v>559</v>
      </c>
      <c r="B115" s="65" t="s">
        <v>519</v>
      </c>
      <c r="C115" s="66"/>
      <c r="D115" s="67"/>
      <c r="E115" s="66"/>
      <c r="F115" s="69"/>
      <c r="G115" s="66"/>
      <c r="H115" s="70"/>
      <c r="I115" s="71"/>
      <c r="J115" s="71"/>
      <c r="K115" s="35" t="s">
        <v>65</v>
      </c>
      <c r="L115" s="72">
        <v>115</v>
      </c>
      <c r="M115" s="72"/>
      <c r="N115" s="73"/>
      <c r="O115" s="80" t="s">
        <v>264</v>
      </c>
      <c r="P115" s="82">
        <v>44692.5190625</v>
      </c>
      <c r="Q115" s="80" t="s">
        <v>580</v>
      </c>
      <c r="R115" s="80"/>
      <c r="S115" s="80"/>
      <c r="T115" s="85" t="s">
        <v>596</v>
      </c>
      <c r="U115" s="83" t="str">
        <f>HYPERLINK("https://pbs.twimg.com/media/FSc09v5aQAAY6bm.jpg")</f>
        <v>https://pbs.twimg.com/media/FSc09v5aQAAY6bm.jpg</v>
      </c>
      <c r="V115" s="83" t="str">
        <f>HYPERLINK("https://pbs.twimg.com/media/FSc09v5aQAAY6bm.jpg")</f>
        <v>https://pbs.twimg.com/media/FSc09v5aQAAY6bm.jpg</v>
      </c>
      <c r="W115" s="82">
        <v>44692.5190625</v>
      </c>
      <c r="X115" s="87">
        <v>44692</v>
      </c>
      <c r="Y115" s="85" t="s">
        <v>643</v>
      </c>
      <c r="Z115" s="83" t="str">
        <f>HYPERLINK("https://twitter.com/letusbacktonz/status/1524365566693486592")</f>
        <v>https://twitter.com/letusbacktonz/status/1524365566693486592</v>
      </c>
      <c r="AA115" s="80"/>
      <c r="AB115" s="80"/>
      <c r="AC115" s="85" t="s">
        <v>697</v>
      </c>
      <c r="AD115" s="80"/>
      <c r="AE115" s="80" t="b">
        <v>0</v>
      </c>
      <c r="AF115" s="80">
        <v>0</v>
      </c>
      <c r="AG115" s="85" t="s">
        <v>267</v>
      </c>
      <c r="AH115" s="80" t="b">
        <v>0</v>
      </c>
      <c r="AI115" s="80" t="s">
        <v>268</v>
      </c>
      <c r="AJ115" s="80"/>
      <c r="AK115" s="85" t="s">
        <v>267</v>
      </c>
      <c r="AL115" s="80" t="b">
        <v>0</v>
      </c>
      <c r="AM115" s="80">
        <v>19</v>
      </c>
      <c r="AN115" s="85" t="s">
        <v>696</v>
      </c>
      <c r="AO115" s="85" t="s">
        <v>272</v>
      </c>
      <c r="AP115" s="80" t="b">
        <v>0</v>
      </c>
      <c r="AQ115" s="85" t="s">
        <v>696</v>
      </c>
      <c r="AR115" s="80" t="s">
        <v>218</v>
      </c>
      <c r="AS115" s="80">
        <v>0</v>
      </c>
      <c r="AT115" s="80">
        <v>0</v>
      </c>
      <c r="AU115" s="80"/>
      <c r="AV115" s="80"/>
      <c r="AW115" s="80"/>
      <c r="AX115" s="80"/>
      <c r="AY115" s="80"/>
      <c r="AZ115" s="80"/>
      <c r="BA115" s="80"/>
      <c r="BB115" s="80"/>
      <c r="BC115" s="80">
        <v>4</v>
      </c>
      <c r="BD115" s="79" t="str">
        <f>REPLACE(INDEX(GroupVertices[Group],MATCH(Edges49[[#This Row],[Vertex 1]],GroupVertices[Vertex],0)),1,1,"")</f>
        <v>2</v>
      </c>
      <c r="BE115" s="79" t="str">
        <f>REPLACE(INDEX(GroupVertices[Group],MATCH(Edges49[[#This Row],[Vertex 2]],GroupVertices[Vertex],0)),1,1,"")</f>
        <v>1</v>
      </c>
      <c r="BF115" s="49"/>
      <c r="BG115" s="50"/>
      <c r="BH115" s="49"/>
      <c r="BI115" s="50"/>
      <c r="BJ115" s="49"/>
      <c r="BK115" s="50"/>
      <c r="BL115" s="49"/>
      <c r="BM115" s="50"/>
      <c r="BN115" s="49"/>
    </row>
    <row r="116" spans="1:66" ht="15">
      <c r="A116" s="65" t="s">
        <v>559</v>
      </c>
      <c r="B116" s="65" t="s">
        <v>519</v>
      </c>
      <c r="C116" s="66"/>
      <c r="D116" s="67"/>
      <c r="E116" s="66"/>
      <c r="F116" s="69"/>
      <c r="G116" s="66"/>
      <c r="H116" s="70"/>
      <c r="I116" s="71"/>
      <c r="J116" s="71"/>
      <c r="K116" s="35" t="s">
        <v>65</v>
      </c>
      <c r="L116" s="72">
        <v>116</v>
      </c>
      <c r="M116" s="72"/>
      <c r="N116" s="73"/>
      <c r="O116" s="80" t="s">
        <v>261</v>
      </c>
      <c r="P116" s="82">
        <v>44692.52805555556</v>
      </c>
      <c r="Q116" s="80" t="s">
        <v>581</v>
      </c>
      <c r="R116" s="80"/>
      <c r="S116" s="80"/>
      <c r="T116" s="80"/>
      <c r="U116" s="83" t="str">
        <f>HYPERLINK("https://pbs.twimg.com/ext_tw_video_thumb/1524368758437216256/pu/img/3UwSYL_0rta3dEGi.jpg")</f>
        <v>https://pbs.twimg.com/ext_tw_video_thumb/1524368758437216256/pu/img/3UwSYL_0rta3dEGi.jpg</v>
      </c>
      <c r="V116" s="83" t="str">
        <f>HYPERLINK("https://pbs.twimg.com/ext_tw_video_thumb/1524368758437216256/pu/img/3UwSYL_0rta3dEGi.jpg")</f>
        <v>https://pbs.twimg.com/ext_tw_video_thumb/1524368758437216256/pu/img/3UwSYL_0rta3dEGi.jpg</v>
      </c>
      <c r="W116" s="82">
        <v>44692.52805555556</v>
      </c>
      <c r="X116" s="87">
        <v>44692</v>
      </c>
      <c r="Y116" s="85" t="s">
        <v>644</v>
      </c>
      <c r="Z116" s="83" t="str">
        <f>HYPERLINK("https://twitter.com/letusbacktonz/status/1524368825562836992")</f>
        <v>https://twitter.com/letusbacktonz/status/1524368825562836992</v>
      </c>
      <c r="AA116" s="80"/>
      <c r="AB116" s="80"/>
      <c r="AC116" s="85" t="s">
        <v>698</v>
      </c>
      <c r="AD116" s="80"/>
      <c r="AE116" s="80" t="b">
        <v>0</v>
      </c>
      <c r="AF116" s="80">
        <v>15</v>
      </c>
      <c r="AG116" s="85" t="s">
        <v>267</v>
      </c>
      <c r="AH116" s="80" t="b">
        <v>0</v>
      </c>
      <c r="AI116" s="80" t="s">
        <v>268</v>
      </c>
      <c r="AJ116" s="80"/>
      <c r="AK116" s="85" t="s">
        <v>267</v>
      </c>
      <c r="AL116" s="80" t="b">
        <v>0</v>
      </c>
      <c r="AM116" s="80">
        <v>16</v>
      </c>
      <c r="AN116" s="85" t="s">
        <v>267</v>
      </c>
      <c r="AO116" s="85" t="s">
        <v>272</v>
      </c>
      <c r="AP116" s="80" t="b">
        <v>0</v>
      </c>
      <c r="AQ116" s="85" t="s">
        <v>698</v>
      </c>
      <c r="AR116" s="80" t="s">
        <v>218</v>
      </c>
      <c r="AS116" s="80">
        <v>0</v>
      </c>
      <c r="AT116" s="80">
        <v>0</v>
      </c>
      <c r="AU116" s="80"/>
      <c r="AV116" s="80"/>
      <c r="AW116" s="80"/>
      <c r="AX116" s="80"/>
      <c r="AY116" s="80"/>
      <c r="AZ116" s="80"/>
      <c r="BA116" s="80"/>
      <c r="BB116" s="80"/>
      <c r="BC116" s="80">
        <v>4</v>
      </c>
      <c r="BD116" s="79" t="str">
        <f>REPLACE(INDEX(GroupVertices[Group],MATCH(Edges49[[#This Row],[Vertex 1]],GroupVertices[Vertex],0)),1,1,"")</f>
        <v>2</v>
      </c>
      <c r="BE116" s="79" t="str">
        <f>REPLACE(INDEX(GroupVertices[Group],MATCH(Edges49[[#This Row],[Vertex 2]],GroupVertices[Vertex],0)),1,1,"")</f>
        <v>1</v>
      </c>
      <c r="BF116" s="49">
        <v>0</v>
      </c>
      <c r="BG116" s="50">
        <v>0</v>
      </c>
      <c r="BH116" s="49">
        <v>2</v>
      </c>
      <c r="BI116" s="50">
        <v>4.651162790697675</v>
      </c>
      <c r="BJ116" s="49">
        <v>0</v>
      </c>
      <c r="BK116" s="50">
        <v>0</v>
      </c>
      <c r="BL116" s="49">
        <v>41</v>
      </c>
      <c r="BM116" s="50">
        <v>95.34883720930233</v>
      </c>
      <c r="BN116" s="49">
        <v>43</v>
      </c>
    </row>
    <row r="117" spans="1:66" ht="15">
      <c r="A117" s="65" t="s">
        <v>559</v>
      </c>
      <c r="B117" s="65" t="s">
        <v>519</v>
      </c>
      <c r="C117" s="66"/>
      <c r="D117" s="67"/>
      <c r="E117" s="66"/>
      <c r="F117" s="69"/>
      <c r="G117" s="66"/>
      <c r="H117" s="70"/>
      <c r="I117" s="71"/>
      <c r="J117" s="71"/>
      <c r="K117" s="35" t="s">
        <v>65</v>
      </c>
      <c r="L117" s="72">
        <v>117</v>
      </c>
      <c r="M117" s="72"/>
      <c r="N117" s="73"/>
      <c r="O117" s="80" t="s">
        <v>261</v>
      </c>
      <c r="P117" s="82">
        <v>44693.23284722222</v>
      </c>
      <c r="Q117" s="80" t="s">
        <v>586</v>
      </c>
      <c r="R117" s="83" t="str">
        <f>HYPERLINK("https://twitter.com/LetusbacktoNZ/status/1524623401868214272")</f>
        <v>https://twitter.com/LetusbacktoNZ/status/1524623401868214272</v>
      </c>
      <c r="S117" s="80" t="s">
        <v>265</v>
      </c>
      <c r="T117" s="80"/>
      <c r="U117" s="80"/>
      <c r="V117" s="83" t="str">
        <f>HYPERLINK("https://pbs.twimg.com/profile_images/1423569281292271617/RHqRplkb_normal.jpg")</f>
        <v>https://pbs.twimg.com/profile_images/1423569281292271617/RHqRplkb_normal.jpg</v>
      </c>
      <c r="W117" s="82">
        <v>44693.23284722222</v>
      </c>
      <c r="X117" s="87">
        <v>44693</v>
      </c>
      <c r="Y117" s="85" t="s">
        <v>639</v>
      </c>
      <c r="Z117" s="83" t="str">
        <f>HYPERLINK("https://twitter.com/letusbacktonz/status/1524624235989442561")</f>
        <v>https://twitter.com/letusbacktonz/status/1524624235989442561</v>
      </c>
      <c r="AA117" s="80"/>
      <c r="AB117" s="80"/>
      <c r="AC117" s="85" t="s">
        <v>693</v>
      </c>
      <c r="AD117" s="80"/>
      <c r="AE117" s="80" t="b">
        <v>0</v>
      </c>
      <c r="AF117" s="80">
        <v>1</v>
      </c>
      <c r="AG117" s="85" t="s">
        <v>303</v>
      </c>
      <c r="AH117" s="80" t="b">
        <v>1</v>
      </c>
      <c r="AI117" s="80" t="s">
        <v>269</v>
      </c>
      <c r="AJ117" s="80"/>
      <c r="AK117" s="85" t="s">
        <v>692</v>
      </c>
      <c r="AL117" s="80" t="b">
        <v>0</v>
      </c>
      <c r="AM117" s="80">
        <v>1</v>
      </c>
      <c r="AN117" s="85" t="s">
        <v>267</v>
      </c>
      <c r="AO117" s="85" t="s">
        <v>270</v>
      </c>
      <c r="AP117" s="80" t="b">
        <v>0</v>
      </c>
      <c r="AQ117" s="85" t="s">
        <v>693</v>
      </c>
      <c r="AR117" s="80" t="s">
        <v>218</v>
      </c>
      <c r="AS117" s="80">
        <v>0</v>
      </c>
      <c r="AT117" s="80">
        <v>0</v>
      </c>
      <c r="AU117" s="80"/>
      <c r="AV117" s="80"/>
      <c r="AW117" s="80"/>
      <c r="AX117" s="80"/>
      <c r="AY117" s="80"/>
      <c r="AZ117" s="80"/>
      <c r="BA117" s="80"/>
      <c r="BB117" s="80"/>
      <c r="BC117" s="80">
        <v>4</v>
      </c>
      <c r="BD117" s="79" t="str">
        <f>REPLACE(INDEX(GroupVertices[Group],MATCH(Edges49[[#This Row],[Vertex 1]],GroupVertices[Vertex],0)),1,1,"")</f>
        <v>2</v>
      </c>
      <c r="BE117" s="79" t="str">
        <f>REPLACE(INDEX(GroupVertices[Group],MATCH(Edges49[[#This Row],[Vertex 2]],GroupVertices[Vertex],0)),1,1,"")</f>
        <v>1</v>
      </c>
      <c r="BF117" s="49"/>
      <c r="BG117" s="50"/>
      <c r="BH117" s="49"/>
      <c r="BI117" s="50"/>
      <c r="BJ117" s="49"/>
      <c r="BK117" s="50"/>
      <c r="BL117" s="49"/>
      <c r="BM117" s="50"/>
      <c r="BN117" s="49"/>
    </row>
    <row r="118" spans="1:66" ht="15">
      <c r="A118" s="65" t="s">
        <v>561</v>
      </c>
      <c r="B118" s="65" t="s">
        <v>519</v>
      </c>
      <c r="C118" s="66"/>
      <c r="D118" s="67"/>
      <c r="E118" s="66"/>
      <c r="F118" s="69"/>
      <c r="G118" s="66"/>
      <c r="H118" s="70"/>
      <c r="I118" s="71"/>
      <c r="J118" s="71"/>
      <c r="K118" s="35" t="s">
        <v>65</v>
      </c>
      <c r="L118" s="72">
        <v>118</v>
      </c>
      <c r="M118" s="72"/>
      <c r="N118" s="73"/>
      <c r="O118" s="80" t="s">
        <v>264</v>
      </c>
      <c r="P118" s="82">
        <v>44697.02980324074</v>
      </c>
      <c r="Q118" s="80" t="s">
        <v>581</v>
      </c>
      <c r="R118" s="80"/>
      <c r="S118" s="80"/>
      <c r="T118" s="80"/>
      <c r="U118" s="83" t="str">
        <f>HYPERLINK("https://pbs.twimg.com/ext_tw_video_thumb/1524368758437216256/pu/img/3UwSYL_0rta3dEGi.jpg")</f>
        <v>https://pbs.twimg.com/ext_tw_video_thumb/1524368758437216256/pu/img/3UwSYL_0rta3dEGi.jpg</v>
      </c>
      <c r="V118" s="83" t="str">
        <f>HYPERLINK("https://pbs.twimg.com/ext_tw_video_thumb/1524368758437216256/pu/img/3UwSYL_0rta3dEGi.jpg")</f>
        <v>https://pbs.twimg.com/ext_tw_video_thumb/1524368758437216256/pu/img/3UwSYL_0rta3dEGi.jpg</v>
      </c>
      <c r="W118" s="82">
        <v>44697.02980324074</v>
      </c>
      <c r="X118" s="87">
        <v>44697</v>
      </c>
      <c r="Y118" s="85" t="s">
        <v>645</v>
      </c>
      <c r="Z118" s="83" t="str">
        <f>HYPERLINK("https://twitter.com/ssidhugurpreet/status/1526000207132930048")</f>
        <v>https://twitter.com/ssidhugurpreet/status/1526000207132930048</v>
      </c>
      <c r="AA118" s="80"/>
      <c r="AB118" s="80"/>
      <c r="AC118" s="85" t="s">
        <v>699</v>
      </c>
      <c r="AD118" s="80"/>
      <c r="AE118" s="80" t="b">
        <v>0</v>
      </c>
      <c r="AF118" s="80">
        <v>0</v>
      </c>
      <c r="AG118" s="85" t="s">
        <v>267</v>
      </c>
      <c r="AH118" s="80" t="b">
        <v>0</v>
      </c>
      <c r="AI118" s="80" t="s">
        <v>268</v>
      </c>
      <c r="AJ118" s="80"/>
      <c r="AK118" s="85" t="s">
        <v>267</v>
      </c>
      <c r="AL118" s="80" t="b">
        <v>0</v>
      </c>
      <c r="AM118" s="80">
        <v>16</v>
      </c>
      <c r="AN118" s="85" t="s">
        <v>698</v>
      </c>
      <c r="AO118" s="85" t="s">
        <v>272</v>
      </c>
      <c r="AP118" s="80" t="b">
        <v>0</v>
      </c>
      <c r="AQ118" s="85" t="s">
        <v>698</v>
      </c>
      <c r="AR118" s="80" t="s">
        <v>218</v>
      </c>
      <c r="AS118" s="80">
        <v>0</v>
      </c>
      <c r="AT118" s="80">
        <v>0</v>
      </c>
      <c r="AU118" s="80"/>
      <c r="AV118" s="80"/>
      <c r="AW118" s="80"/>
      <c r="AX118" s="80"/>
      <c r="AY118" s="80"/>
      <c r="AZ118" s="80"/>
      <c r="BA118" s="80"/>
      <c r="BB118" s="80"/>
      <c r="BC118" s="80">
        <v>2</v>
      </c>
      <c r="BD118" s="79" t="str">
        <f>REPLACE(INDEX(GroupVertices[Group],MATCH(Edges49[[#This Row],[Vertex 1]],GroupVertices[Vertex],0)),1,1,"")</f>
        <v>1</v>
      </c>
      <c r="BE118" s="79" t="str">
        <f>REPLACE(INDEX(GroupVertices[Group],MATCH(Edges49[[#This Row],[Vertex 2]],GroupVertices[Vertex],0)),1,1,"")</f>
        <v>1</v>
      </c>
      <c r="BF118" s="49"/>
      <c r="BG118" s="50"/>
      <c r="BH118" s="49"/>
      <c r="BI118" s="50"/>
      <c r="BJ118" s="49"/>
      <c r="BK118" s="50"/>
      <c r="BL118" s="49"/>
      <c r="BM118" s="50"/>
      <c r="BN118" s="49"/>
    </row>
    <row r="119" spans="1:66" ht="15">
      <c r="A119" s="65" t="s">
        <v>561</v>
      </c>
      <c r="B119" s="65" t="s">
        <v>519</v>
      </c>
      <c r="C119" s="66"/>
      <c r="D119" s="67"/>
      <c r="E119" s="66"/>
      <c r="F119" s="69"/>
      <c r="G119" s="66"/>
      <c r="H119" s="70"/>
      <c r="I119" s="71"/>
      <c r="J119" s="71"/>
      <c r="K119" s="35" t="s">
        <v>65</v>
      </c>
      <c r="L119" s="72">
        <v>119</v>
      </c>
      <c r="M119" s="72"/>
      <c r="N119" s="73"/>
      <c r="O119" s="80" t="s">
        <v>264</v>
      </c>
      <c r="P119" s="82">
        <v>44697.030694444446</v>
      </c>
      <c r="Q119" s="80" t="s">
        <v>580</v>
      </c>
      <c r="R119" s="80"/>
      <c r="S119" s="80"/>
      <c r="T119" s="85" t="s">
        <v>596</v>
      </c>
      <c r="U119" s="83" t="str">
        <f>HYPERLINK("https://pbs.twimg.com/media/FSc09v5aQAAY6bm.jpg")</f>
        <v>https://pbs.twimg.com/media/FSc09v5aQAAY6bm.jpg</v>
      </c>
      <c r="V119" s="83" t="str">
        <f>HYPERLINK("https://pbs.twimg.com/media/FSc09v5aQAAY6bm.jpg")</f>
        <v>https://pbs.twimg.com/media/FSc09v5aQAAY6bm.jpg</v>
      </c>
      <c r="W119" s="82">
        <v>44697.030694444446</v>
      </c>
      <c r="X119" s="87">
        <v>44697</v>
      </c>
      <c r="Y119" s="85" t="s">
        <v>646</v>
      </c>
      <c r="Z119" s="83" t="str">
        <f>HYPERLINK("https://twitter.com/ssidhugurpreet/status/1526000528181694464")</f>
        <v>https://twitter.com/ssidhugurpreet/status/1526000528181694464</v>
      </c>
      <c r="AA119" s="80"/>
      <c r="AB119" s="80"/>
      <c r="AC119" s="85" t="s">
        <v>700</v>
      </c>
      <c r="AD119" s="80"/>
      <c r="AE119" s="80" t="b">
        <v>0</v>
      </c>
      <c r="AF119" s="80">
        <v>0</v>
      </c>
      <c r="AG119" s="85" t="s">
        <v>267</v>
      </c>
      <c r="AH119" s="80" t="b">
        <v>0</v>
      </c>
      <c r="AI119" s="80" t="s">
        <v>268</v>
      </c>
      <c r="AJ119" s="80"/>
      <c r="AK119" s="85" t="s">
        <v>267</v>
      </c>
      <c r="AL119" s="80" t="b">
        <v>0</v>
      </c>
      <c r="AM119" s="80">
        <v>19</v>
      </c>
      <c r="AN119" s="85" t="s">
        <v>696</v>
      </c>
      <c r="AO119" s="85" t="s">
        <v>272</v>
      </c>
      <c r="AP119" s="80" t="b">
        <v>0</v>
      </c>
      <c r="AQ119" s="85" t="s">
        <v>696</v>
      </c>
      <c r="AR119" s="80" t="s">
        <v>218</v>
      </c>
      <c r="AS119" s="80">
        <v>0</v>
      </c>
      <c r="AT119" s="80">
        <v>0</v>
      </c>
      <c r="AU119" s="80"/>
      <c r="AV119" s="80"/>
      <c r="AW119" s="80"/>
      <c r="AX119" s="80"/>
      <c r="AY119" s="80"/>
      <c r="AZ119" s="80"/>
      <c r="BA119" s="80"/>
      <c r="BB119" s="80"/>
      <c r="BC119" s="80">
        <v>2</v>
      </c>
      <c r="BD119" s="79" t="str">
        <f>REPLACE(INDEX(GroupVertices[Group],MATCH(Edges49[[#This Row],[Vertex 1]],GroupVertices[Vertex],0)),1,1,"")</f>
        <v>1</v>
      </c>
      <c r="BE119" s="79" t="str">
        <f>REPLACE(INDEX(GroupVertices[Group],MATCH(Edges49[[#This Row],[Vertex 2]],GroupVertices[Vertex],0)),1,1,"")</f>
        <v>1</v>
      </c>
      <c r="BF119" s="49"/>
      <c r="BG119" s="50"/>
      <c r="BH119" s="49"/>
      <c r="BI119" s="50"/>
      <c r="BJ119" s="49"/>
      <c r="BK119" s="50"/>
      <c r="BL119" s="49"/>
      <c r="BM119" s="50"/>
      <c r="BN119" s="49"/>
    </row>
    <row r="120" spans="1:66" ht="15">
      <c r="A120" s="65" t="s">
        <v>559</v>
      </c>
      <c r="B120" s="65" t="s">
        <v>258</v>
      </c>
      <c r="C120" s="66"/>
      <c r="D120" s="67"/>
      <c r="E120" s="66"/>
      <c r="F120" s="69"/>
      <c r="G120" s="66"/>
      <c r="H120" s="70"/>
      <c r="I120" s="71"/>
      <c r="J120" s="71"/>
      <c r="K120" s="35" t="s">
        <v>65</v>
      </c>
      <c r="L120" s="72">
        <v>120</v>
      </c>
      <c r="M120" s="72"/>
      <c r="N120" s="73"/>
      <c r="O120" s="80" t="s">
        <v>261</v>
      </c>
      <c r="P120" s="82">
        <v>44692.19440972222</v>
      </c>
      <c r="Q120" s="80" t="s">
        <v>580</v>
      </c>
      <c r="R120" s="80"/>
      <c r="S120" s="80"/>
      <c r="T120" s="85" t="s">
        <v>596</v>
      </c>
      <c r="U120" s="83" t="str">
        <f>HYPERLINK("https://pbs.twimg.com/media/FSc09v5aQAAY6bm.jpg")</f>
        <v>https://pbs.twimg.com/media/FSc09v5aQAAY6bm.jpg</v>
      </c>
      <c r="V120" s="83" t="str">
        <f>HYPERLINK("https://pbs.twimg.com/media/FSc09v5aQAAY6bm.jpg")</f>
        <v>https://pbs.twimg.com/media/FSc09v5aQAAY6bm.jpg</v>
      </c>
      <c r="W120" s="82">
        <v>44692.19440972222</v>
      </c>
      <c r="X120" s="87">
        <v>44692</v>
      </c>
      <c r="Y120" s="85" t="s">
        <v>642</v>
      </c>
      <c r="Z120" s="83" t="str">
        <f>HYPERLINK("https://twitter.com/letusbacktonz/status/1524247919188389888")</f>
        <v>https://twitter.com/letusbacktonz/status/1524247919188389888</v>
      </c>
      <c r="AA120" s="80"/>
      <c r="AB120" s="80"/>
      <c r="AC120" s="85" t="s">
        <v>696</v>
      </c>
      <c r="AD120" s="80"/>
      <c r="AE120" s="80" t="b">
        <v>0</v>
      </c>
      <c r="AF120" s="80">
        <v>17</v>
      </c>
      <c r="AG120" s="85" t="s">
        <v>267</v>
      </c>
      <c r="AH120" s="80" t="b">
        <v>0</v>
      </c>
      <c r="AI120" s="80" t="s">
        <v>268</v>
      </c>
      <c r="AJ120" s="80"/>
      <c r="AK120" s="85" t="s">
        <v>267</v>
      </c>
      <c r="AL120" s="80" t="b">
        <v>0</v>
      </c>
      <c r="AM120" s="80">
        <v>19</v>
      </c>
      <c r="AN120" s="85" t="s">
        <v>267</v>
      </c>
      <c r="AO120" s="85" t="s">
        <v>270</v>
      </c>
      <c r="AP120" s="80" t="b">
        <v>0</v>
      </c>
      <c r="AQ120" s="85" t="s">
        <v>696</v>
      </c>
      <c r="AR120" s="80" t="s">
        <v>218</v>
      </c>
      <c r="AS120" s="80">
        <v>0</v>
      </c>
      <c r="AT120" s="80">
        <v>0</v>
      </c>
      <c r="AU120" s="80"/>
      <c r="AV120" s="80"/>
      <c r="AW120" s="80"/>
      <c r="AX120" s="80"/>
      <c r="AY120" s="80"/>
      <c r="AZ120" s="80"/>
      <c r="BA120" s="80"/>
      <c r="BB120" s="80"/>
      <c r="BC120" s="80">
        <v>3</v>
      </c>
      <c r="BD120" s="79" t="str">
        <f>REPLACE(INDEX(GroupVertices[Group],MATCH(Edges49[[#This Row],[Vertex 1]],GroupVertices[Vertex],0)),1,1,"")</f>
        <v>2</v>
      </c>
      <c r="BE120" s="79" t="str">
        <f>REPLACE(INDEX(GroupVertices[Group],MATCH(Edges49[[#This Row],[Vertex 2]],GroupVertices[Vertex],0)),1,1,"")</f>
        <v>1</v>
      </c>
      <c r="BF120" s="49">
        <v>0</v>
      </c>
      <c r="BG120" s="50">
        <v>0</v>
      </c>
      <c r="BH120" s="49">
        <v>5</v>
      </c>
      <c r="BI120" s="50">
        <v>12.820512820512821</v>
      </c>
      <c r="BJ120" s="49">
        <v>0</v>
      </c>
      <c r="BK120" s="50">
        <v>0</v>
      </c>
      <c r="BL120" s="49">
        <v>34</v>
      </c>
      <c r="BM120" s="50">
        <v>87.17948717948718</v>
      </c>
      <c r="BN120" s="49">
        <v>39</v>
      </c>
    </row>
    <row r="121" spans="1:66" ht="15">
      <c r="A121" s="65" t="s">
        <v>559</v>
      </c>
      <c r="B121" s="65" t="s">
        <v>258</v>
      </c>
      <c r="C121" s="66"/>
      <c r="D121" s="67"/>
      <c r="E121" s="66"/>
      <c r="F121" s="69"/>
      <c r="G121" s="66"/>
      <c r="H121" s="70"/>
      <c r="I121" s="71"/>
      <c r="J121" s="71"/>
      <c r="K121" s="35" t="s">
        <v>65</v>
      </c>
      <c r="L121" s="72">
        <v>121</v>
      </c>
      <c r="M121" s="72"/>
      <c r="N121" s="73"/>
      <c r="O121" s="80" t="s">
        <v>264</v>
      </c>
      <c r="P121" s="82">
        <v>44692.5190625</v>
      </c>
      <c r="Q121" s="80" t="s">
        <v>580</v>
      </c>
      <c r="R121" s="80"/>
      <c r="S121" s="80"/>
      <c r="T121" s="85" t="s">
        <v>596</v>
      </c>
      <c r="U121" s="83" t="str">
        <f>HYPERLINK("https://pbs.twimg.com/media/FSc09v5aQAAY6bm.jpg")</f>
        <v>https://pbs.twimg.com/media/FSc09v5aQAAY6bm.jpg</v>
      </c>
      <c r="V121" s="83" t="str">
        <f>HYPERLINK("https://pbs.twimg.com/media/FSc09v5aQAAY6bm.jpg")</f>
        <v>https://pbs.twimg.com/media/FSc09v5aQAAY6bm.jpg</v>
      </c>
      <c r="W121" s="82">
        <v>44692.5190625</v>
      </c>
      <c r="X121" s="87">
        <v>44692</v>
      </c>
      <c r="Y121" s="85" t="s">
        <v>643</v>
      </c>
      <c r="Z121" s="83" t="str">
        <f>HYPERLINK("https://twitter.com/letusbacktonz/status/1524365566693486592")</f>
        <v>https://twitter.com/letusbacktonz/status/1524365566693486592</v>
      </c>
      <c r="AA121" s="80"/>
      <c r="AB121" s="80"/>
      <c r="AC121" s="85" t="s">
        <v>697</v>
      </c>
      <c r="AD121" s="80"/>
      <c r="AE121" s="80" t="b">
        <v>0</v>
      </c>
      <c r="AF121" s="80">
        <v>0</v>
      </c>
      <c r="AG121" s="85" t="s">
        <v>267</v>
      </c>
      <c r="AH121" s="80" t="b">
        <v>0</v>
      </c>
      <c r="AI121" s="80" t="s">
        <v>268</v>
      </c>
      <c r="AJ121" s="80"/>
      <c r="AK121" s="85" t="s">
        <v>267</v>
      </c>
      <c r="AL121" s="80" t="b">
        <v>0</v>
      </c>
      <c r="AM121" s="80">
        <v>19</v>
      </c>
      <c r="AN121" s="85" t="s">
        <v>696</v>
      </c>
      <c r="AO121" s="85" t="s">
        <v>272</v>
      </c>
      <c r="AP121" s="80" t="b">
        <v>0</v>
      </c>
      <c r="AQ121" s="85" t="s">
        <v>696</v>
      </c>
      <c r="AR121" s="80" t="s">
        <v>218</v>
      </c>
      <c r="AS121" s="80">
        <v>0</v>
      </c>
      <c r="AT121" s="80">
        <v>0</v>
      </c>
      <c r="AU121" s="80"/>
      <c r="AV121" s="80"/>
      <c r="AW121" s="80"/>
      <c r="AX121" s="80"/>
      <c r="AY121" s="80"/>
      <c r="AZ121" s="80"/>
      <c r="BA121" s="80"/>
      <c r="BB121" s="80"/>
      <c r="BC121" s="80">
        <v>3</v>
      </c>
      <c r="BD121" s="79" t="str">
        <f>REPLACE(INDEX(GroupVertices[Group],MATCH(Edges49[[#This Row],[Vertex 1]],GroupVertices[Vertex],0)),1,1,"")</f>
        <v>2</v>
      </c>
      <c r="BE121" s="79" t="str">
        <f>REPLACE(INDEX(GroupVertices[Group],MATCH(Edges49[[#This Row],[Vertex 2]],GroupVertices[Vertex],0)),1,1,"")</f>
        <v>1</v>
      </c>
      <c r="BF121" s="49"/>
      <c r="BG121" s="50"/>
      <c r="BH121" s="49"/>
      <c r="BI121" s="50"/>
      <c r="BJ121" s="49"/>
      <c r="BK121" s="50"/>
      <c r="BL121" s="49"/>
      <c r="BM121" s="50"/>
      <c r="BN121" s="49"/>
    </row>
    <row r="122" spans="1:66" ht="15">
      <c r="A122" s="65" t="s">
        <v>559</v>
      </c>
      <c r="B122" s="65" t="s">
        <v>258</v>
      </c>
      <c r="C122" s="66"/>
      <c r="D122" s="67"/>
      <c r="E122" s="66"/>
      <c r="F122" s="69"/>
      <c r="G122" s="66"/>
      <c r="H122" s="70"/>
      <c r="I122" s="71"/>
      <c r="J122" s="71"/>
      <c r="K122" s="35" t="s">
        <v>65</v>
      </c>
      <c r="L122" s="72">
        <v>122</v>
      </c>
      <c r="M122" s="72"/>
      <c r="N122" s="73"/>
      <c r="O122" s="80" t="s">
        <v>262</v>
      </c>
      <c r="P122" s="82">
        <v>44693.23284722222</v>
      </c>
      <c r="Q122" s="80" t="s">
        <v>586</v>
      </c>
      <c r="R122" s="83" t="str">
        <f>HYPERLINK("https://twitter.com/LetusbacktoNZ/status/1524623401868214272")</f>
        <v>https://twitter.com/LetusbacktoNZ/status/1524623401868214272</v>
      </c>
      <c r="S122" s="80" t="s">
        <v>265</v>
      </c>
      <c r="T122" s="80"/>
      <c r="U122" s="80"/>
      <c r="V122" s="83" t="str">
        <f>HYPERLINK("https://pbs.twimg.com/profile_images/1423569281292271617/RHqRplkb_normal.jpg")</f>
        <v>https://pbs.twimg.com/profile_images/1423569281292271617/RHqRplkb_normal.jpg</v>
      </c>
      <c r="W122" s="82">
        <v>44693.23284722222</v>
      </c>
      <c r="X122" s="87">
        <v>44693</v>
      </c>
      <c r="Y122" s="85" t="s">
        <v>639</v>
      </c>
      <c r="Z122" s="83" t="str">
        <f>HYPERLINK("https://twitter.com/letusbacktonz/status/1524624235989442561")</f>
        <v>https://twitter.com/letusbacktonz/status/1524624235989442561</v>
      </c>
      <c r="AA122" s="80"/>
      <c r="AB122" s="80"/>
      <c r="AC122" s="85" t="s">
        <v>693</v>
      </c>
      <c r="AD122" s="80"/>
      <c r="AE122" s="80" t="b">
        <v>0</v>
      </c>
      <c r="AF122" s="80">
        <v>1</v>
      </c>
      <c r="AG122" s="85" t="s">
        <v>303</v>
      </c>
      <c r="AH122" s="80" t="b">
        <v>1</v>
      </c>
      <c r="AI122" s="80" t="s">
        <v>269</v>
      </c>
      <c r="AJ122" s="80"/>
      <c r="AK122" s="85" t="s">
        <v>692</v>
      </c>
      <c r="AL122" s="80" t="b">
        <v>0</v>
      </c>
      <c r="AM122" s="80">
        <v>1</v>
      </c>
      <c r="AN122" s="85" t="s">
        <v>267</v>
      </c>
      <c r="AO122" s="85" t="s">
        <v>270</v>
      </c>
      <c r="AP122" s="80" t="b">
        <v>0</v>
      </c>
      <c r="AQ122" s="85" t="s">
        <v>693</v>
      </c>
      <c r="AR122" s="80" t="s">
        <v>218</v>
      </c>
      <c r="AS122" s="80">
        <v>0</v>
      </c>
      <c r="AT122" s="80">
        <v>0</v>
      </c>
      <c r="AU122" s="80"/>
      <c r="AV122" s="80"/>
      <c r="AW122" s="80"/>
      <c r="AX122" s="80"/>
      <c r="AY122" s="80"/>
      <c r="AZ122" s="80"/>
      <c r="BA122" s="80"/>
      <c r="BB122" s="80"/>
      <c r="BC122" s="80">
        <v>3</v>
      </c>
      <c r="BD122" s="79" t="str">
        <f>REPLACE(INDEX(GroupVertices[Group],MATCH(Edges49[[#This Row],[Vertex 1]],GroupVertices[Vertex],0)),1,1,"")</f>
        <v>2</v>
      </c>
      <c r="BE122" s="79" t="str">
        <f>REPLACE(INDEX(GroupVertices[Group],MATCH(Edges49[[#This Row],[Vertex 2]],GroupVertices[Vertex],0)),1,1,"")</f>
        <v>1</v>
      </c>
      <c r="BF122" s="49"/>
      <c r="BG122" s="50"/>
      <c r="BH122" s="49"/>
      <c r="BI122" s="50"/>
      <c r="BJ122" s="49"/>
      <c r="BK122" s="50"/>
      <c r="BL122" s="49"/>
      <c r="BM122" s="50"/>
      <c r="BN122" s="49"/>
    </row>
    <row r="123" spans="1:66" ht="15">
      <c r="A123" s="65" t="s">
        <v>561</v>
      </c>
      <c r="B123" s="65" t="s">
        <v>258</v>
      </c>
      <c r="C123" s="66"/>
      <c r="D123" s="67"/>
      <c r="E123" s="66"/>
      <c r="F123" s="69"/>
      <c r="G123" s="66"/>
      <c r="H123" s="70"/>
      <c r="I123" s="71"/>
      <c r="J123" s="71"/>
      <c r="K123" s="35" t="s">
        <v>65</v>
      </c>
      <c r="L123" s="72">
        <v>123</v>
      </c>
      <c r="M123" s="72"/>
      <c r="N123" s="73"/>
      <c r="O123" s="80" t="s">
        <v>264</v>
      </c>
      <c r="P123" s="82">
        <v>44697.030694444446</v>
      </c>
      <c r="Q123" s="80" t="s">
        <v>580</v>
      </c>
      <c r="R123" s="80"/>
      <c r="S123" s="80"/>
      <c r="T123" s="85" t="s">
        <v>596</v>
      </c>
      <c r="U123" s="83" t="str">
        <f>HYPERLINK("https://pbs.twimg.com/media/FSc09v5aQAAY6bm.jpg")</f>
        <v>https://pbs.twimg.com/media/FSc09v5aQAAY6bm.jpg</v>
      </c>
      <c r="V123" s="83" t="str">
        <f>HYPERLINK("https://pbs.twimg.com/media/FSc09v5aQAAY6bm.jpg")</f>
        <v>https://pbs.twimg.com/media/FSc09v5aQAAY6bm.jpg</v>
      </c>
      <c r="W123" s="82">
        <v>44697.030694444446</v>
      </c>
      <c r="X123" s="87">
        <v>44697</v>
      </c>
      <c r="Y123" s="85" t="s">
        <v>646</v>
      </c>
      <c r="Z123" s="83" t="str">
        <f>HYPERLINK("https://twitter.com/ssidhugurpreet/status/1526000528181694464")</f>
        <v>https://twitter.com/ssidhugurpreet/status/1526000528181694464</v>
      </c>
      <c r="AA123" s="80"/>
      <c r="AB123" s="80"/>
      <c r="AC123" s="85" t="s">
        <v>700</v>
      </c>
      <c r="AD123" s="80"/>
      <c r="AE123" s="80" t="b">
        <v>0</v>
      </c>
      <c r="AF123" s="80">
        <v>0</v>
      </c>
      <c r="AG123" s="85" t="s">
        <v>267</v>
      </c>
      <c r="AH123" s="80" t="b">
        <v>0</v>
      </c>
      <c r="AI123" s="80" t="s">
        <v>268</v>
      </c>
      <c r="AJ123" s="80"/>
      <c r="AK123" s="85" t="s">
        <v>267</v>
      </c>
      <c r="AL123" s="80" t="b">
        <v>0</v>
      </c>
      <c r="AM123" s="80">
        <v>19</v>
      </c>
      <c r="AN123" s="85" t="s">
        <v>696</v>
      </c>
      <c r="AO123" s="85" t="s">
        <v>272</v>
      </c>
      <c r="AP123" s="80" t="b">
        <v>0</v>
      </c>
      <c r="AQ123" s="85" t="s">
        <v>696</v>
      </c>
      <c r="AR123" s="80" t="s">
        <v>218</v>
      </c>
      <c r="AS123" s="80">
        <v>0</v>
      </c>
      <c r="AT123" s="80">
        <v>0</v>
      </c>
      <c r="AU123" s="80"/>
      <c r="AV123" s="80"/>
      <c r="AW123" s="80"/>
      <c r="AX123" s="80"/>
      <c r="AY123" s="80"/>
      <c r="AZ123" s="80"/>
      <c r="BA123" s="80"/>
      <c r="BB123" s="80"/>
      <c r="BC123" s="80">
        <v>1</v>
      </c>
      <c r="BD123" s="79" t="str">
        <f>REPLACE(INDEX(GroupVertices[Group],MATCH(Edges49[[#This Row],[Vertex 1]],GroupVertices[Vertex],0)),1,1,"")</f>
        <v>1</v>
      </c>
      <c r="BE123" s="79" t="str">
        <f>REPLACE(INDEX(GroupVertices[Group],MATCH(Edges49[[#This Row],[Vertex 2]],GroupVertices[Vertex],0)),1,1,"")</f>
        <v>1</v>
      </c>
      <c r="BF123" s="49"/>
      <c r="BG123" s="50"/>
      <c r="BH123" s="49"/>
      <c r="BI123" s="50"/>
      <c r="BJ123" s="49"/>
      <c r="BK123" s="50"/>
      <c r="BL123" s="49"/>
      <c r="BM123" s="50"/>
      <c r="BN123" s="49"/>
    </row>
    <row r="124" spans="1:66" ht="15">
      <c r="A124" s="65" t="s">
        <v>562</v>
      </c>
      <c r="B124" s="65" t="s">
        <v>559</v>
      </c>
      <c r="C124" s="66"/>
      <c r="D124" s="67"/>
      <c r="E124" s="66"/>
      <c r="F124" s="69"/>
      <c r="G124" s="66"/>
      <c r="H124" s="70"/>
      <c r="I124" s="71"/>
      <c r="J124" s="71"/>
      <c r="K124" s="35" t="s">
        <v>66</v>
      </c>
      <c r="L124" s="72">
        <v>124</v>
      </c>
      <c r="M124" s="72"/>
      <c r="N124" s="73"/>
      <c r="O124" s="80" t="s">
        <v>262</v>
      </c>
      <c r="P124" s="82">
        <v>44695.23578703704</v>
      </c>
      <c r="Q124" s="80" t="s">
        <v>584</v>
      </c>
      <c r="R124" s="80"/>
      <c r="S124" s="80"/>
      <c r="T124" s="80"/>
      <c r="U124" s="80"/>
      <c r="V124" s="83" t="str">
        <f>HYPERLINK("https://pbs.twimg.com/profile_images/1368203740499509259/fiGeF3mQ_normal.jpg")</f>
        <v>https://pbs.twimg.com/profile_images/1368203740499509259/fiGeF3mQ_normal.jpg</v>
      </c>
      <c r="W124" s="82">
        <v>44695.23578703704</v>
      </c>
      <c r="X124" s="87">
        <v>44695</v>
      </c>
      <c r="Y124" s="85" t="s">
        <v>647</v>
      </c>
      <c r="Z124" s="83" t="str">
        <f>HYPERLINK("https://twitter.com/gurisydney/status/1525350074842480640")</f>
        <v>https://twitter.com/gurisydney/status/1525350074842480640</v>
      </c>
      <c r="AA124" s="80"/>
      <c r="AB124" s="80"/>
      <c r="AC124" s="85" t="s">
        <v>701</v>
      </c>
      <c r="AD124" s="85" t="s">
        <v>707</v>
      </c>
      <c r="AE124" s="80" t="b">
        <v>0</v>
      </c>
      <c r="AF124" s="80">
        <v>2</v>
      </c>
      <c r="AG124" s="85" t="s">
        <v>709</v>
      </c>
      <c r="AH124" s="80" t="b">
        <v>0</v>
      </c>
      <c r="AI124" s="80" t="s">
        <v>268</v>
      </c>
      <c r="AJ124" s="80"/>
      <c r="AK124" s="85" t="s">
        <v>267</v>
      </c>
      <c r="AL124" s="80" t="b">
        <v>0</v>
      </c>
      <c r="AM124" s="80">
        <v>2</v>
      </c>
      <c r="AN124" s="85" t="s">
        <v>267</v>
      </c>
      <c r="AO124" s="85" t="s">
        <v>271</v>
      </c>
      <c r="AP124" s="80" t="b">
        <v>0</v>
      </c>
      <c r="AQ124" s="85" t="s">
        <v>707</v>
      </c>
      <c r="AR124" s="80" t="s">
        <v>218</v>
      </c>
      <c r="AS124" s="80">
        <v>0</v>
      </c>
      <c r="AT124" s="80">
        <v>0</v>
      </c>
      <c r="AU124" s="80"/>
      <c r="AV124" s="80"/>
      <c r="AW124" s="80"/>
      <c r="AX124" s="80"/>
      <c r="AY124" s="80"/>
      <c r="AZ124" s="80"/>
      <c r="BA124" s="80"/>
      <c r="BB124" s="80"/>
      <c r="BC124" s="80">
        <v>3</v>
      </c>
      <c r="BD124" s="79" t="str">
        <f>REPLACE(INDEX(GroupVertices[Group],MATCH(Edges49[[#This Row],[Vertex 1]],GroupVertices[Vertex],0)),1,1,"")</f>
        <v>1</v>
      </c>
      <c r="BE124" s="79" t="str">
        <f>REPLACE(INDEX(GroupVertices[Group],MATCH(Edges49[[#This Row],[Vertex 2]],GroupVertices[Vertex],0)),1,1,"")</f>
        <v>2</v>
      </c>
      <c r="BF124" s="49">
        <v>0</v>
      </c>
      <c r="BG124" s="50">
        <v>0</v>
      </c>
      <c r="BH124" s="49">
        <v>0</v>
      </c>
      <c r="BI124" s="50">
        <v>0</v>
      </c>
      <c r="BJ124" s="49">
        <v>0</v>
      </c>
      <c r="BK124" s="50">
        <v>0</v>
      </c>
      <c r="BL124" s="49">
        <v>8</v>
      </c>
      <c r="BM124" s="50">
        <v>100</v>
      </c>
      <c r="BN124" s="49">
        <v>8</v>
      </c>
    </row>
    <row r="125" spans="1:66" ht="15">
      <c r="A125" s="65" t="s">
        <v>562</v>
      </c>
      <c r="B125" s="65" t="s">
        <v>559</v>
      </c>
      <c r="C125" s="66"/>
      <c r="D125" s="67"/>
      <c r="E125" s="66"/>
      <c r="F125" s="69"/>
      <c r="G125" s="66"/>
      <c r="H125" s="70"/>
      <c r="I125" s="71"/>
      <c r="J125" s="71"/>
      <c r="K125" s="35" t="s">
        <v>66</v>
      </c>
      <c r="L125" s="72">
        <v>125</v>
      </c>
      <c r="M125" s="72"/>
      <c r="N125" s="73"/>
      <c r="O125" s="80" t="s">
        <v>262</v>
      </c>
      <c r="P125" s="82">
        <v>44695.236550925925</v>
      </c>
      <c r="Q125" s="80" t="s">
        <v>583</v>
      </c>
      <c r="R125" s="80"/>
      <c r="S125" s="80"/>
      <c r="T125" s="80"/>
      <c r="U125" s="80"/>
      <c r="V125" s="83" t="str">
        <f>HYPERLINK("https://pbs.twimg.com/profile_images/1368203740499509259/fiGeF3mQ_normal.jpg")</f>
        <v>https://pbs.twimg.com/profile_images/1368203740499509259/fiGeF3mQ_normal.jpg</v>
      </c>
      <c r="W125" s="82">
        <v>44695.236550925925</v>
      </c>
      <c r="X125" s="87">
        <v>44695</v>
      </c>
      <c r="Y125" s="85" t="s">
        <v>648</v>
      </c>
      <c r="Z125" s="83" t="str">
        <f>HYPERLINK("https://twitter.com/gurisydney/status/1525350352807403520")</f>
        <v>https://twitter.com/gurisydney/status/1525350352807403520</v>
      </c>
      <c r="AA125" s="80"/>
      <c r="AB125" s="80"/>
      <c r="AC125" s="85" t="s">
        <v>702</v>
      </c>
      <c r="AD125" s="85" t="s">
        <v>707</v>
      </c>
      <c r="AE125" s="80" t="b">
        <v>0</v>
      </c>
      <c r="AF125" s="80">
        <v>3</v>
      </c>
      <c r="AG125" s="85" t="s">
        <v>709</v>
      </c>
      <c r="AH125" s="80" t="b">
        <v>0</v>
      </c>
      <c r="AI125" s="80" t="s">
        <v>268</v>
      </c>
      <c r="AJ125" s="80"/>
      <c r="AK125" s="85" t="s">
        <v>267</v>
      </c>
      <c r="AL125" s="80" t="b">
        <v>0</v>
      </c>
      <c r="AM125" s="80">
        <v>3</v>
      </c>
      <c r="AN125" s="85" t="s">
        <v>267</v>
      </c>
      <c r="AO125" s="85" t="s">
        <v>271</v>
      </c>
      <c r="AP125" s="80" t="b">
        <v>0</v>
      </c>
      <c r="AQ125" s="85" t="s">
        <v>707</v>
      </c>
      <c r="AR125" s="80" t="s">
        <v>218</v>
      </c>
      <c r="AS125" s="80">
        <v>0</v>
      </c>
      <c r="AT125" s="80">
        <v>0</v>
      </c>
      <c r="AU125" s="80"/>
      <c r="AV125" s="80"/>
      <c r="AW125" s="80"/>
      <c r="AX125" s="80"/>
      <c r="AY125" s="80"/>
      <c r="AZ125" s="80"/>
      <c r="BA125" s="80"/>
      <c r="BB125" s="80"/>
      <c r="BC125" s="80">
        <v>3</v>
      </c>
      <c r="BD125" s="79" t="str">
        <f>REPLACE(INDEX(GroupVertices[Group],MATCH(Edges49[[#This Row],[Vertex 1]],GroupVertices[Vertex],0)),1,1,"")</f>
        <v>1</v>
      </c>
      <c r="BE125" s="79" t="str">
        <f>REPLACE(INDEX(GroupVertices[Group],MATCH(Edges49[[#This Row],[Vertex 2]],GroupVertices[Vertex],0)),1,1,"")</f>
        <v>2</v>
      </c>
      <c r="BF125" s="49">
        <v>0</v>
      </c>
      <c r="BG125" s="50">
        <v>0</v>
      </c>
      <c r="BH125" s="49">
        <v>2</v>
      </c>
      <c r="BI125" s="50">
        <v>6.666666666666667</v>
      </c>
      <c r="BJ125" s="49">
        <v>0</v>
      </c>
      <c r="BK125" s="50">
        <v>0</v>
      </c>
      <c r="BL125" s="49">
        <v>28</v>
      </c>
      <c r="BM125" s="50">
        <v>93.33333333333333</v>
      </c>
      <c r="BN125" s="49">
        <v>30</v>
      </c>
    </row>
    <row r="126" spans="1:66" ht="15">
      <c r="A126" s="65" t="s">
        <v>562</v>
      </c>
      <c r="B126" s="65" t="s">
        <v>559</v>
      </c>
      <c r="C126" s="66"/>
      <c r="D126" s="67"/>
      <c r="E126" s="66"/>
      <c r="F126" s="69"/>
      <c r="G126" s="66"/>
      <c r="H126" s="70"/>
      <c r="I126" s="71"/>
      <c r="J126" s="71"/>
      <c r="K126" s="35" t="s">
        <v>66</v>
      </c>
      <c r="L126" s="72">
        <v>126</v>
      </c>
      <c r="M126" s="72"/>
      <c r="N126" s="73"/>
      <c r="O126" s="80" t="s">
        <v>262</v>
      </c>
      <c r="P126" s="82">
        <v>44695.28530092593</v>
      </c>
      <c r="Q126" s="80" t="s">
        <v>588</v>
      </c>
      <c r="R126" s="80"/>
      <c r="S126" s="80"/>
      <c r="T126" s="80"/>
      <c r="U126" s="80"/>
      <c r="V126" s="83" t="str">
        <f>HYPERLINK("https://pbs.twimg.com/profile_images/1368203740499509259/fiGeF3mQ_normal.jpg")</f>
        <v>https://pbs.twimg.com/profile_images/1368203740499509259/fiGeF3mQ_normal.jpg</v>
      </c>
      <c r="W126" s="82">
        <v>44695.28530092593</v>
      </c>
      <c r="X126" s="87">
        <v>44695</v>
      </c>
      <c r="Y126" s="85" t="s">
        <v>649</v>
      </c>
      <c r="Z126" s="83" t="str">
        <f>HYPERLINK("https://twitter.com/gurisydney/status/1525368017634201601")</f>
        <v>https://twitter.com/gurisydney/status/1525368017634201601</v>
      </c>
      <c r="AA126" s="80"/>
      <c r="AB126" s="80"/>
      <c r="AC126" s="85" t="s">
        <v>703</v>
      </c>
      <c r="AD126" s="85" t="s">
        <v>704</v>
      </c>
      <c r="AE126" s="80" t="b">
        <v>0</v>
      </c>
      <c r="AF126" s="80">
        <v>0</v>
      </c>
      <c r="AG126" s="85" t="s">
        <v>709</v>
      </c>
      <c r="AH126" s="80" t="b">
        <v>0</v>
      </c>
      <c r="AI126" s="80" t="s">
        <v>268</v>
      </c>
      <c r="AJ126" s="80"/>
      <c r="AK126" s="85" t="s">
        <v>267</v>
      </c>
      <c r="AL126" s="80" t="b">
        <v>0</v>
      </c>
      <c r="AM126" s="80">
        <v>0</v>
      </c>
      <c r="AN126" s="85" t="s">
        <v>267</v>
      </c>
      <c r="AO126" s="85" t="s">
        <v>271</v>
      </c>
      <c r="AP126" s="80" t="b">
        <v>0</v>
      </c>
      <c r="AQ126" s="85" t="s">
        <v>704</v>
      </c>
      <c r="AR126" s="80" t="s">
        <v>218</v>
      </c>
      <c r="AS126" s="80">
        <v>0</v>
      </c>
      <c r="AT126" s="80">
        <v>0</v>
      </c>
      <c r="AU126" s="80"/>
      <c r="AV126" s="80"/>
      <c r="AW126" s="80"/>
      <c r="AX126" s="80"/>
      <c r="AY126" s="80"/>
      <c r="AZ126" s="80"/>
      <c r="BA126" s="80"/>
      <c r="BB126" s="80"/>
      <c r="BC126" s="80">
        <v>3</v>
      </c>
      <c r="BD126" s="79" t="str">
        <f>REPLACE(INDEX(GroupVertices[Group],MATCH(Edges49[[#This Row],[Vertex 1]],GroupVertices[Vertex],0)),1,1,"")</f>
        <v>1</v>
      </c>
      <c r="BE126" s="79" t="str">
        <f>REPLACE(INDEX(GroupVertices[Group],MATCH(Edges49[[#This Row],[Vertex 2]],GroupVertices[Vertex],0)),1,1,"")</f>
        <v>2</v>
      </c>
      <c r="BF126" s="49">
        <v>0</v>
      </c>
      <c r="BG126" s="50">
        <v>0</v>
      </c>
      <c r="BH126" s="49">
        <v>0</v>
      </c>
      <c r="BI126" s="50">
        <v>0</v>
      </c>
      <c r="BJ126" s="49">
        <v>0</v>
      </c>
      <c r="BK126" s="50">
        <v>0</v>
      </c>
      <c r="BL126" s="49">
        <v>7</v>
      </c>
      <c r="BM126" s="50">
        <v>100</v>
      </c>
      <c r="BN126" s="49">
        <v>7</v>
      </c>
    </row>
    <row r="127" spans="1:66" ht="15">
      <c r="A127" s="65" t="s">
        <v>559</v>
      </c>
      <c r="B127" s="65" t="s">
        <v>562</v>
      </c>
      <c r="C127" s="66"/>
      <c r="D127" s="67"/>
      <c r="E127" s="66"/>
      <c r="F127" s="69"/>
      <c r="G127" s="66"/>
      <c r="H127" s="70"/>
      <c r="I127" s="71"/>
      <c r="J127" s="71"/>
      <c r="K127" s="35" t="s">
        <v>66</v>
      </c>
      <c r="L127" s="72">
        <v>127</v>
      </c>
      <c r="M127" s="72"/>
      <c r="N127" s="73"/>
      <c r="O127" s="80" t="s">
        <v>262</v>
      </c>
      <c r="P127" s="82">
        <v>44695.23849537037</v>
      </c>
      <c r="Q127" s="80" t="s">
        <v>589</v>
      </c>
      <c r="R127" s="83" t="str">
        <f>HYPERLINK("https://www.mondaq.com/australia/work-visas/1164678/extension-of-subclass-485-489-491-494-visas-for-holders-impacted-by-australian-covid-19-border-closures")</f>
        <v>https://www.mondaq.com/australia/work-visas/1164678/extension-of-subclass-485-489-491-494-visas-for-holders-impacted-by-australian-covid-19-border-closures</v>
      </c>
      <c r="S127" s="80" t="s">
        <v>594</v>
      </c>
      <c r="T127" s="80"/>
      <c r="U127" s="80"/>
      <c r="V127" s="83" t="str">
        <f>HYPERLINK("https://pbs.twimg.com/profile_images/1423569281292271617/RHqRplkb_normal.jpg")</f>
        <v>https://pbs.twimg.com/profile_images/1423569281292271617/RHqRplkb_normal.jpg</v>
      </c>
      <c r="W127" s="82">
        <v>44695.23849537037</v>
      </c>
      <c r="X127" s="87">
        <v>44695</v>
      </c>
      <c r="Y127" s="85" t="s">
        <v>650</v>
      </c>
      <c r="Z127" s="83" t="str">
        <f>HYPERLINK("https://twitter.com/letusbacktonz/status/1525351058729742341")</f>
        <v>https://twitter.com/letusbacktonz/status/1525351058729742341</v>
      </c>
      <c r="AA127" s="80"/>
      <c r="AB127" s="80"/>
      <c r="AC127" s="85" t="s">
        <v>704</v>
      </c>
      <c r="AD127" s="85" t="s">
        <v>702</v>
      </c>
      <c r="AE127" s="80" t="b">
        <v>0</v>
      </c>
      <c r="AF127" s="80">
        <v>2</v>
      </c>
      <c r="AG127" s="85" t="s">
        <v>710</v>
      </c>
      <c r="AH127" s="80" t="b">
        <v>0</v>
      </c>
      <c r="AI127" s="80" t="s">
        <v>268</v>
      </c>
      <c r="AJ127" s="80"/>
      <c r="AK127" s="85" t="s">
        <v>267</v>
      </c>
      <c r="AL127" s="80" t="b">
        <v>0</v>
      </c>
      <c r="AM127" s="80">
        <v>2</v>
      </c>
      <c r="AN127" s="85" t="s">
        <v>267</v>
      </c>
      <c r="AO127" s="85" t="s">
        <v>270</v>
      </c>
      <c r="AP127" s="80" t="b">
        <v>0</v>
      </c>
      <c r="AQ127" s="85" t="s">
        <v>702</v>
      </c>
      <c r="AR127" s="80" t="s">
        <v>218</v>
      </c>
      <c r="AS127" s="80">
        <v>0</v>
      </c>
      <c r="AT127" s="80">
        <v>0</v>
      </c>
      <c r="AU127" s="80"/>
      <c r="AV127" s="80"/>
      <c r="AW127" s="80"/>
      <c r="AX127" s="80"/>
      <c r="AY127" s="80"/>
      <c r="AZ127" s="80"/>
      <c r="BA127" s="80"/>
      <c r="BB127" s="80"/>
      <c r="BC127" s="80">
        <v>2</v>
      </c>
      <c r="BD127" s="79" t="str">
        <f>REPLACE(INDEX(GroupVertices[Group],MATCH(Edges49[[#This Row],[Vertex 1]],GroupVertices[Vertex],0)),1,1,"")</f>
        <v>2</v>
      </c>
      <c r="BE127" s="79" t="str">
        <f>REPLACE(INDEX(GroupVertices[Group],MATCH(Edges49[[#This Row],[Vertex 2]],GroupVertices[Vertex],0)),1,1,"")</f>
        <v>1</v>
      </c>
      <c r="BF127" s="49">
        <v>0</v>
      </c>
      <c r="BG127" s="50">
        <v>0</v>
      </c>
      <c r="BH127" s="49">
        <v>0</v>
      </c>
      <c r="BI127" s="50">
        <v>0</v>
      </c>
      <c r="BJ127" s="49">
        <v>0</v>
      </c>
      <c r="BK127" s="50">
        <v>0</v>
      </c>
      <c r="BL127" s="49">
        <v>17</v>
      </c>
      <c r="BM127" s="50">
        <v>100</v>
      </c>
      <c r="BN127" s="49">
        <v>17</v>
      </c>
    </row>
    <row r="128" spans="1:66" ht="15">
      <c r="A128" s="65" t="s">
        <v>559</v>
      </c>
      <c r="B128" s="65" t="s">
        <v>562</v>
      </c>
      <c r="C128" s="66"/>
      <c r="D128" s="67"/>
      <c r="E128" s="66"/>
      <c r="F128" s="69"/>
      <c r="G128" s="66"/>
      <c r="H128" s="70"/>
      <c r="I128" s="71"/>
      <c r="J128" s="71"/>
      <c r="K128" s="35" t="s">
        <v>66</v>
      </c>
      <c r="L128" s="72">
        <v>128</v>
      </c>
      <c r="M128" s="72"/>
      <c r="N128" s="73"/>
      <c r="O128" s="80" t="s">
        <v>262</v>
      </c>
      <c r="P128" s="82">
        <v>44695.319652777776</v>
      </c>
      <c r="Q128" s="80" t="s">
        <v>590</v>
      </c>
      <c r="R128" s="80"/>
      <c r="S128" s="80"/>
      <c r="T128" s="85" t="s">
        <v>598</v>
      </c>
      <c r="U128" s="80"/>
      <c r="V128" s="83" t="str">
        <f>HYPERLINK("https://pbs.twimg.com/profile_images/1423569281292271617/RHqRplkb_normal.jpg")</f>
        <v>https://pbs.twimg.com/profile_images/1423569281292271617/RHqRplkb_normal.jpg</v>
      </c>
      <c r="W128" s="82">
        <v>44695.319652777776</v>
      </c>
      <c r="X128" s="87">
        <v>44695</v>
      </c>
      <c r="Y128" s="85" t="s">
        <v>651</v>
      </c>
      <c r="Z128" s="83" t="str">
        <f>HYPERLINK("https://twitter.com/letusbacktonz/status/1525380469281415168")</f>
        <v>https://twitter.com/letusbacktonz/status/1525380469281415168</v>
      </c>
      <c r="AA128" s="80"/>
      <c r="AB128" s="80"/>
      <c r="AC128" s="85" t="s">
        <v>705</v>
      </c>
      <c r="AD128" s="85" t="s">
        <v>703</v>
      </c>
      <c r="AE128" s="80" t="b">
        <v>0</v>
      </c>
      <c r="AF128" s="80">
        <v>1</v>
      </c>
      <c r="AG128" s="85" t="s">
        <v>710</v>
      </c>
      <c r="AH128" s="80" t="b">
        <v>0</v>
      </c>
      <c r="AI128" s="80" t="s">
        <v>268</v>
      </c>
      <c r="AJ128" s="80"/>
      <c r="AK128" s="85" t="s">
        <v>267</v>
      </c>
      <c r="AL128" s="80" t="b">
        <v>0</v>
      </c>
      <c r="AM128" s="80">
        <v>0</v>
      </c>
      <c r="AN128" s="85" t="s">
        <v>267</v>
      </c>
      <c r="AO128" s="85" t="s">
        <v>272</v>
      </c>
      <c r="AP128" s="80" t="b">
        <v>0</v>
      </c>
      <c r="AQ128" s="85" t="s">
        <v>703</v>
      </c>
      <c r="AR128" s="80" t="s">
        <v>218</v>
      </c>
      <c r="AS128" s="80">
        <v>0</v>
      </c>
      <c r="AT128" s="80">
        <v>0</v>
      </c>
      <c r="AU128" s="80"/>
      <c r="AV128" s="80"/>
      <c r="AW128" s="80"/>
      <c r="AX128" s="80"/>
      <c r="AY128" s="80"/>
      <c r="AZ128" s="80"/>
      <c r="BA128" s="80"/>
      <c r="BB128" s="80"/>
      <c r="BC128" s="80">
        <v>2</v>
      </c>
      <c r="BD128" s="79" t="str">
        <f>REPLACE(INDEX(GroupVertices[Group],MATCH(Edges49[[#This Row],[Vertex 1]],GroupVertices[Vertex],0)),1,1,"")</f>
        <v>2</v>
      </c>
      <c r="BE128" s="79" t="str">
        <f>REPLACE(INDEX(GroupVertices[Group],MATCH(Edges49[[#This Row],[Vertex 2]],GroupVertices[Vertex],0)),1,1,"")</f>
        <v>1</v>
      </c>
      <c r="BF128" s="49">
        <v>0</v>
      </c>
      <c r="BG128" s="50">
        <v>0</v>
      </c>
      <c r="BH128" s="49">
        <v>0</v>
      </c>
      <c r="BI128" s="50">
        <v>0</v>
      </c>
      <c r="BJ128" s="49">
        <v>0</v>
      </c>
      <c r="BK128" s="50">
        <v>0</v>
      </c>
      <c r="BL128" s="49">
        <v>26</v>
      </c>
      <c r="BM128" s="50">
        <v>100</v>
      </c>
      <c r="BN128" s="49">
        <v>26</v>
      </c>
    </row>
    <row r="129" spans="1:66" ht="15">
      <c r="A129" s="65" t="s">
        <v>561</v>
      </c>
      <c r="B129" s="65" t="s">
        <v>562</v>
      </c>
      <c r="C129" s="66"/>
      <c r="D129" s="67"/>
      <c r="E129" s="66"/>
      <c r="F129" s="69"/>
      <c r="G129" s="66"/>
      <c r="H129" s="70"/>
      <c r="I129" s="71"/>
      <c r="J129" s="71"/>
      <c r="K129" s="35" t="s">
        <v>65</v>
      </c>
      <c r="L129" s="72">
        <v>129</v>
      </c>
      <c r="M129" s="72"/>
      <c r="N129" s="73"/>
      <c r="O129" s="80" t="s">
        <v>263</v>
      </c>
      <c r="P129" s="82">
        <v>44697.031539351854</v>
      </c>
      <c r="Q129" s="80" t="s">
        <v>583</v>
      </c>
      <c r="R129" s="80"/>
      <c r="S129" s="80"/>
      <c r="T129" s="80"/>
      <c r="U129" s="80"/>
      <c r="V129" s="83" t="str">
        <f>HYPERLINK("https://pbs.twimg.com/profile_images/1449026286337540096/j8wlT2Py_normal.jpg")</f>
        <v>https://pbs.twimg.com/profile_images/1449026286337540096/j8wlT2Py_normal.jpg</v>
      </c>
      <c r="W129" s="82">
        <v>44697.031539351854</v>
      </c>
      <c r="X129" s="87">
        <v>44697</v>
      </c>
      <c r="Y129" s="85" t="s">
        <v>652</v>
      </c>
      <c r="Z129" s="83" t="str">
        <f>HYPERLINK("https://twitter.com/ssidhugurpreet/status/1526000834928005121")</f>
        <v>https://twitter.com/ssidhugurpreet/status/1526000834928005121</v>
      </c>
      <c r="AA129" s="80"/>
      <c r="AB129" s="80"/>
      <c r="AC129" s="85" t="s">
        <v>706</v>
      </c>
      <c r="AD129" s="80"/>
      <c r="AE129" s="80" t="b">
        <v>0</v>
      </c>
      <c r="AF129" s="80">
        <v>0</v>
      </c>
      <c r="AG129" s="85" t="s">
        <v>267</v>
      </c>
      <c r="AH129" s="80" t="b">
        <v>0</v>
      </c>
      <c r="AI129" s="80" t="s">
        <v>268</v>
      </c>
      <c r="AJ129" s="80"/>
      <c r="AK129" s="85" t="s">
        <v>267</v>
      </c>
      <c r="AL129" s="80" t="b">
        <v>0</v>
      </c>
      <c r="AM129" s="80">
        <v>3</v>
      </c>
      <c r="AN129" s="85" t="s">
        <v>702</v>
      </c>
      <c r="AO129" s="85" t="s">
        <v>272</v>
      </c>
      <c r="AP129" s="80" t="b">
        <v>0</v>
      </c>
      <c r="AQ129" s="85" t="s">
        <v>702</v>
      </c>
      <c r="AR129" s="80" t="s">
        <v>218</v>
      </c>
      <c r="AS129" s="80">
        <v>0</v>
      </c>
      <c r="AT129" s="80">
        <v>0</v>
      </c>
      <c r="AU129" s="80"/>
      <c r="AV129" s="80"/>
      <c r="AW129" s="80"/>
      <c r="AX129" s="80"/>
      <c r="AY129" s="80"/>
      <c r="AZ129" s="80"/>
      <c r="BA129" s="80"/>
      <c r="BB129" s="80"/>
      <c r="BC129" s="80">
        <v>1</v>
      </c>
      <c r="BD129" s="79" t="str">
        <f>REPLACE(INDEX(GroupVertices[Group],MATCH(Edges49[[#This Row],[Vertex 1]],GroupVertices[Vertex],0)),1,1,"")</f>
        <v>1</v>
      </c>
      <c r="BE129" s="79" t="str">
        <f>REPLACE(INDEX(GroupVertices[Group],MATCH(Edges49[[#This Row],[Vertex 2]],GroupVertices[Vertex],0)),1,1,"")</f>
        <v>1</v>
      </c>
      <c r="BF129" s="49"/>
      <c r="BG129" s="50"/>
      <c r="BH129" s="49"/>
      <c r="BI129" s="50"/>
      <c r="BJ129" s="49"/>
      <c r="BK129" s="50"/>
      <c r="BL129" s="49"/>
      <c r="BM129" s="50"/>
      <c r="BN129" s="49"/>
    </row>
    <row r="130" spans="1:66" ht="15">
      <c r="A130" s="65" t="s">
        <v>561</v>
      </c>
      <c r="B130" s="65" t="s">
        <v>559</v>
      </c>
      <c r="C130" s="66"/>
      <c r="D130" s="67"/>
      <c r="E130" s="66"/>
      <c r="F130" s="69"/>
      <c r="G130" s="66"/>
      <c r="H130" s="70"/>
      <c r="I130" s="71"/>
      <c r="J130" s="71"/>
      <c r="K130" s="35" t="s">
        <v>65</v>
      </c>
      <c r="L130" s="72">
        <v>130</v>
      </c>
      <c r="M130" s="72"/>
      <c r="N130" s="73"/>
      <c r="O130" s="80" t="s">
        <v>263</v>
      </c>
      <c r="P130" s="82">
        <v>44697.02980324074</v>
      </c>
      <c r="Q130" s="80" t="s">
        <v>581</v>
      </c>
      <c r="R130" s="80"/>
      <c r="S130" s="80"/>
      <c r="T130" s="80"/>
      <c r="U130" s="83" t="str">
        <f>HYPERLINK("https://pbs.twimg.com/ext_tw_video_thumb/1524368758437216256/pu/img/3UwSYL_0rta3dEGi.jpg")</f>
        <v>https://pbs.twimg.com/ext_tw_video_thumb/1524368758437216256/pu/img/3UwSYL_0rta3dEGi.jpg</v>
      </c>
      <c r="V130" s="83" t="str">
        <f>HYPERLINK("https://pbs.twimg.com/ext_tw_video_thumb/1524368758437216256/pu/img/3UwSYL_0rta3dEGi.jpg")</f>
        <v>https://pbs.twimg.com/ext_tw_video_thumb/1524368758437216256/pu/img/3UwSYL_0rta3dEGi.jpg</v>
      </c>
      <c r="W130" s="82">
        <v>44697.02980324074</v>
      </c>
      <c r="X130" s="87">
        <v>44697</v>
      </c>
      <c r="Y130" s="85" t="s">
        <v>645</v>
      </c>
      <c r="Z130" s="83" t="str">
        <f>HYPERLINK("https://twitter.com/ssidhugurpreet/status/1526000207132930048")</f>
        <v>https://twitter.com/ssidhugurpreet/status/1526000207132930048</v>
      </c>
      <c r="AA130" s="80"/>
      <c r="AB130" s="80"/>
      <c r="AC130" s="85" t="s">
        <v>699</v>
      </c>
      <c r="AD130" s="80"/>
      <c r="AE130" s="80" t="b">
        <v>0</v>
      </c>
      <c r="AF130" s="80">
        <v>0</v>
      </c>
      <c r="AG130" s="85" t="s">
        <v>267</v>
      </c>
      <c r="AH130" s="80" t="b">
        <v>0</v>
      </c>
      <c r="AI130" s="80" t="s">
        <v>268</v>
      </c>
      <c r="AJ130" s="80"/>
      <c r="AK130" s="85" t="s">
        <v>267</v>
      </c>
      <c r="AL130" s="80" t="b">
        <v>0</v>
      </c>
      <c r="AM130" s="80">
        <v>16</v>
      </c>
      <c r="AN130" s="85" t="s">
        <v>698</v>
      </c>
      <c r="AO130" s="85" t="s">
        <v>272</v>
      </c>
      <c r="AP130" s="80" t="b">
        <v>0</v>
      </c>
      <c r="AQ130" s="85" t="s">
        <v>698</v>
      </c>
      <c r="AR130" s="80" t="s">
        <v>218</v>
      </c>
      <c r="AS130" s="80">
        <v>0</v>
      </c>
      <c r="AT130" s="80">
        <v>0</v>
      </c>
      <c r="AU130" s="80"/>
      <c r="AV130" s="80"/>
      <c r="AW130" s="80"/>
      <c r="AX130" s="80"/>
      <c r="AY130" s="80"/>
      <c r="AZ130" s="80"/>
      <c r="BA130" s="80"/>
      <c r="BB130" s="80"/>
      <c r="BC130" s="80">
        <v>3</v>
      </c>
      <c r="BD130" s="79" t="str">
        <f>REPLACE(INDEX(GroupVertices[Group],MATCH(Edges49[[#This Row],[Vertex 1]],GroupVertices[Vertex],0)),1,1,"")</f>
        <v>1</v>
      </c>
      <c r="BE130" s="79" t="str">
        <f>REPLACE(INDEX(GroupVertices[Group],MATCH(Edges49[[#This Row],[Vertex 2]],GroupVertices[Vertex],0)),1,1,"")</f>
        <v>2</v>
      </c>
      <c r="BF130" s="49">
        <v>0</v>
      </c>
      <c r="BG130" s="50">
        <v>0</v>
      </c>
      <c r="BH130" s="49">
        <v>2</v>
      </c>
      <c r="BI130" s="50">
        <v>4.651162790697675</v>
      </c>
      <c r="BJ130" s="49">
        <v>0</v>
      </c>
      <c r="BK130" s="50">
        <v>0</v>
      </c>
      <c r="BL130" s="49">
        <v>41</v>
      </c>
      <c r="BM130" s="50">
        <v>95.34883720930233</v>
      </c>
      <c r="BN130" s="49">
        <v>43</v>
      </c>
    </row>
    <row r="131" spans="1:66" ht="15">
      <c r="A131" s="65" t="s">
        <v>561</v>
      </c>
      <c r="B131" s="65" t="s">
        <v>559</v>
      </c>
      <c r="C131" s="66"/>
      <c r="D131" s="67"/>
      <c r="E131" s="66"/>
      <c r="F131" s="69"/>
      <c r="G131" s="66"/>
      <c r="H131" s="70"/>
      <c r="I131" s="71"/>
      <c r="J131" s="71"/>
      <c r="K131" s="35" t="s">
        <v>65</v>
      </c>
      <c r="L131" s="72">
        <v>131</v>
      </c>
      <c r="M131" s="72"/>
      <c r="N131" s="73"/>
      <c r="O131" s="80" t="s">
        <v>263</v>
      </c>
      <c r="P131" s="82">
        <v>44697.030694444446</v>
      </c>
      <c r="Q131" s="80" t="s">
        <v>580</v>
      </c>
      <c r="R131" s="80"/>
      <c r="S131" s="80"/>
      <c r="T131" s="85" t="s">
        <v>596</v>
      </c>
      <c r="U131" s="83" t="str">
        <f>HYPERLINK("https://pbs.twimg.com/media/FSc09v5aQAAY6bm.jpg")</f>
        <v>https://pbs.twimg.com/media/FSc09v5aQAAY6bm.jpg</v>
      </c>
      <c r="V131" s="83" t="str">
        <f>HYPERLINK("https://pbs.twimg.com/media/FSc09v5aQAAY6bm.jpg")</f>
        <v>https://pbs.twimg.com/media/FSc09v5aQAAY6bm.jpg</v>
      </c>
      <c r="W131" s="82">
        <v>44697.030694444446</v>
      </c>
      <c r="X131" s="87">
        <v>44697</v>
      </c>
      <c r="Y131" s="85" t="s">
        <v>646</v>
      </c>
      <c r="Z131" s="83" t="str">
        <f>HYPERLINK("https://twitter.com/ssidhugurpreet/status/1526000528181694464")</f>
        <v>https://twitter.com/ssidhugurpreet/status/1526000528181694464</v>
      </c>
      <c r="AA131" s="80"/>
      <c r="AB131" s="80"/>
      <c r="AC131" s="85" t="s">
        <v>700</v>
      </c>
      <c r="AD131" s="80"/>
      <c r="AE131" s="80" t="b">
        <v>0</v>
      </c>
      <c r="AF131" s="80">
        <v>0</v>
      </c>
      <c r="AG131" s="85" t="s">
        <v>267</v>
      </c>
      <c r="AH131" s="80" t="b">
        <v>0</v>
      </c>
      <c r="AI131" s="80" t="s">
        <v>268</v>
      </c>
      <c r="AJ131" s="80"/>
      <c r="AK131" s="85" t="s">
        <v>267</v>
      </c>
      <c r="AL131" s="80" t="b">
        <v>0</v>
      </c>
      <c r="AM131" s="80">
        <v>19</v>
      </c>
      <c r="AN131" s="85" t="s">
        <v>696</v>
      </c>
      <c r="AO131" s="85" t="s">
        <v>272</v>
      </c>
      <c r="AP131" s="80" t="b">
        <v>0</v>
      </c>
      <c r="AQ131" s="85" t="s">
        <v>696</v>
      </c>
      <c r="AR131" s="80" t="s">
        <v>218</v>
      </c>
      <c r="AS131" s="80">
        <v>0</v>
      </c>
      <c r="AT131" s="80">
        <v>0</v>
      </c>
      <c r="AU131" s="80"/>
      <c r="AV131" s="80"/>
      <c r="AW131" s="80"/>
      <c r="AX131" s="80"/>
      <c r="AY131" s="80"/>
      <c r="AZ131" s="80"/>
      <c r="BA131" s="80"/>
      <c r="BB131" s="80"/>
      <c r="BC131" s="80">
        <v>3</v>
      </c>
      <c r="BD131" s="79" t="str">
        <f>REPLACE(INDEX(GroupVertices[Group],MATCH(Edges49[[#This Row],[Vertex 1]],GroupVertices[Vertex],0)),1,1,"")</f>
        <v>1</v>
      </c>
      <c r="BE131" s="79" t="str">
        <f>REPLACE(INDEX(GroupVertices[Group],MATCH(Edges49[[#This Row],[Vertex 2]],GroupVertices[Vertex],0)),1,1,"")</f>
        <v>2</v>
      </c>
      <c r="BF131" s="49">
        <v>0</v>
      </c>
      <c r="BG131" s="50">
        <v>0</v>
      </c>
      <c r="BH131" s="49">
        <v>5</v>
      </c>
      <c r="BI131" s="50">
        <v>12.820512820512821</v>
      </c>
      <c r="BJ131" s="49">
        <v>0</v>
      </c>
      <c r="BK131" s="50">
        <v>0</v>
      </c>
      <c r="BL131" s="49">
        <v>34</v>
      </c>
      <c r="BM131" s="50">
        <v>87.17948717948718</v>
      </c>
      <c r="BN131" s="49">
        <v>39</v>
      </c>
    </row>
    <row r="132" spans="1:66" ht="15">
      <c r="A132" s="65" t="s">
        <v>561</v>
      </c>
      <c r="B132" s="65" t="s">
        <v>559</v>
      </c>
      <c r="C132" s="66"/>
      <c r="D132" s="67"/>
      <c r="E132" s="66"/>
      <c r="F132" s="69"/>
      <c r="G132" s="66"/>
      <c r="H132" s="70"/>
      <c r="I132" s="71"/>
      <c r="J132" s="71"/>
      <c r="K132" s="35" t="s">
        <v>65</v>
      </c>
      <c r="L132" s="72">
        <v>132</v>
      </c>
      <c r="M132" s="72"/>
      <c r="N132" s="73"/>
      <c r="O132" s="80" t="s">
        <v>262</v>
      </c>
      <c r="P132" s="82">
        <v>44697.031539351854</v>
      </c>
      <c r="Q132" s="80" t="s">
        <v>583</v>
      </c>
      <c r="R132" s="80"/>
      <c r="S132" s="80"/>
      <c r="T132" s="80"/>
      <c r="U132" s="80"/>
      <c r="V132" s="83" t="str">
        <f>HYPERLINK("https://pbs.twimg.com/profile_images/1449026286337540096/j8wlT2Py_normal.jpg")</f>
        <v>https://pbs.twimg.com/profile_images/1449026286337540096/j8wlT2Py_normal.jpg</v>
      </c>
      <c r="W132" s="82">
        <v>44697.031539351854</v>
      </c>
      <c r="X132" s="87">
        <v>44697</v>
      </c>
      <c r="Y132" s="85" t="s">
        <v>652</v>
      </c>
      <c r="Z132" s="83" t="str">
        <f>HYPERLINK("https://twitter.com/ssidhugurpreet/status/1526000834928005121")</f>
        <v>https://twitter.com/ssidhugurpreet/status/1526000834928005121</v>
      </c>
      <c r="AA132" s="80"/>
      <c r="AB132" s="80"/>
      <c r="AC132" s="85" t="s">
        <v>706</v>
      </c>
      <c r="AD132" s="80"/>
      <c r="AE132" s="80" t="b">
        <v>0</v>
      </c>
      <c r="AF132" s="80">
        <v>0</v>
      </c>
      <c r="AG132" s="85" t="s">
        <v>267</v>
      </c>
      <c r="AH132" s="80" t="b">
        <v>0</v>
      </c>
      <c r="AI132" s="80" t="s">
        <v>268</v>
      </c>
      <c r="AJ132" s="80"/>
      <c r="AK132" s="85" t="s">
        <v>267</v>
      </c>
      <c r="AL132" s="80" t="b">
        <v>0</v>
      </c>
      <c r="AM132" s="80">
        <v>3</v>
      </c>
      <c r="AN132" s="85" t="s">
        <v>702</v>
      </c>
      <c r="AO132" s="85" t="s">
        <v>272</v>
      </c>
      <c r="AP132" s="80" t="b">
        <v>0</v>
      </c>
      <c r="AQ132" s="85" t="s">
        <v>702</v>
      </c>
      <c r="AR132" s="80" t="s">
        <v>218</v>
      </c>
      <c r="AS132" s="80">
        <v>0</v>
      </c>
      <c r="AT132" s="80">
        <v>0</v>
      </c>
      <c r="AU132" s="80"/>
      <c r="AV132" s="80"/>
      <c r="AW132" s="80"/>
      <c r="AX132" s="80"/>
      <c r="AY132" s="80"/>
      <c r="AZ132" s="80"/>
      <c r="BA132" s="80"/>
      <c r="BB132" s="80"/>
      <c r="BC132" s="80">
        <v>3</v>
      </c>
      <c r="BD132" s="79" t="str">
        <f>REPLACE(INDEX(GroupVertices[Group],MATCH(Edges49[[#This Row],[Vertex 1]],GroupVertices[Vertex],0)),1,1,"")</f>
        <v>1</v>
      </c>
      <c r="BE132" s="79" t="str">
        <f>REPLACE(INDEX(GroupVertices[Group],MATCH(Edges49[[#This Row],[Vertex 2]],GroupVertices[Vertex],0)),1,1,"")</f>
        <v>2</v>
      </c>
      <c r="BF132" s="49">
        <v>0</v>
      </c>
      <c r="BG132" s="50">
        <v>0</v>
      </c>
      <c r="BH132" s="49">
        <v>2</v>
      </c>
      <c r="BI132" s="50">
        <v>6.666666666666667</v>
      </c>
      <c r="BJ132" s="49">
        <v>0</v>
      </c>
      <c r="BK132" s="50">
        <v>0</v>
      </c>
      <c r="BL132" s="49">
        <v>28</v>
      </c>
      <c r="BM132" s="50">
        <v>93.33333333333333</v>
      </c>
      <c r="BN132" s="49">
        <v>30</v>
      </c>
    </row>
    <row r="133" spans="1:66" ht="15">
      <c r="A133" s="65" t="s">
        <v>559</v>
      </c>
      <c r="B133" s="65" t="s">
        <v>559</v>
      </c>
      <c r="C133" s="66"/>
      <c r="D133" s="67"/>
      <c r="E133" s="66"/>
      <c r="F133" s="69"/>
      <c r="G133" s="66"/>
      <c r="H133" s="70"/>
      <c r="I133" s="71"/>
      <c r="J133" s="71"/>
      <c r="K133" s="35" t="s">
        <v>65</v>
      </c>
      <c r="L133" s="72">
        <v>133</v>
      </c>
      <c r="M133" s="72"/>
      <c r="N133" s="73"/>
      <c r="O133" s="80" t="s">
        <v>263</v>
      </c>
      <c r="P133" s="82">
        <v>44692.5190625</v>
      </c>
      <c r="Q133" s="80" t="s">
        <v>580</v>
      </c>
      <c r="R133" s="80"/>
      <c r="S133" s="80"/>
      <c r="T133" s="85" t="s">
        <v>596</v>
      </c>
      <c r="U133" s="83" t="str">
        <f>HYPERLINK("https://pbs.twimg.com/media/FSc09v5aQAAY6bm.jpg")</f>
        <v>https://pbs.twimg.com/media/FSc09v5aQAAY6bm.jpg</v>
      </c>
      <c r="V133" s="83" t="str">
        <f>HYPERLINK("https://pbs.twimg.com/media/FSc09v5aQAAY6bm.jpg")</f>
        <v>https://pbs.twimg.com/media/FSc09v5aQAAY6bm.jpg</v>
      </c>
      <c r="W133" s="82">
        <v>44692.5190625</v>
      </c>
      <c r="X133" s="87">
        <v>44692</v>
      </c>
      <c r="Y133" s="85" t="s">
        <v>643</v>
      </c>
      <c r="Z133" s="83" t="str">
        <f>HYPERLINK("https://twitter.com/letusbacktonz/status/1524365566693486592")</f>
        <v>https://twitter.com/letusbacktonz/status/1524365566693486592</v>
      </c>
      <c r="AA133" s="80"/>
      <c r="AB133" s="80"/>
      <c r="AC133" s="85" t="s">
        <v>697</v>
      </c>
      <c r="AD133" s="80"/>
      <c r="AE133" s="80" t="b">
        <v>0</v>
      </c>
      <c r="AF133" s="80">
        <v>0</v>
      </c>
      <c r="AG133" s="85" t="s">
        <v>267</v>
      </c>
      <c r="AH133" s="80" t="b">
        <v>0</v>
      </c>
      <c r="AI133" s="80" t="s">
        <v>268</v>
      </c>
      <c r="AJ133" s="80"/>
      <c r="AK133" s="85" t="s">
        <v>267</v>
      </c>
      <c r="AL133" s="80" t="b">
        <v>0</v>
      </c>
      <c r="AM133" s="80">
        <v>19</v>
      </c>
      <c r="AN133" s="85" t="s">
        <v>696</v>
      </c>
      <c r="AO133" s="85" t="s">
        <v>272</v>
      </c>
      <c r="AP133" s="80" t="b">
        <v>0</v>
      </c>
      <c r="AQ133" s="85" t="s">
        <v>696</v>
      </c>
      <c r="AR133" s="80" t="s">
        <v>218</v>
      </c>
      <c r="AS133" s="80">
        <v>0</v>
      </c>
      <c r="AT133" s="80">
        <v>0</v>
      </c>
      <c r="AU133" s="80"/>
      <c r="AV133" s="80"/>
      <c r="AW133" s="80"/>
      <c r="AX133" s="80"/>
      <c r="AY133" s="80"/>
      <c r="AZ133" s="80"/>
      <c r="BA133" s="80"/>
      <c r="BB133" s="80"/>
      <c r="BC133" s="80">
        <v>2</v>
      </c>
      <c r="BD133" s="79" t="str">
        <f>REPLACE(INDEX(GroupVertices[Group],MATCH(Edges49[[#This Row],[Vertex 1]],GroupVertices[Vertex],0)),1,1,"")</f>
        <v>2</v>
      </c>
      <c r="BE133" s="79" t="str">
        <f>REPLACE(INDEX(GroupVertices[Group],MATCH(Edges49[[#This Row],[Vertex 2]],GroupVertices[Vertex],0)),1,1,"")</f>
        <v>2</v>
      </c>
      <c r="BF133" s="49">
        <v>0</v>
      </c>
      <c r="BG133" s="50">
        <v>0</v>
      </c>
      <c r="BH133" s="49">
        <v>5</v>
      </c>
      <c r="BI133" s="50">
        <v>12.820512820512821</v>
      </c>
      <c r="BJ133" s="49">
        <v>0</v>
      </c>
      <c r="BK133" s="50">
        <v>0</v>
      </c>
      <c r="BL133" s="49">
        <v>34</v>
      </c>
      <c r="BM133" s="50">
        <v>87.17948717948718</v>
      </c>
      <c r="BN133" s="49">
        <v>39</v>
      </c>
    </row>
    <row r="134" spans="1:66" ht="15">
      <c r="A134" s="65" t="s">
        <v>559</v>
      </c>
      <c r="B134" s="65" t="s">
        <v>579</v>
      </c>
      <c r="C134" s="66"/>
      <c r="D134" s="67"/>
      <c r="E134" s="66"/>
      <c r="F134" s="69"/>
      <c r="G134" s="66"/>
      <c r="H134" s="70"/>
      <c r="I134" s="71"/>
      <c r="J134" s="71"/>
      <c r="K134" s="35" t="s">
        <v>65</v>
      </c>
      <c r="L134" s="72">
        <v>134</v>
      </c>
      <c r="M134" s="72"/>
      <c r="N134" s="73"/>
      <c r="O134" s="80" t="s">
        <v>261</v>
      </c>
      <c r="P134" s="82">
        <v>44693.23284722222</v>
      </c>
      <c r="Q134" s="80" t="s">
        <v>586</v>
      </c>
      <c r="R134" s="83" t="str">
        <f>HYPERLINK("https://twitter.com/LetusbacktoNZ/status/1524623401868214272")</f>
        <v>https://twitter.com/LetusbacktoNZ/status/1524623401868214272</v>
      </c>
      <c r="S134" s="80" t="s">
        <v>265</v>
      </c>
      <c r="T134" s="80"/>
      <c r="U134" s="80"/>
      <c r="V134" s="83" t="str">
        <f>HYPERLINK("https://pbs.twimg.com/profile_images/1423569281292271617/RHqRplkb_normal.jpg")</f>
        <v>https://pbs.twimg.com/profile_images/1423569281292271617/RHqRplkb_normal.jpg</v>
      </c>
      <c r="W134" s="82">
        <v>44693.23284722222</v>
      </c>
      <c r="X134" s="87">
        <v>44693</v>
      </c>
      <c r="Y134" s="85" t="s">
        <v>639</v>
      </c>
      <c r="Z134" s="83" t="str">
        <f>HYPERLINK("https://twitter.com/letusbacktonz/status/1524624235989442561")</f>
        <v>https://twitter.com/letusbacktonz/status/1524624235989442561</v>
      </c>
      <c r="AA134" s="80"/>
      <c r="AB134" s="80"/>
      <c r="AC134" s="85" t="s">
        <v>693</v>
      </c>
      <c r="AD134" s="80"/>
      <c r="AE134" s="80" t="b">
        <v>0</v>
      </c>
      <c r="AF134" s="80">
        <v>1</v>
      </c>
      <c r="AG134" s="85" t="s">
        <v>303</v>
      </c>
      <c r="AH134" s="80" t="b">
        <v>1</v>
      </c>
      <c r="AI134" s="80" t="s">
        <v>269</v>
      </c>
      <c r="AJ134" s="80"/>
      <c r="AK134" s="85" t="s">
        <v>692</v>
      </c>
      <c r="AL134" s="80" t="b">
        <v>0</v>
      </c>
      <c r="AM134" s="80">
        <v>1</v>
      </c>
      <c r="AN134" s="85" t="s">
        <v>267</v>
      </c>
      <c r="AO134" s="85" t="s">
        <v>270</v>
      </c>
      <c r="AP134" s="80" t="b">
        <v>0</v>
      </c>
      <c r="AQ134" s="85" t="s">
        <v>693</v>
      </c>
      <c r="AR134" s="80" t="s">
        <v>218</v>
      </c>
      <c r="AS134" s="80">
        <v>0</v>
      </c>
      <c r="AT134" s="80">
        <v>0</v>
      </c>
      <c r="AU134" s="80"/>
      <c r="AV134" s="80"/>
      <c r="AW134" s="80"/>
      <c r="AX134" s="80"/>
      <c r="AY134" s="80"/>
      <c r="AZ134" s="80"/>
      <c r="BA134" s="80"/>
      <c r="BB134" s="80"/>
      <c r="BC134" s="80">
        <v>1</v>
      </c>
      <c r="BD134" s="79" t="str">
        <f>REPLACE(INDEX(GroupVertices[Group],MATCH(Edges49[[#This Row],[Vertex 1]],GroupVertices[Vertex],0)),1,1,"")</f>
        <v>2</v>
      </c>
      <c r="BE134" s="79" t="str">
        <f>REPLACE(INDEX(GroupVertices[Group],MATCH(Edges49[[#This Row],[Vertex 2]],GroupVertices[Vertex],0)),1,1,"")</f>
        <v>3</v>
      </c>
      <c r="BF134" s="49"/>
      <c r="BG134" s="50"/>
      <c r="BH134" s="49"/>
      <c r="BI134" s="50"/>
      <c r="BJ134" s="49"/>
      <c r="BK134" s="50"/>
      <c r="BL134" s="49"/>
      <c r="BM134" s="50"/>
      <c r="BN134" s="49"/>
    </row>
    <row r="135" spans="1:66" ht="15">
      <c r="A135" s="65" t="s">
        <v>559</v>
      </c>
      <c r="B135" s="65" t="s">
        <v>521</v>
      </c>
      <c r="C135" s="66"/>
      <c r="D135" s="67"/>
      <c r="E135" s="66"/>
      <c r="F135" s="69"/>
      <c r="G135" s="66"/>
      <c r="H135" s="70"/>
      <c r="I135" s="71"/>
      <c r="J135" s="71"/>
      <c r="K135" s="35" t="s">
        <v>65</v>
      </c>
      <c r="L135" s="72">
        <v>135</v>
      </c>
      <c r="M135" s="72"/>
      <c r="N135" s="73"/>
      <c r="O135" s="80" t="s">
        <v>261</v>
      </c>
      <c r="P135" s="82">
        <v>44693.23284722222</v>
      </c>
      <c r="Q135" s="80" t="s">
        <v>586</v>
      </c>
      <c r="R135" s="83" t="str">
        <f>HYPERLINK("https://twitter.com/LetusbacktoNZ/status/1524623401868214272")</f>
        <v>https://twitter.com/LetusbacktoNZ/status/1524623401868214272</v>
      </c>
      <c r="S135" s="80" t="s">
        <v>265</v>
      </c>
      <c r="T135" s="80"/>
      <c r="U135" s="80"/>
      <c r="V135" s="83" t="str">
        <f>HYPERLINK("https://pbs.twimg.com/profile_images/1423569281292271617/RHqRplkb_normal.jpg")</f>
        <v>https://pbs.twimg.com/profile_images/1423569281292271617/RHqRplkb_normal.jpg</v>
      </c>
      <c r="W135" s="82">
        <v>44693.23284722222</v>
      </c>
      <c r="X135" s="87">
        <v>44693</v>
      </c>
      <c r="Y135" s="85" t="s">
        <v>639</v>
      </c>
      <c r="Z135" s="83" t="str">
        <f>HYPERLINK("https://twitter.com/letusbacktonz/status/1524624235989442561")</f>
        <v>https://twitter.com/letusbacktonz/status/1524624235989442561</v>
      </c>
      <c r="AA135" s="80"/>
      <c r="AB135" s="80"/>
      <c r="AC135" s="85" t="s">
        <v>693</v>
      </c>
      <c r="AD135" s="80"/>
      <c r="AE135" s="80" t="b">
        <v>0</v>
      </c>
      <c r="AF135" s="80">
        <v>1</v>
      </c>
      <c r="AG135" s="85" t="s">
        <v>303</v>
      </c>
      <c r="AH135" s="80" t="b">
        <v>1</v>
      </c>
      <c r="AI135" s="80" t="s">
        <v>269</v>
      </c>
      <c r="AJ135" s="80"/>
      <c r="AK135" s="85" t="s">
        <v>692</v>
      </c>
      <c r="AL135" s="80" t="b">
        <v>0</v>
      </c>
      <c r="AM135" s="80">
        <v>1</v>
      </c>
      <c r="AN135" s="85" t="s">
        <v>267</v>
      </c>
      <c r="AO135" s="85" t="s">
        <v>270</v>
      </c>
      <c r="AP135" s="80" t="b">
        <v>0</v>
      </c>
      <c r="AQ135" s="85" t="s">
        <v>693</v>
      </c>
      <c r="AR135" s="80" t="s">
        <v>218</v>
      </c>
      <c r="AS135" s="80">
        <v>0</v>
      </c>
      <c r="AT135" s="80">
        <v>0</v>
      </c>
      <c r="AU135" s="80"/>
      <c r="AV135" s="80"/>
      <c r="AW135" s="80"/>
      <c r="AX135" s="80"/>
      <c r="AY135" s="80"/>
      <c r="AZ135" s="80"/>
      <c r="BA135" s="80"/>
      <c r="BB135" s="80"/>
      <c r="BC135" s="80">
        <v>1</v>
      </c>
      <c r="BD135" s="79" t="str">
        <f>REPLACE(INDEX(GroupVertices[Group],MATCH(Edges49[[#This Row],[Vertex 1]],GroupVertices[Vertex],0)),1,1,"")</f>
        <v>2</v>
      </c>
      <c r="BE135" s="79" t="str">
        <f>REPLACE(INDEX(GroupVertices[Group],MATCH(Edges49[[#This Row],[Vertex 2]],GroupVertices[Vertex],0)),1,1,"")</f>
        <v>3</v>
      </c>
      <c r="BF135" s="49">
        <v>0</v>
      </c>
      <c r="BG135" s="50">
        <v>0</v>
      </c>
      <c r="BH135" s="49">
        <v>0</v>
      </c>
      <c r="BI135" s="50">
        <v>0</v>
      </c>
      <c r="BJ135" s="49">
        <v>0</v>
      </c>
      <c r="BK135" s="50">
        <v>0</v>
      </c>
      <c r="BL135" s="49">
        <v>20</v>
      </c>
      <c r="BM135" s="50">
        <v>100</v>
      </c>
      <c r="BN135" s="49">
        <v>20</v>
      </c>
    </row>
    <row r="136" spans="1:66" ht="15">
      <c r="A136" s="65" t="s">
        <v>559</v>
      </c>
      <c r="B136" s="65" t="s">
        <v>559</v>
      </c>
      <c r="C136" s="66"/>
      <c r="D136" s="67"/>
      <c r="E136" s="66"/>
      <c r="F136" s="69"/>
      <c r="G136" s="66"/>
      <c r="H136" s="70"/>
      <c r="I136" s="71"/>
      <c r="J136" s="71"/>
      <c r="K136" s="35" t="s">
        <v>65</v>
      </c>
      <c r="L136" s="72">
        <v>136</v>
      </c>
      <c r="M136" s="72"/>
      <c r="N136" s="73"/>
      <c r="O136" s="80" t="s">
        <v>218</v>
      </c>
      <c r="P136" s="82">
        <v>44695.21769675926</v>
      </c>
      <c r="Q136" s="80" t="s">
        <v>591</v>
      </c>
      <c r="R136" s="83" t="str">
        <f>HYPERLINK("https://www.indianweekender.co.nz/Pages/ArticleDetails/52/19649/Editorials/Why-govt-has-no-rationale-to-not-extend-expired-visas-of-migrant-workers-stuck?fbclid=IwAR2N6zafme4riiGzBLZrjOoQ2GFiFPa-YmoKXQrWtoZPkyviyXZRZBzs64k")</f>
        <v>https://www.indianweekender.co.nz/Pages/ArticleDetails/52/19649/Editorials/Why-govt-has-no-rationale-to-not-extend-expired-visas-of-migrant-workers-stuck?fbclid=IwAR2N6zafme4riiGzBLZrjOoQ2GFiFPa-YmoKXQrWtoZPkyviyXZRZBzs64k</v>
      </c>
      <c r="S136" s="80" t="s">
        <v>266</v>
      </c>
      <c r="T136" s="85" t="s">
        <v>599</v>
      </c>
      <c r="U136" s="80"/>
      <c r="V136" s="83" t="str">
        <f>HYPERLINK("https://pbs.twimg.com/profile_images/1423569281292271617/RHqRplkb_normal.jpg")</f>
        <v>https://pbs.twimg.com/profile_images/1423569281292271617/RHqRplkb_normal.jpg</v>
      </c>
      <c r="W136" s="82">
        <v>44695.21769675926</v>
      </c>
      <c r="X136" s="87">
        <v>44695</v>
      </c>
      <c r="Y136" s="85" t="s">
        <v>653</v>
      </c>
      <c r="Z136" s="83" t="str">
        <f>HYPERLINK("https://twitter.com/letusbacktonz/status/1525343522484011009")</f>
        <v>https://twitter.com/letusbacktonz/status/1525343522484011009</v>
      </c>
      <c r="AA136" s="80"/>
      <c r="AB136" s="80"/>
      <c r="AC136" s="85" t="s">
        <v>707</v>
      </c>
      <c r="AD136" s="80"/>
      <c r="AE136" s="80" t="b">
        <v>0</v>
      </c>
      <c r="AF136" s="80">
        <v>10</v>
      </c>
      <c r="AG136" s="85" t="s">
        <v>267</v>
      </c>
      <c r="AH136" s="80" t="b">
        <v>0</v>
      </c>
      <c r="AI136" s="80" t="s">
        <v>268</v>
      </c>
      <c r="AJ136" s="80"/>
      <c r="AK136" s="85" t="s">
        <v>267</v>
      </c>
      <c r="AL136" s="80" t="b">
        <v>0</v>
      </c>
      <c r="AM136" s="80">
        <v>11</v>
      </c>
      <c r="AN136" s="85" t="s">
        <v>267</v>
      </c>
      <c r="AO136" s="85" t="s">
        <v>270</v>
      </c>
      <c r="AP136" s="80" t="b">
        <v>0</v>
      </c>
      <c r="AQ136" s="85" t="s">
        <v>707</v>
      </c>
      <c r="AR136" s="80" t="s">
        <v>218</v>
      </c>
      <c r="AS136" s="80">
        <v>0</v>
      </c>
      <c r="AT136" s="80">
        <v>0</v>
      </c>
      <c r="AU136" s="80"/>
      <c r="AV136" s="80"/>
      <c r="AW136" s="80"/>
      <c r="AX136" s="80"/>
      <c r="AY136" s="80"/>
      <c r="AZ136" s="80"/>
      <c r="BA136" s="80"/>
      <c r="BB136" s="80"/>
      <c r="BC136" s="80">
        <v>2</v>
      </c>
      <c r="BD136" s="79" t="str">
        <f>REPLACE(INDEX(GroupVertices[Group],MATCH(Edges49[[#This Row],[Vertex 1]],GroupVertices[Vertex],0)),1,1,"")</f>
        <v>2</v>
      </c>
      <c r="BE136" s="79" t="str">
        <f>REPLACE(INDEX(GroupVertices[Group],MATCH(Edges49[[#This Row],[Vertex 2]],GroupVertices[Vertex],0)),1,1,"")</f>
        <v>2</v>
      </c>
      <c r="BF136" s="49">
        <v>1</v>
      </c>
      <c r="BG136" s="50">
        <v>2.3255813953488373</v>
      </c>
      <c r="BH136" s="49">
        <v>4</v>
      </c>
      <c r="BI136" s="50">
        <v>9.30232558139535</v>
      </c>
      <c r="BJ136" s="49">
        <v>0</v>
      </c>
      <c r="BK136" s="50">
        <v>0</v>
      </c>
      <c r="BL136" s="49">
        <v>38</v>
      </c>
      <c r="BM136" s="50">
        <v>88.37209302325581</v>
      </c>
      <c r="BN136" s="49">
        <v>43</v>
      </c>
    </row>
    <row r="137" spans="1:66" ht="15">
      <c r="A137" s="65" t="s">
        <v>563</v>
      </c>
      <c r="B137" s="65" t="s">
        <v>559</v>
      </c>
      <c r="C137" s="66"/>
      <c r="D137" s="67"/>
      <c r="E137" s="66"/>
      <c r="F137" s="69"/>
      <c r="G137" s="66"/>
      <c r="H137" s="70"/>
      <c r="I137" s="71"/>
      <c r="J137" s="71"/>
      <c r="K137" s="35" t="s">
        <v>65</v>
      </c>
      <c r="L137" s="72">
        <v>137</v>
      </c>
      <c r="M137" s="72"/>
      <c r="N137" s="73"/>
      <c r="O137" s="80" t="s">
        <v>261</v>
      </c>
      <c r="P137" s="82">
        <v>44697.813726851855</v>
      </c>
      <c r="Q137" s="80" t="s">
        <v>592</v>
      </c>
      <c r="R137" s="83" t="str">
        <f>HYPERLINK("https://nodexlgraphgallery.org/Pages/Graph.aspx?graphID=276416")</f>
        <v>https://nodexlgraphgallery.org/Pages/Graph.aspx?graphID=276416</v>
      </c>
      <c r="S137" s="80" t="s">
        <v>595</v>
      </c>
      <c r="T137" s="85" t="s">
        <v>600</v>
      </c>
      <c r="U137" s="80"/>
      <c r="V137" s="83" t="str">
        <f>HYPERLINK("https://pbs.twimg.com/profile_images/508785422617440256/-sHWScrw_normal.png")</f>
        <v>https://pbs.twimg.com/profile_images/508785422617440256/-sHWScrw_normal.png</v>
      </c>
      <c r="W137" s="82">
        <v>44697.813726851855</v>
      </c>
      <c r="X137" s="87">
        <v>44697</v>
      </c>
      <c r="Y137" s="85" t="s">
        <v>654</v>
      </c>
      <c r="Z137" s="83" t="str">
        <f>HYPERLINK("https://twitter.com/smartkiwis/status/1526284290048159744")</f>
        <v>https://twitter.com/smartkiwis/status/1526284290048159744</v>
      </c>
      <c r="AA137" s="80"/>
      <c r="AB137" s="80"/>
      <c r="AC137" s="85" t="s">
        <v>708</v>
      </c>
      <c r="AD137" s="80"/>
      <c r="AE137" s="80" t="b">
        <v>0</v>
      </c>
      <c r="AF137" s="80">
        <v>0</v>
      </c>
      <c r="AG137" s="85" t="s">
        <v>267</v>
      </c>
      <c r="AH137" s="80" t="b">
        <v>0</v>
      </c>
      <c r="AI137" s="80" t="s">
        <v>268</v>
      </c>
      <c r="AJ137" s="80"/>
      <c r="AK137" s="85" t="s">
        <v>267</v>
      </c>
      <c r="AL137" s="80" t="b">
        <v>0</v>
      </c>
      <c r="AM137" s="80">
        <v>0</v>
      </c>
      <c r="AN137" s="85" t="s">
        <v>267</v>
      </c>
      <c r="AO137" s="85" t="s">
        <v>270</v>
      </c>
      <c r="AP137" s="80" t="b">
        <v>0</v>
      </c>
      <c r="AQ137" s="85" t="s">
        <v>708</v>
      </c>
      <c r="AR137" s="80" t="s">
        <v>218</v>
      </c>
      <c r="AS137" s="80">
        <v>0</v>
      </c>
      <c r="AT137" s="80">
        <v>0</v>
      </c>
      <c r="AU137" s="80"/>
      <c r="AV137" s="80"/>
      <c r="AW137" s="80"/>
      <c r="AX137" s="80"/>
      <c r="AY137" s="80"/>
      <c r="AZ137" s="80"/>
      <c r="BA137" s="80"/>
      <c r="BB137" s="80"/>
      <c r="BC137" s="80">
        <v>1</v>
      </c>
      <c r="BD137" s="79" t="str">
        <f>REPLACE(INDEX(GroupVertices[Group],MATCH(Edges49[[#This Row],[Vertex 1]],GroupVertices[Vertex],0)),1,1,"")</f>
        <v>3</v>
      </c>
      <c r="BE137" s="79" t="str">
        <f>REPLACE(INDEX(GroupVertices[Group],MATCH(Edges49[[#This Row],[Vertex 2]],GroupVertices[Vertex],0)),1,1,"")</f>
        <v>2</v>
      </c>
      <c r="BF137" s="49"/>
      <c r="BG137" s="50"/>
      <c r="BH137" s="49"/>
      <c r="BI137" s="50"/>
      <c r="BJ137" s="49"/>
      <c r="BK137" s="50"/>
      <c r="BL137" s="49"/>
      <c r="BM137" s="50"/>
      <c r="BN137" s="49"/>
    </row>
    <row r="138" spans="1:66" ht="15">
      <c r="A138" s="65" t="s">
        <v>563</v>
      </c>
      <c r="B138" s="65" t="s">
        <v>257</v>
      </c>
      <c r="C138" s="66"/>
      <c r="D138" s="67"/>
      <c r="E138" s="66"/>
      <c r="F138" s="69"/>
      <c r="G138" s="66"/>
      <c r="H138" s="70"/>
      <c r="I138" s="71"/>
      <c r="J138" s="71"/>
      <c r="K138" s="35" t="s">
        <v>65</v>
      </c>
      <c r="L138" s="72">
        <v>138</v>
      </c>
      <c r="M138" s="72"/>
      <c r="N138" s="73"/>
      <c r="O138" s="80" t="s">
        <v>261</v>
      </c>
      <c r="P138" s="82">
        <v>44697.813726851855</v>
      </c>
      <c r="Q138" s="80" t="s">
        <v>592</v>
      </c>
      <c r="R138" s="83" t="str">
        <f>HYPERLINK("https://nodexlgraphgallery.org/Pages/Graph.aspx?graphID=276416")</f>
        <v>https://nodexlgraphgallery.org/Pages/Graph.aspx?graphID=276416</v>
      </c>
      <c r="S138" s="80" t="s">
        <v>595</v>
      </c>
      <c r="T138" s="85" t="s">
        <v>600</v>
      </c>
      <c r="U138" s="80"/>
      <c r="V138" s="83" t="str">
        <f>HYPERLINK("https://pbs.twimg.com/profile_images/508785422617440256/-sHWScrw_normal.png")</f>
        <v>https://pbs.twimg.com/profile_images/508785422617440256/-sHWScrw_normal.png</v>
      </c>
      <c r="W138" s="82">
        <v>44697.813726851855</v>
      </c>
      <c r="X138" s="87">
        <v>44697</v>
      </c>
      <c r="Y138" s="85" t="s">
        <v>654</v>
      </c>
      <c r="Z138" s="83" t="str">
        <f>HYPERLINK("https://twitter.com/smartkiwis/status/1526284290048159744")</f>
        <v>https://twitter.com/smartkiwis/status/1526284290048159744</v>
      </c>
      <c r="AA138" s="80"/>
      <c r="AB138" s="80"/>
      <c r="AC138" s="85" t="s">
        <v>708</v>
      </c>
      <c r="AD138" s="80"/>
      <c r="AE138" s="80" t="b">
        <v>0</v>
      </c>
      <c r="AF138" s="80">
        <v>0</v>
      </c>
      <c r="AG138" s="85" t="s">
        <v>267</v>
      </c>
      <c r="AH138" s="80" t="b">
        <v>0</v>
      </c>
      <c r="AI138" s="80" t="s">
        <v>268</v>
      </c>
      <c r="AJ138" s="80"/>
      <c r="AK138" s="85" t="s">
        <v>267</v>
      </c>
      <c r="AL138" s="80" t="b">
        <v>0</v>
      </c>
      <c r="AM138" s="80">
        <v>0</v>
      </c>
      <c r="AN138" s="85" t="s">
        <v>267</v>
      </c>
      <c r="AO138" s="85" t="s">
        <v>270</v>
      </c>
      <c r="AP138" s="80" t="b">
        <v>0</v>
      </c>
      <c r="AQ138" s="85" t="s">
        <v>708</v>
      </c>
      <c r="AR138" s="80" t="s">
        <v>218</v>
      </c>
      <c r="AS138" s="80">
        <v>0</v>
      </c>
      <c r="AT138" s="80">
        <v>0</v>
      </c>
      <c r="AU138" s="80"/>
      <c r="AV138" s="80"/>
      <c r="AW138" s="80"/>
      <c r="AX138" s="80"/>
      <c r="AY138" s="80"/>
      <c r="AZ138" s="80"/>
      <c r="BA138" s="80"/>
      <c r="BB138" s="80"/>
      <c r="BC138" s="80">
        <v>1</v>
      </c>
      <c r="BD138" s="79" t="str">
        <f>REPLACE(INDEX(GroupVertices[Group],MATCH(Edges49[[#This Row],[Vertex 1]],GroupVertices[Vertex],0)),1,1,"")</f>
        <v>3</v>
      </c>
      <c r="BE138" s="79" t="str">
        <f>REPLACE(INDEX(GroupVertices[Group],MATCH(Edges49[[#This Row],[Vertex 2]],GroupVertices[Vertex],0)),1,1,"")</f>
        <v>3</v>
      </c>
      <c r="BF138" s="49"/>
      <c r="BG138" s="50"/>
      <c r="BH138" s="49"/>
      <c r="BI138" s="50"/>
      <c r="BJ138" s="49"/>
      <c r="BK138" s="50"/>
      <c r="BL138" s="49"/>
      <c r="BM138" s="50"/>
      <c r="BN138" s="49"/>
    </row>
    <row r="139" spans="1:66" ht="15">
      <c r="A139" s="65" t="s">
        <v>563</v>
      </c>
      <c r="B139" s="65" t="s">
        <v>521</v>
      </c>
      <c r="C139" s="66"/>
      <c r="D139" s="67"/>
      <c r="E139" s="66"/>
      <c r="F139" s="69"/>
      <c r="G139" s="66"/>
      <c r="H139" s="70"/>
      <c r="I139" s="71"/>
      <c r="J139" s="71"/>
      <c r="K139" s="35" t="s">
        <v>65</v>
      </c>
      <c r="L139" s="72">
        <v>139</v>
      </c>
      <c r="M139" s="72"/>
      <c r="N139" s="73"/>
      <c r="O139" s="80" t="s">
        <v>261</v>
      </c>
      <c r="P139" s="82">
        <v>44697.813726851855</v>
      </c>
      <c r="Q139" s="80" t="s">
        <v>592</v>
      </c>
      <c r="R139" s="83" t="str">
        <f>HYPERLINK("https://nodexlgraphgallery.org/Pages/Graph.aspx?graphID=276416")</f>
        <v>https://nodexlgraphgallery.org/Pages/Graph.aspx?graphID=276416</v>
      </c>
      <c r="S139" s="80" t="s">
        <v>595</v>
      </c>
      <c r="T139" s="85" t="s">
        <v>600</v>
      </c>
      <c r="U139" s="80"/>
      <c r="V139" s="83" t="str">
        <f>HYPERLINK("https://pbs.twimg.com/profile_images/508785422617440256/-sHWScrw_normal.png")</f>
        <v>https://pbs.twimg.com/profile_images/508785422617440256/-sHWScrw_normal.png</v>
      </c>
      <c r="W139" s="82">
        <v>44697.813726851855</v>
      </c>
      <c r="X139" s="87">
        <v>44697</v>
      </c>
      <c r="Y139" s="85" t="s">
        <v>654</v>
      </c>
      <c r="Z139" s="83" t="str">
        <f>HYPERLINK("https://twitter.com/smartkiwis/status/1526284290048159744")</f>
        <v>https://twitter.com/smartkiwis/status/1526284290048159744</v>
      </c>
      <c r="AA139" s="80"/>
      <c r="AB139" s="80"/>
      <c r="AC139" s="85" t="s">
        <v>708</v>
      </c>
      <c r="AD139" s="80"/>
      <c r="AE139" s="80" t="b">
        <v>0</v>
      </c>
      <c r="AF139" s="80">
        <v>0</v>
      </c>
      <c r="AG139" s="85" t="s">
        <v>267</v>
      </c>
      <c r="AH139" s="80" t="b">
        <v>0</v>
      </c>
      <c r="AI139" s="80" t="s">
        <v>268</v>
      </c>
      <c r="AJ139" s="80"/>
      <c r="AK139" s="85" t="s">
        <v>267</v>
      </c>
      <c r="AL139" s="80" t="b">
        <v>0</v>
      </c>
      <c r="AM139" s="80">
        <v>0</v>
      </c>
      <c r="AN139" s="85" t="s">
        <v>267</v>
      </c>
      <c r="AO139" s="85" t="s">
        <v>270</v>
      </c>
      <c r="AP139" s="80" t="b">
        <v>0</v>
      </c>
      <c r="AQ139" s="85" t="s">
        <v>708</v>
      </c>
      <c r="AR139" s="80" t="s">
        <v>218</v>
      </c>
      <c r="AS139" s="80">
        <v>0</v>
      </c>
      <c r="AT139" s="80">
        <v>0</v>
      </c>
      <c r="AU139" s="80"/>
      <c r="AV139" s="80"/>
      <c r="AW139" s="80"/>
      <c r="AX139" s="80"/>
      <c r="AY139" s="80"/>
      <c r="AZ139" s="80"/>
      <c r="BA139" s="80"/>
      <c r="BB139" s="80"/>
      <c r="BC139" s="80">
        <v>1</v>
      </c>
      <c r="BD139" s="79" t="str">
        <f>REPLACE(INDEX(GroupVertices[Group],MATCH(Edges49[[#This Row],[Vertex 1]],GroupVertices[Vertex],0)),1,1,"")</f>
        <v>3</v>
      </c>
      <c r="BE139" s="79" t="str">
        <f>REPLACE(INDEX(GroupVertices[Group],MATCH(Edges49[[#This Row],[Vertex 2]],GroupVertices[Vertex],0)),1,1,"")</f>
        <v>3</v>
      </c>
      <c r="BF139" s="49"/>
      <c r="BG139" s="50"/>
      <c r="BH139" s="49"/>
      <c r="BI139" s="50"/>
      <c r="BJ139" s="49"/>
      <c r="BK139" s="50"/>
      <c r="BL139" s="49"/>
      <c r="BM139" s="50"/>
      <c r="BN139" s="49"/>
    </row>
    <row r="140" spans="1:66" ht="15">
      <c r="A140" s="65" t="s">
        <v>563</v>
      </c>
      <c r="B140" s="65" t="s">
        <v>256</v>
      </c>
      <c r="C140" s="66"/>
      <c r="D140" s="67"/>
      <c r="E140" s="66"/>
      <c r="F140" s="69"/>
      <c r="G140" s="66"/>
      <c r="H140" s="70"/>
      <c r="I140" s="71"/>
      <c r="J140" s="71"/>
      <c r="K140" s="35" t="s">
        <v>65</v>
      </c>
      <c r="L140" s="72">
        <v>140</v>
      </c>
      <c r="M140" s="72"/>
      <c r="N140" s="73"/>
      <c r="O140" s="80" t="s">
        <v>261</v>
      </c>
      <c r="P140" s="82">
        <v>44697.813726851855</v>
      </c>
      <c r="Q140" s="80" t="s">
        <v>592</v>
      </c>
      <c r="R140" s="83" t="str">
        <f>HYPERLINK("https://nodexlgraphgallery.org/Pages/Graph.aspx?graphID=276416")</f>
        <v>https://nodexlgraphgallery.org/Pages/Graph.aspx?graphID=276416</v>
      </c>
      <c r="S140" s="80" t="s">
        <v>595</v>
      </c>
      <c r="T140" s="85" t="s">
        <v>600</v>
      </c>
      <c r="U140" s="80"/>
      <c r="V140" s="83" t="str">
        <f>HYPERLINK("https://pbs.twimg.com/profile_images/508785422617440256/-sHWScrw_normal.png")</f>
        <v>https://pbs.twimg.com/profile_images/508785422617440256/-sHWScrw_normal.png</v>
      </c>
      <c r="W140" s="82">
        <v>44697.813726851855</v>
      </c>
      <c r="X140" s="87">
        <v>44697</v>
      </c>
      <c r="Y140" s="85" t="s">
        <v>654</v>
      </c>
      <c r="Z140" s="83" t="str">
        <f>HYPERLINK("https://twitter.com/smartkiwis/status/1526284290048159744")</f>
        <v>https://twitter.com/smartkiwis/status/1526284290048159744</v>
      </c>
      <c r="AA140" s="80"/>
      <c r="AB140" s="80"/>
      <c r="AC140" s="85" t="s">
        <v>708</v>
      </c>
      <c r="AD140" s="80"/>
      <c r="AE140" s="80" t="b">
        <v>0</v>
      </c>
      <c r="AF140" s="80">
        <v>0</v>
      </c>
      <c r="AG140" s="85" t="s">
        <v>267</v>
      </c>
      <c r="AH140" s="80" t="b">
        <v>0</v>
      </c>
      <c r="AI140" s="80" t="s">
        <v>268</v>
      </c>
      <c r="AJ140" s="80"/>
      <c r="AK140" s="85" t="s">
        <v>267</v>
      </c>
      <c r="AL140" s="80" t="b">
        <v>0</v>
      </c>
      <c r="AM140" s="80">
        <v>0</v>
      </c>
      <c r="AN140" s="85" t="s">
        <v>267</v>
      </c>
      <c r="AO140" s="85" t="s">
        <v>270</v>
      </c>
      <c r="AP140" s="80" t="b">
        <v>0</v>
      </c>
      <c r="AQ140" s="85" t="s">
        <v>708</v>
      </c>
      <c r="AR140" s="80" t="s">
        <v>218</v>
      </c>
      <c r="AS140" s="80">
        <v>0</v>
      </c>
      <c r="AT140" s="80">
        <v>0</v>
      </c>
      <c r="AU140" s="80"/>
      <c r="AV140" s="80"/>
      <c r="AW140" s="80"/>
      <c r="AX140" s="80"/>
      <c r="AY140" s="80"/>
      <c r="AZ140" s="80"/>
      <c r="BA140" s="80"/>
      <c r="BB140" s="80"/>
      <c r="BC140" s="80">
        <v>1</v>
      </c>
      <c r="BD140" s="79" t="str">
        <f>REPLACE(INDEX(GroupVertices[Group],MATCH(Edges49[[#This Row],[Vertex 1]],GroupVertices[Vertex],0)),1,1,"")</f>
        <v>3</v>
      </c>
      <c r="BE140" s="79" t="str">
        <f>REPLACE(INDEX(GroupVertices[Group],MATCH(Edges49[[#This Row],[Vertex 2]],GroupVertices[Vertex],0)),1,1,"")</f>
        <v>3</v>
      </c>
      <c r="BF140" s="49">
        <v>1</v>
      </c>
      <c r="BG140" s="50">
        <v>4.166666666666667</v>
      </c>
      <c r="BH140" s="49">
        <v>1</v>
      </c>
      <c r="BI140" s="50">
        <v>4.166666666666667</v>
      </c>
      <c r="BJ140" s="49">
        <v>0</v>
      </c>
      <c r="BK140" s="50">
        <v>0</v>
      </c>
      <c r="BL140" s="49">
        <v>22</v>
      </c>
      <c r="BM140" s="50">
        <v>91.66666666666667</v>
      </c>
      <c r="BN140" s="49">
        <v>24</v>
      </c>
    </row>
    <row r="141" spans="1:66" ht="15">
      <c r="A141" s="65" t="s">
        <v>563</v>
      </c>
      <c r="B141" s="65" t="s">
        <v>579</v>
      </c>
      <c r="C141" s="66"/>
      <c r="D141" s="67"/>
      <c r="E141" s="66"/>
      <c r="F141" s="69"/>
      <c r="G141" s="66"/>
      <c r="H141" s="70"/>
      <c r="I141" s="71"/>
      <c r="J141" s="71"/>
      <c r="K141" s="35" t="s">
        <v>65</v>
      </c>
      <c r="L141" s="72">
        <v>141</v>
      </c>
      <c r="M141" s="72"/>
      <c r="N141" s="73"/>
      <c r="O141" s="80" t="s">
        <v>261</v>
      </c>
      <c r="P141" s="82">
        <v>44697.813726851855</v>
      </c>
      <c r="Q141" s="80" t="s">
        <v>592</v>
      </c>
      <c r="R141" s="83" t="str">
        <f>HYPERLINK("https://nodexlgraphgallery.org/Pages/Graph.aspx?graphID=276416")</f>
        <v>https://nodexlgraphgallery.org/Pages/Graph.aspx?graphID=276416</v>
      </c>
      <c r="S141" s="80" t="s">
        <v>595</v>
      </c>
      <c r="T141" s="85" t="s">
        <v>600</v>
      </c>
      <c r="U141" s="80"/>
      <c r="V141" s="83" t="str">
        <f>HYPERLINK("https://pbs.twimg.com/profile_images/508785422617440256/-sHWScrw_normal.png")</f>
        <v>https://pbs.twimg.com/profile_images/508785422617440256/-sHWScrw_normal.png</v>
      </c>
      <c r="W141" s="82">
        <v>44697.813726851855</v>
      </c>
      <c r="X141" s="87">
        <v>44697</v>
      </c>
      <c r="Y141" s="85" t="s">
        <v>654</v>
      </c>
      <c r="Z141" s="83" t="str">
        <f>HYPERLINK("https://twitter.com/smartkiwis/status/1526284290048159744")</f>
        <v>https://twitter.com/smartkiwis/status/1526284290048159744</v>
      </c>
      <c r="AA141" s="80"/>
      <c r="AB141" s="80"/>
      <c r="AC141" s="85" t="s">
        <v>708</v>
      </c>
      <c r="AD141" s="80"/>
      <c r="AE141" s="80" t="b">
        <v>0</v>
      </c>
      <c r="AF141" s="80">
        <v>0</v>
      </c>
      <c r="AG141" s="85" t="s">
        <v>267</v>
      </c>
      <c r="AH141" s="80" t="b">
        <v>0</v>
      </c>
      <c r="AI141" s="80" t="s">
        <v>268</v>
      </c>
      <c r="AJ141" s="80"/>
      <c r="AK141" s="85" t="s">
        <v>267</v>
      </c>
      <c r="AL141" s="80" t="b">
        <v>0</v>
      </c>
      <c r="AM141" s="80">
        <v>0</v>
      </c>
      <c r="AN141" s="85" t="s">
        <v>267</v>
      </c>
      <c r="AO141" s="85" t="s">
        <v>270</v>
      </c>
      <c r="AP141" s="80" t="b">
        <v>0</v>
      </c>
      <c r="AQ141" s="85" t="s">
        <v>708</v>
      </c>
      <c r="AR141" s="80" t="s">
        <v>218</v>
      </c>
      <c r="AS141" s="80">
        <v>0</v>
      </c>
      <c r="AT141" s="80">
        <v>0</v>
      </c>
      <c r="AU141" s="80"/>
      <c r="AV141" s="80"/>
      <c r="AW141" s="80"/>
      <c r="AX141" s="80"/>
      <c r="AY141" s="80"/>
      <c r="AZ141" s="80"/>
      <c r="BA141" s="80"/>
      <c r="BB141" s="80"/>
      <c r="BC141" s="80">
        <v>1</v>
      </c>
      <c r="BD141" s="79" t="str">
        <f>REPLACE(INDEX(GroupVertices[Group],MATCH(Edges49[[#This Row],[Vertex 1]],GroupVertices[Vertex],0)),1,1,"")</f>
        <v>3</v>
      </c>
      <c r="BE141" s="79" t="str">
        <f>REPLACE(INDEX(GroupVertices[Group],MATCH(Edges49[[#This Row],[Vertex 2]],GroupVertices[Vertex],0)),1,1,"")</f>
        <v>3</v>
      </c>
      <c r="BF141" s="49"/>
      <c r="BG141" s="50"/>
      <c r="BH141" s="49"/>
      <c r="BI141" s="50"/>
      <c r="BJ141" s="49"/>
      <c r="BK141" s="50"/>
      <c r="BL141" s="49"/>
      <c r="BM141" s="50"/>
      <c r="BN141" s="49"/>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1"/>
    <dataValidation allowBlank="1" showInputMessage="1" showErrorMessage="1" promptTitle="Vertex 2 Name" prompt="Enter the name of the edge's second vertex." sqref="B3:B141"/>
    <dataValidation allowBlank="1" showInputMessage="1" showErrorMessage="1" promptTitle="Vertex 1 Name" prompt="Enter the name of the edge's first vertex." sqref="A3:A1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1"/>
    <dataValidation allowBlank="1" showInputMessage="1" promptTitle="Edge Width" prompt="Enter an optional edge width between 1 and 10." errorTitle="Invalid Edge Width" error="The optional edge width must be a whole number between 1 and 10." sqref="D3:D141"/>
    <dataValidation allowBlank="1" showInputMessage="1" promptTitle="Edge Color" prompt="To select an optional edge color, right-click and select Select Color on the right-click menu." sqref="C3:C1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1"/>
    <dataValidation allowBlank="1" showErrorMessage="1" sqref="N2:N1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1"/>
  </dataValidations>
  <hyperlinks>
    <hyperlink ref="R94" r:id="rId1" display="https://www.newshub.co.nz/home/politics/2022/05/green-party-co-leader-marama-davidson-slams-government-s-new-immigration-policies-labels-them-racist-inhumane-and-discriminatory.html?cid=soc3%3Anewshubfb&amp;fbclid=IwAR3bXR4HspOrRRMRqByv9DhUnsp1gOrtf2pCfYOt7eM5fBx3UdmAOpEGcFQ"/>
  </hyperlinks>
  <printOptions/>
  <pageMargins left="0.7" right="0.7" top="0.75" bottom="0.75" header="0.3" footer="0.3"/>
  <pageSetup horizontalDpi="600" verticalDpi="600" orientation="portrait" r:id="rId5"/>
  <legacyDrawing r:id="rId3"/>
  <tableParts>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B7D08-F7B1-4218-88D3-E22B869FF427}">
  <dimension ref="A25:B33"/>
  <sheetViews>
    <sheetView tabSelected="1" workbookViewId="0" topLeftCell="A1"/>
  </sheetViews>
  <sheetFormatPr defaultColWidth="9.140625" defaultRowHeight="15"/>
  <cols>
    <col min="1" max="1" width="13.28125" style="0" bestFit="1" customWidth="1"/>
    <col min="2" max="2" width="29.140625" style="0" bestFit="1" customWidth="1"/>
  </cols>
  <sheetData>
    <row r="25" spans="1:2" ht="15">
      <c r="A25" s="99" t="s">
        <v>505</v>
      </c>
      <c r="B25" t="s">
        <v>504</v>
      </c>
    </row>
    <row r="26" spans="1:2" ht="15">
      <c r="A26" s="100" t="s">
        <v>371</v>
      </c>
      <c r="B26" s="3">
        <v>139</v>
      </c>
    </row>
    <row r="27" spans="1:2" ht="15">
      <c r="A27" s="101" t="s">
        <v>507</v>
      </c>
      <c r="B27" s="3">
        <v>139</v>
      </c>
    </row>
    <row r="28" spans="1:2" ht="15">
      <c r="A28" s="102" t="s">
        <v>508</v>
      </c>
      <c r="B28" s="3">
        <v>51</v>
      </c>
    </row>
    <row r="29" spans="1:2" ht="15">
      <c r="A29" s="102" t="s">
        <v>509</v>
      </c>
      <c r="B29" s="3">
        <v>55</v>
      </c>
    </row>
    <row r="30" spans="1:2" ht="15">
      <c r="A30" s="102" t="s">
        <v>510</v>
      </c>
      <c r="B30" s="3">
        <v>7</v>
      </c>
    </row>
    <row r="31" spans="1:2" ht="15">
      <c r="A31" s="102" t="s">
        <v>511</v>
      </c>
      <c r="B31" s="3">
        <v>14</v>
      </c>
    </row>
    <row r="32" spans="1:2" ht="15">
      <c r="A32" s="102" t="s">
        <v>512</v>
      </c>
      <c r="B32" s="3">
        <v>12</v>
      </c>
    </row>
    <row r="33" spans="1:2" ht="15">
      <c r="A33" s="100" t="s">
        <v>506</v>
      </c>
      <c r="B33" s="3">
        <v>139</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276</v>
      </c>
      <c r="AE2" s="13" t="s">
        <v>277</v>
      </c>
      <c r="AF2" s="13" t="s">
        <v>278</v>
      </c>
      <c r="AG2" s="13" t="s">
        <v>279</v>
      </c>
      <c r="AH2" s="13" t="s">
        <v>280</v>
      </c>
      <c r="AI2" s="13" t="s">
        <v>281</v>
      </c>
      <c r="AJ2" s="13" t="s">
        <v>282</v>
      </c>
      <c r="AK2" s="13" t="s">
        <v>283</v>
      </c>
      <c r="AL2" s="13" t="s">
        <v>284</v>
      </c>
      <c r="AM2" s="13" t="s">
        <v>285</v>
      </c>
      <c r="AN2" s="13" t="s">
        <v>286</v>
      </c>
      <c r="AO2" s="13" t="s">
        <v>287</v>
      </c>
      <c r="AP2" s="13" t="s">
        <v>288</v>
      </c>
      <c r="AQ2" s="13" t="s">
        <v>289</v>
      </c>
      <c r="AR2" s="13" t="s">
        <v>290</v>
      </c>
      <c r="AS2" s="13" t="s">
        <v>291</v>
      </c>
      <c r="AT2" s="13" t="s">
        <v>236</v>
      </c>
      <c r="AU2" s="13" t="s">
        <v>292</v>
      </c>
      <c r="AV2" s="13" t="s">
        <v>293</v>
      </c>
      <c r="AW2" s="13" t="s">
        <v>294</v>
      </c>
      <c r="AX2" s="13" t="s">
        <v>295</v>
      </c>
      <c r="AY2" s="13" t="s">
        <v>296</v>
      </c>
      <c r="AZ2" s="13" t="s">
        <v>297</v>
      </c>
      <c r="BA2" s="13" t="s">
        <v>329</v>
      </c>
      <c r="BB2" s="94" t="s">
        <v>395</v>
      </c>
      <c r="BC2" s="94" t="s">
        <v>396</v>
      </c>
      <c r="BD2" s="94" t="s">
        <v>397</v>
      </c>
      <c r="BE2" s="94" t="s">
        <v>398</v>
      </c>
      <c r="BF2" s="94" t="s">
        <v>399</v>
      </c>
      <c r="BG2" s="94" t="s">
        <v>400</v>
      </c>
      <c r="BH2" s="94" t="s">
        <v>401</v>
      </c>
      <c r="BI2" s="94" t="s">
        <v>402</v>
      </c>
      <c r="BJ2" s="94" t="s">
        <v>404</v>
      </c>
      <c r="BK2" s="94" t="s">
        <v>494</v>
      </c>
      <c r="BL2" s="94" t="s">
        <v>495</v>
      </c>
      <c r="BM2" s="94" t="s">
        <v>496</v>
      </c>
      <c r="BN2" s="94" t="s">
        <v>497</v>
      </c>
      <c r="BO2" s="94" t="s">
        <v>498</v>
      </c>
      <c r="BP2" s="94" t="s">
        <v>499</v>
      </c>
      <c r="BQ2" s="94" t="s">
        <v>500</v>
      </c>
      <c r="BR2" s="94" t="s">
        <v>501</v>
      </c>
      <c r="BS2" s="94" t="s">
        <v>502</v>
      </c>
      <c r="BT2" s="94" t="s">
        <v>503</v>
      </c>
      <c r="BU2" s="3"/>
      <c r="BV2" s="3"/>
    </row>
    <row r="3" spans="1:74" ht="15" customHeight="1">
      <c r="A3" s="65" t="s">
        <v>539</v>
      </c>
      <c r="B3" s="66"/>
      <c r="C3" s="66"/>
      <c r="D3" s="67">
        <v>100.53475882352942</v>
      </c>
      <c r="E3" s="69"/>
      <c r="F3" s="89" t="str">
        <f>HYPERLINK("https://pbs.twimg.com/profile_images/1472962712674181127/YCnLM93Z_normal.jpg")</f>
        <v>https://pbs.twimg.com/profile_images/1472962712674181127/YCnLM93Z_normal.jpg</v>
      </c>
      <c r="G3" s="66"/>
      <c r="H3" s="70" t="s">
        <v>539</v>
      </c>
      <c r="I3" s="71"/>
      <c r="J3" s="71"/>
      <c r="K3" s="70" t="s">
        <v>873</v>
      </c>
      <c r="L3" s="74">
        <v>1.5901826983158487</v>
      </c>
      <c r="M3" s="75">
        <v>4357.92138671875</v>
      </c>
      <c r="N3" s="75">
        <v>6519.22509765625</v>
      </c>
      <c r="O3" s="76"/>
      <c r="P3" s="77"/>
      <c r="Q3" s="77"/>
      <c r="R3" s="49"/>
      <c r="S3" s="49">
        <v>0</v>
      </c>
      <c r="T3" s="49">
        <v>3</v>
      </c>
      <c r="U3" s="50">
        <v>0.111111</v>
      </c>
      <c r="V3" s="50">
        <v>0.505263</v>
      </c>
      <c r="W3" s="50">
        <v>0.130612</v>
      </c>
      <c r="X3" s="50">
        <v>0.018147</v>
      </c>
      <c r="Y3" s="50">
        <v>0.3333333333333333</v>
      </c>
      <c r="Z3" s="50">
        <v>0</v>
      </c>
      <c r="AA3" s="72">
        <v>3</v>
      </c>
      <c r="AB3" s="72"/>
      <c r="AC3" s="73"/>
      <c r="AD3" s="79" t="s">
        <v>751</v>
      </c>
      <c r="AE3" s="88" t="s">
        <v>790</v>
      </c>
      <c r="AF3" s="79">
        <v>16</v>
      </c>
      <c r="AG3" s="79">
        <v>5</v>
      </c>
      <c r="AH3" s="79">
        <v>78</v>
      </c>
      <c r="AI3" s="79">
        <v>10</v>
      </c>
      <c r="AJ3" s="79"/>
      <c r="AK3" s="79" t="s">
        <v>821</v>
      </c>
      <c r="AL3" s="79"/>
      <c r="AM3" s="84"/>
      <c r="AN3" s="79"/>
      <c r="AO3" s="81">
        <v>44550.66090277778</v>
      </c>
      <c r="AP3" s="84"/>
      <c r="AQ3" s="79" t="b">
        <v>1</v>
      </c>
      <c r="AR3" s="79" t="b">
        <v>0</v>
      </c>
      <c r="AS3" s="79" t="b">
        <v>0</v>
      </c>
      <c r="AT3" s="79"/>
      <c r="AU3" s="79">
        <v>0</v>
      </c>
      <c r="AV3" s="84"/>
      <c r="AW3" s="79" t="b">
        <v>0</v>
      </c>
      <c r="AX3" s="79" t="s">
        <v>315</v>
      </c>
      <c r="AY3" s="84" t="str">
        <f>HYPERLINK("https://twitter.com/harveen57162832")</f>
        <v>https://twitter.com/harveen57162832</v>
      </c>
      <c r="AZ3" s="79" t="s">
        <v>66</v>
      </c>
      <c r="BA3" s="79" t="str">
        <f>REPLACE(INDEX(GroupVertices[Group],MATCH(Vertices[[#This Row],[Vertex]],GroupVertices[Vertex],0)),1,1,"")</f>
        <v>1</v>
      </c>
      <c r="BB3" s="49">
        <v>0</v>
      </c>
      <c r="BC3" s="50">
        <v>0</v>
      </c>
      <c r="BD3" s="49">
        <v>5</v>
      </c>
      <c r="BE3" s="50">
        <v>12.820512820512821</v>
      </c>
      <c r="BF3" s="49">
        <v>0</v>
      </c>
      <c r="BG3" s="50">
        <v>0</v>
      </c>
      <c r="BH3" s="49">
        <v>34</v>
      </c>
      <c r="BI3" s="50">
        <v>87.17948717948718</v>
      </c>
      <c r="BJ3" s="49">
        <v>39</v>
      </c>
      <c r="BK3" s="49"/>
      <c r="BL3" s="49"/>
      <c r="BM3" s="49"/>
      <c r="BN3" s="49"/>
      <c r="BO3" s="49" t="s">
        <v>596</v>
      </c>
      <c r="BP3" s="49" t="s">
        <v>596</v>
      </c>
      <c r="BQ3" s="98" t="s">
        <v>953</v>
      </c>
      <c r="BR3" s="98" t="s">
        <v>953</v>
      </c>
      <c r="BS3" s="98" t="s">
        <v>970</v>
      </c>
      <c r="BT3" s="98" t="s">
        <v>970</v>
      </c>
      <c r="BU3" s="3"/>
      <c r="BV3" s="3"/>
    </row>
    <row r="4" spans="1:77" ht="15">
      <c r="A4" s="65" t="s">
        <v>519</v>
      </c>
      <c r="B4" s="66"/>
      <c r="C4" s="66"/>
      <c r="D4" s="67">
        <v>890.1069534759357</v>
      </c>
      <c r="E4" s="103"/>
      <c r="F4" s="89" t="str">
        <f>HYPERLINK("https://pbs.twimg.com/profile_images/1672468527/image_normal.jpg")</f>
        <v>https://pbs.twimg.com/profile_images/1672468527/image_normal.jpg</v>
      </c>
      <c r="G4" s="104"/>
      <c r="H4" s="70" t="s">
        <v>519</v>
      </c>
      <c r="I4" s="71"/>
      <c r="J4" s="105"/>
      <c r="K4" s="70" t="s">
        <v>533</v>
      </c>
      <c r="L4" s="106">
        <v>872.995810528025</v>
      </c>
      <c r="M4" s="75">
        <v>2941.209716796875</v>
      </c>
      <c r="N4" s="75">
        <v>5012.21337890625</v>
      </c>
      <c r="O4" s="76"/>
      <c r="P4" s="77"/>
      <c r="Q4" s="77"/>
      <c r="R4" s="107"/>
      <c r="S4" s="49">
        <v>22</v>
      </c>
      <c r="T4" s="49">
        <v>0</v>
      </c>
      <c r="U4" s="50">
        <v>164.166667</v>
      </c>
      <c r="V4" s="50">
        <v>0.631579</v>
      </c>
      <c r="W4" s="50">
        <v>0.345148</v>
      </c>
      <c r="X4" s="50">
        <v>0.037511</v>
      </c>
      <c r="Y4" s="50">
        <v>0.045454545454545456</v>
      </c>
      <c r="Z4" s="50">
        <v>0</v>
      </c>
      <c r="AA4" s="72">
        <v>4</v>
      </c>
      <c r="AB4" s="72"/>
      <c r="AC4" s="73"/>
      <c r="AD4" s="80" t="s">
        <v>524</v>
      </c>
      <c r="AE4" s="85" t="s">
        <v>522</v>
      </c>
      <c r="AF4" s="80">
        <v>1583</v>
      </c>
      <c r="AG4" s="80">
        <v>6743</v>
      </c>
      <c r="AH4" s="80">
        <v>1867</v>
      </c>
      <c r="AI4" s="80">
        <v>1081</v>
      </c>
      <c r="AJ4" s="80"/>
      <c r="AK4" s="80" t="s">
        <v>530</v>
      </c>
      <c r="AL4" s="80"/>
      <c r="AM4" s="80"/>
      <c r="AN4" s="80"/>
      <c r="AO4" s="82">
        <v>40469.07234953704</v>
      </c>
      <c r="AP4" s="80"/>
      <c r="AQ4" s="80" t="b">
        <v>1</v>
      </c>
      <c r="AR4" s="80" t="b">
        <v>0</v>
      </c>
      <c r="AS4" s="80" t="b">
        <v>1</v>
      </c>
      <c r="AT4" s="80"/>
      <c r="AU4" s="80">
        <v>117</v>
      </c>
      <c r="AV4" s="83" t="str">
        <f>HYPERLINK("https://abs.twimg.com/images/themes/theme1/bg.png")</f>
        <v>https://abs.twimg.com/images/themes/theme1/bg.png</v>
      </c>
      <c r="AW4" s="80" t="b">
        <v>0</v>
      </c>
      <c r="AX4" s="80" t="s">
        <v>315</v>
      </c>
      <c r="AY4" s="83" t="str">
        <f>HYPERLINK("https://twitter.com/krisinmana")</f>
        <v>https://twitter.com/krisinmana</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258</v>
      </c>
      <c r="B5" s="66"/>
      <c r="C5" s="66"/>
      <c r="D5" s="67">
        <v>533.957220855615</v>
      </c>
      <c r="E5" s="103"/>
      <c r="F5" s="89" t="str">
        <f>HYPERLINK("https://pbs.twimg.com/profile_images/820351342464016384/_otHuDCr_normal.jpg")</f>
        <v>https://pbs.twimg.com/profile_images/820351342464016384/_otHuDCr_normal.jpg</v>
      </c>
      <c r="G5" s="104"/>
      <c r="H5" s="70" t="s">
        <v>258</v>
      </c>
      <c r="I5" s="71"/>
      <c r="J5" s="105"/>
      <c r="K5" s="70" t="s">
        <v>317</v>
      </c>
      <c r="L5" s="106">
        <v>479.93374038759976</v>
      </c>
      <c r="M5" s="75">
        <v>2592.537353515625</v>
      </c>
      <c r="N5" s="75">
        <v>6575.259765625</v>
      </c>
      <c r="O5" s="76"/>
      <c r="P5" s="77"/>
      <c r="Q5" s="77"/>
      <c r="R5" s="107"/>
      <c r="S5" s="49">
        <v>18</v>
      </c>
      <c r="T5" s="49">
        <v>0</v>
      </c>
      <c r="U5" s="50">
        <v>90.166667</v>
      </c>
      <c r="V5" s="50">
        <v>0.6</v>
      </c>
      <c r="W5" s="50">
        <v>0.303318</v>
      </c>
      <c r="X5" s="50">
        <v>0.032147</v>
      </c>
      <c r="Y5" s="50">
        <v>0.05555555555555555</v>
      </c>
      <c r="Z5" s="50">
        <v>0</v>
      </c>
      <c r="AA5" s="72">
        <v>5</v>
      </c>
      <c r="AB5" s="72"/>
      <c r="AC5" s="73"/>
      <c r="AD5" s="80" t="s">
        <v>299</v>
      </c>
      <c r="AE5" s="85" t="s">
        <v>303</v>
      </c>
      <c r="AF5" s="80">
        <v>4124</v>
      </c>
      <c r="AG5" s="80">
        <v>786145</v>
      </c>
      <c r="AH5" s="80">
        <v>6921</v>
      </c>
      <c r="AI5" s="80">
        <v>649</v>
      </c>
      <c r="AJ5" s="80"/>
      <c r="AK5" s="80" t="s">
        <v>307</v>
      </c>
      <c r="AL5" s="80" t="s">
        <v>274</v>
      </c>
      <c r="AM5" s="83" t="str">
        <f>HYPERLINK("https://t.co/XK0vnXQ2oU")</f>
        <v>https://t.co/XK0vnXQ2oU</v>
      </c>
      <c r="AN5" s="80"/>
      <c r="AO5" s="82">
        <v>39877.78971064815</v>
      </c>
      <c r="AP5" s="83" t="str">
        <f>HYPERLINK("https://pbs.twimg.com/profile_banners/22959763/1501620205")</f>
        <v>https://pbs.twimg.com/profile_banners/22959763/1501620205</v>
      </c>
      <c r="AQ5" s="80" t="b">
        <v>0</v>
      </c>
      <c r="AR5" s="80" t="b">
        <v>0</v>
      </c>
      <c r="AS5" s="80" t="b">
        <v>1</v>
      </c>
      <c r="AT5" s="80"/>
      <c r="AU5" s="80">
        <v>2171</v>
      </c>
      <c r="AV5" s="83" t="str">
        <f>HYPERLINK("https://abs.twimg.com/images/themes/theme14/bg.gif")</f>
        <v>https://abs.twimg.com/images/themes/theme14/bg.gif</v>
      </c>
      <c r="AW5" s="80" t="b">
        <v>1</v>
      </c>
      <c r="AX5" s="80" t="s">
        <v>315</v>
      </c>
      <c r="AY5" s="83" t="str">
        <f>HYPERLINK("https://twitter.com/jacindaardern")</f>
        <v>https://twitter.com/jacindaardern</v>
      </c>
      <c r="AZ5" s="80" t="s">
        <v>65</v>
      </c>
      <c r="BA5" s="79"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559</v>
      </c>
      <c r="B6" s="66"/>
      <c r="C6" s="66"/>
      <c r="D6" s="67">
        <v>1000</v>
      </c>
      <c r="E6" s="103"/>
      <c r="F6" s="89" t="str">
        <f>HYPERLINK("https://pbs.twimg.com/profile_images/1423569281292271617/RHqRplkb_normal.jpg")</f>
        <v>https://pbs.twimg.com/profile_images/1423569281292271617/RHqRplkb_normal.jpg</v>
      </c>
      <c r="G6" s="104"/>
      <c r="H6" s="70" t="s">
        <v>559</v>
      </c>
      <c r="I6" s="71"/>
      <c r="J6" s="105"/>
      <c r="K6" s="70" t="s">
        <v>831</v>
      </c>
      <c r="L6" s="106">
        <v>9999</v>
      </c>
      <c r="M6" s="75">
        <v>6479.7158203125</v>
      </c>
      <c r="N6" s="75">
        <v>5134.3232421875</v>
      </c>
      <c r="O6" s="76"/>
      <c r="P6" s="77"/>
      <c r="Q6" s="77"/>
      <c r="R6" s="107"/>
      <c r="S6" s="49">
        <v>25</v>
      </c>
      <c r="T6" s="49">
        <v>24</v>
      </c>
      <c r="U6" s="50">
        <v>1882.277778</v>
      </c>
      <c r="V6" s="50">
        <v>0.96</v>
      </c>
      <c r="W6" s="50">
        <v>0.580135</v>
      </c>
      <c r="X6" s="50">
        <v>0.086741</v>
      </c>
      <c r="Y6" s="50">
        <v>0.022705314009661835</v>
      </c>
      <c r="Z6" s="50">
        <v>0.021739130434782608</v>
      </c>
      <c r="AA6" s="72">
        <v>6</v>
      </c>
      <c r="AB6" s="72"/>
      <c r="AC6" s="73"/>
      <c r="AD6" s="80" t="s">
        <v>711</v>
      </c>
      <c r="AE6" s="85" t="s">
        <v>709</v>
      </c>
      <c r="AF6" s="80">
        <v>65</v>
      </c>
      <c r="AG6" s="80">
        <v>388</v>
      </c>
      <c r="AH6" s="80">
        <v>574</v>
      </c>
      <c r="AI6" s="80">
        <v>520</v>
      </c>
      <c r="AJ6" s="80"/>
      <c r="AK6" s="80" t="s">
        <v>791</v>
      </c>
      <c r="AL6" s="80" t="s">
        <v>274</v>
      </c>
      <c r="AM6" s="83" t="str">
        <f>HYPERLINK("https://t.co/6Mjmn1VKs6")</f>
        <v>https://t.co/6Mjmn1VKs6</v>
      </c>
      <c r="AN6" s="80"/>
      <c r="AO6" s="82">
        <v>44251.765185185184</v>
      </c>
      <c r="AP6" s="83" t="str">
        <f>HYPERLINK("https://pbs.twimg.com/profile_banners/1364641667282657281/1637816528")</f>
        <v>https://pbs.twimg.com/profile_banners/1364641667282657281/1637816528</v>
      </c>
      <c r="AQ6" s="80" t="b">
        <v>1</v>
      </c>
      <c r="AR6" s="80" t="b">
        <v>0</v>
      </c>
      <c r="AS6" s="80" t="b">
        <v>1</v>
      </c>
      <c r="AT6" s="80"/>
      <c r="AU6" s="80">
        <v>1</v>
      </c>
      <c r="AV6" s="80"/>
      <c r="AW6" s="80" t="b">
        <v>0</v>
      </c>
      <c r="AX6" s="80" t="s">
        <v>315</v>
      </c>
      <c r="AY6" s="83" t="str">
        <f>HYPERLINK("https://twitter.com/letusbacktonz")</f>
        <v>https://twitter.com/letusbacktonz</v>
      </c>
      <c r="AZ6" s="80" t="s">
        <v>66</v>
      </c>
      <c r="BA6" s="79" t="str">
        <f>REPLACE(INDEX(GroupVertices[Group],MATCH(Vertices[[#This Row],[Vertex]],GroupVertices[Vertex],0)),1,1,"")</f>
        <v>2</v>
      </c>
      <c r="BB6" s="49">
        <v>2</v>
      </c>
      <c r="BC6" s="50">
        <v>0.6644518272425249</v>
      </c>
      <c r="BD6" s="49">
        <v>17</v>
      </c>
      <c r="BE6" s="50">
        <v>5.647840531561462</v>
      </c>
      <c r="BF6" s="49">
        <v>0</v>
      </c>
      <c r="BG6" s="50">
        <v>0</v>
      </c>
      <c r="BH6" s="49">
        <v>282</v>
      </c>
      <c r="BI6" s="50">
        <v>93.68770764119601</v>
      </c>
      <c r="BJ6" s="49">
        <v>301</v>
      </c>
      <c r="BK6" s="49" t="s">
        <v>950</v>
      </c>
      <c r="BL6" s="49" t="s">
        <v>950</v>
      </c>
      <c r="BM6" s="49" t="s">
        <v>913</v>
      </c>
      <c r="BN6" s="49" t="s">
        <v>951</v>
      </c>
      <c r="BO6" s="49" t="s">
        <v>952</v>
      </c>
      <c r="BP6" s="49" t="s">
        <v>952</v>
      </c>
      <c r="BQ6" s="98" t="s">
        <v>954</v>
      </c>
      <c r="BR6" s="98" t="s">
        <v>965</v>
      </c>
      <c r="BS6" s="98" t="s">
        <v>971</v>
      </c>
      <c r="BT6" s="98" t="s">
        <v>981</v>
      </c>
      <c r="BU6" s="2"/>
      <c r="BV6" s="3"/>
      <c r="BW6" s="3"/>
      <c r="BX6" s="3"/>
      <c r="BY6" s="3"/>
    </row>
    <row r="7" spans="1:77" ht="15">
      <c r="A7" s="65" t="s">
        <v>540</v>
      </c>
      <c r="B7" s="66"/>
      <c r="C7" s="66"/>
      <c r="D7" s="67">
        <v>100.53475882352942</v>
      </c>
      <c r="E7" s="103"/>
      <c r="F7" s="89" t="str">
        <f>HYPERLINK("https://pbs.twimg.com/profile_images/1339165800301654017/HuavR1qm_normal.jpg")</f>
        <v>https://pbs.twimg.com/profile_images/1339165800301654017/HuavR1qm_normal.jpg</v>
      </c>
      <c r="G7" s="104"/>
      <c r="H7" s="70" t="s">
        <v>540</v>
      </c>
      <c r="I7" s="71"/>
      <c r="J7" s="105"/>
      <c r="K7" s="70" t="s">
        <v>832</v>
      </c>
      <c r="L7" s="106">
        <v>1.5901826983158487</v>
      </c>
      <c r="M7" s="75">
        <v>3471.842529296875</v>
      </c>
      <c r="N7" s="75">
        <v>9207.4951171875</v>
      </c>
      <c r="O7" s="76"/>
      <c r="P7" s="77"/>
      <c r="Q7" s="77"/>
      <c r="R7" s="107"/>
      <c r="S7" s="49">
        <v>0</v>
      </c>
      <c r="T7" s="49">
        <v>3</v>
      </c>
      <c r="U7" s="50">
        <v>0.111111</v>
      </c>
      <c r="V7" s="50">
        <v>0.505263</v>
      </c>
      <c r="W7" s="50">
        <v>0.130612</v>
      </c>
      <c r="X7" s="50">
        <v>0.018147</v>
      </c>
      <c r="Y7" s="50">
        <v>0.3333333333333333</v>
      </c>
      <c r="Z7" s="50">
        <v>0</v>
      </c>
      <c r="AA7" s="72">
        <v>7</v>
      </c>
      <c r="AB7" s="72"/>
      <c r="AC7" s="73"/>
      <c r="AD7" s="80" t="s">
        <v>712</v>
      </c>
      <c r="AE7" s="85" t="s">
        <v>752</v>
      </c>
      <c r="AF7" s="80">
        <v>9</v>
      </c>
      <c r="AG7" s="80">
        <v>1</v>
      </c>
      <c r="AH7" s="80">
        <v>37</v>
      </c>
      <c r="AI7" s="80">
        <v>47</v>
      </c>
      <c r="AJ7" s="80"/>
      <c r="AK7" s="80"/>
      <c r="AL7" s="80"/>
      <c r="AM7" s="80"/>
      <c r="AN7" s="80"/>
      <c r="AO7" s="82">
        <v>44181.46418981482</v>
      </c>
      <c r="AP7" s="80"/>
      <c r="AQ7" s="80" t="b">
        <v>1</v>
      </c>
      <c r="AR7" s="80" t="b">
        <v>0</v>
      </c>
      <c r="AS7" s="80" t="b">
        <v>0</v>
      </c>
      <c r="AT7" s="80"/>
      <c r="AU7" s="80">
        <v>0</v>
      </c>
      <c r="AV7" s="80"/>
      <c r="AW7" s="80" t="b">
        <v>0</v>
      </c>
      <c r="AX7" s="80" t="s">
        <v>315</v>
      </c>
      <c r="AY7" s="83" t="str">
        <f>HYPERLINK("https://twitter.com/preetmohan20")</f>
        <v>https://twitter.com/preetmohan20</v>
      </c>
      <c r="AZ7" s="80" t="s">
        <v>66</v>
      </c>
      <c r="BA7" s="79" t="str">
        <f>REPLACE(INDEX(GroupVertices[Group],MATCH(Vertices[[#This Row],[Vertex]],GroupVertices[Vertex],0)),1,1,"")</f>
        <v>1</v>
      </c>
      <c r="BB7" s="49">
        <v>0</v>
      </c>
      <c r="BC7" s="50">
        <v>0</v>
      </c>
      <c r="BD7" s="49">
        <v>5</v>
      </c>
      <c r="BE7" s="50">
        <v>12.820512820512821</v>
      </c>
      <c r="BF7" s="49">
        <v>0</v>
      </c>
      <c r="BG7" s="50">
        <v>0</v>
      </c>
      <c r="BH7" s="49">
        <v>34</v>
      </c>
      <c r="BI7" s="50">
        <v>87.17948717948718</v>
      </c>
      <c r="BJ7" s="49">
        <v>39</v>
      </c>
      <c r="BK7" s="49"/>
      <c r="BL7" s="49"/>
      <c r="BM7" s="49"/>
      <c r="BN7" s="49"/>
      <c r="BO7" s="49" t="s">
        <v>596</v>
      </c>
      <c r="BP7" s="49" t="s">
        <v>596</v>
      </c>
      <c r="BQ7" s="98" t="s">
        <v>953</v>
      </c>
      <c r="BR7" s="98" t="s">
        <v>953</v>
      </c>
      <c r="BS7" s="98" t="s">
        <v>970</v>
      </c>
      <c r="BT7" s="98" t="s">
        <v>970</v>
      </c>
      <c r="BU7" s="2"/>
      <c r="BV7" s="3"/>
      <c r="BW7" s="3"/>
      <c r="BX7" s="3"/>
      <c r="BY7" s="3"/>
    </row>
    <row r="8" spans="1:77" ht="15">
      <c r="A8" s="65" t="s">
        <v>541</v>
      </c>
      <c r="B8" s="66"/>
      <c r="C8" s="66"/>
      <c r="D8" s="67">
        <v>100.53475882352942</v>
      </c>
      <c r="E8" s="103"/>
      <c r="F8" s="89" t="str">
        <f>HYPERLINK("https://pbs.twimg.com/profile_images/1301365879968542720/4Rw4DVoI_normal.jpg")</f>
        <v>https://pbs.twimg.com/profile_images/1301365879968542720/4Rw4DVoI_normal.jpg</v>
      </c>
      <c r="G8" s="104"/>
      <c r="H8" s="70" t="s">
        <v>541</v>
      </c>
      <c r="I8" s="71"/>
      <c r="J8" s="105"/>
      <c r="K8" s="70" t="s">
        <v>833</v>
      </c>
      <c r="L8" s="106">
        <v>1.5901826983158487</v>
      </c>
      <c r="M8" s="75">
        <v>4085.1015625</v>
      </c>
      <c r="N8" s="75">
        <v>5041.10498046875</v>
      </c>
      <c r="O8" s="76"/>
      <c r="P8" s="77"/>
      <c r="Q8" s="77"/>
      <c r="R8" s="107"/>
      <c r="S8" s="49">
        <v>0</v>
      </c>
      <c r="T8" s="49">
        <v>3</v>
      </c>
      <c r="U8" s="50">
        <v>0.111111</v>
      </c>
      <c r="V8" s="50">
        <v>0.505263</v>
      </c>
      <c r="W8" s="50">
        <v>0.130612</v>
      </c>
      <c r="X8" s="50">
        <v>0.018147</v>
      </c>
      <c r="Y8" s="50">
        <v>0.3333333333333333</v>
      </c>
      <c r="Z8" s="50">
        <v>0</v>
      </c>
      <c r="AA8" s="72">
        <v>8</v>
      </c>
      <c r="AB8" s="72"/>
      <c r="AC8" s="73"/>
      <c r="AD8" s="80" t="s">
        <v>713</v>
      </c>
      <c r="AE8" s="85" t="s">
        <v>753</v>
      </c>
      <c r="AF8" s="80">
        <v>228</v>
      </c>
      <c r="AG8" s="80">
        <v>119</v>
      </c>
      <c r="AH8" s="80">
        <v>8372</v>
      </c>
      <c r="AI8" s="80">
        <v>8433</v>
      </c>
      <c r="AJ8" s="80"/>
      <c r="AK8" s="80"/>
      <c r="AL8" s="80"/>
      <c r="AM8" s="80"/>
      <c r="AN8" s="80"/>
      <c r="AO8" s="82">
        <v>43958.63675925926</v>
      </c>
      <c r="AP8" s="83" t="str">
        <f>HYPERLINK("https://pbs.twimg.com/profile_banners/1258415438393942018/1599104779")</f>
        <v>https://pbs.twimg.com/profile_banners/1258415438393942018/1599104779</v>
      </c>
      <c r="AQ8" s="80" t="b">
        <v>1</v>
      </c>
      <c r="AR8" s="80" t="b">
        <v>0</v>
      </c>
      <c r="AS8" s="80" t="b">
        <v>0</v>
      </c>
      <c r="AT8" s="80"/>
      <c r="AU8" s="80">
        <v>0</v>
      </c>
      <c r="AV8" s="80"/>
      <c r="AW8" s="80" t="b">
        <v>0</v>
      </c>
      <c r="AX8" s="80" t="s">
        <v>315</v>
      </c>
      <c r="AY8" s="83" t="str">
        <f>HYPERLINK("https://twitter.com/arshdee51860094")</f>
        <v>https://twitter.com/arshdee51860094</v>
      </c>
      <c r="AZ8" s="80" t="s">
        <v>66</v>
      </c>
      <c r="BA8" s="79" t="str">
        <f>REPLACE(INDEX(GroupVertices[Group],MATCH(Vertices[[#This Row],[Vertex]],GroupVertices[Vertex],0)),1,1,"")</f>
        <v>1</v>
      </c>
      <c r="BB8" s="49">
        <v>0</v>
      </c>
      <c r="BC8" s="50">
        <v>0</v>
      </c>
      <c r="BD8" s="49">
        <v>5</v>
      </c>
      <c r="BE8" s="50">
        <v>12.820512820512821</v>
      </c>
      <c r="BF8" s="49">
        <v>0</v>
      </c>
      <c r="BG8" s="50">
        <v>0</v>
      </c>
      <c r="BH8" s="49">
        <v>34</v>
      </c>
      <c r="BI8" s="50">
        <v>87.17948717948718</v>
      </c>
      <c r="BJ8" s="49">
        <v>39</v>
      </c>
      <c r="BK8" s="49"/>
      <c r="BL8" s="49"/>
      <c r="BM8" s="49"/>
      <c r="BN8" s="49"/>
      <c r="BO8" s="49" t="s">
        <v>596</v>
      </c>
      <c r="BP8" s="49" t="s">
        <v>596</v>
      </c>
      <c r="BQ8" s="98" t="s">
        <v>953</v>
      </c>
      <c r="BR8" s="98" t="s">
        <v>953</v>
      </c>
      <c r="BS8" s="98" t="s">
        <v>970</v>
      </c>
      <c r="BT8" s="98" t="s">
        <v>970</v>
      </c>
      <c r="BU8" s="2"/>
      <c r="BV8" s="3"/>
      <c r="BW8" s="3"/>
      <c r="BX8" s="3"/>
      <c r="BY8" s="3"/>
    </row>
    <row r="9" spans="1:77" ht="15">
      <c r="A9" s="65" t="s">
        <v>542</v>
      </c>
      <c r="B9" s="66"/>
      <c r="C9" s="66"/>
      <c r="D9" s="67">
        <v>100.53475882352942</v>
      </c>
      <c r="E9" s="103"/>
      <c r="F9" s="89" t="str">
        <f>HYPERLINK("https://abs.twimg.com/sticky/default_profile_images/default_profile_normal.png")</f>
        <v>https://abs.twimg.com/sticky/default_profile_images/default_profile_normal.png</v>
      </c>
      <c r="G9" s="104"/>
      <c r="H9" s="70" t="s">
        <v>542</v>
      </c>
      <c r="I9" s="71"/>
      <c r="J9" s="105"/>
      <c r="K9" s="70" t="s">
        <v>834</v>
      </c>
      <c r="L9" s="106">
        <v>1.5901826983158487</v>
      </c>
      <c r="M9" s="75">
        <v>2194.444091796875</v>
      </c>
      <c r="N9" s="75">
        <v>4619.07275390625</v>
      </c>
      <c r="O9" s="76"/>
      <c r="P9" s="77"/>
      <c r="Q9" s="77"/>
      <c r="R9" s="107"/>
      <c r="S9" s="49">
        <v>0</v>
      </c>
      <c r="T9" s="49">
        <v>3</v>
      </c>
      <c r="U9" s="50">
        <v>0.111111</v>
      </c>
      <c r="V9" s="50">
        <v>0.505263</v>
      </c>
      <c r="W9" s="50">
        <v>0.130612</v>
      </c>
      <c r="X9" s="50">
        <v>0.018147</v>
      </c>
      <c r="Y9" s="50">
        <v>0.3333333333333333</v>
      </c>
      <c r="Z9" s="50">
        <v>0</v>
      </c>
      <c r="AA9" s="72">
        <v>9</v>
      </c>
      <c r="AB9" s="72"/>
      <c r="AC9" s="73"/>
      <c r="AD9" s="80" t="s">
        <v>714</v>
      </c>
      <c r="AE9" s="85" t="s">
        <v>754</v>
      </c>
      <c r="AF9" s="80">
        <v>9</v>
      </c>
      <c r="AG9" s="80">
        <v>1</v>
      </c>
      <c r="AH9" s="80">
        <v>52</v>
      </c>
      <c r="AI9" s="80">
        <v>0</v>
      </c>
      <c r="AJ9" s="80"/>
      <c r="AK9" s="80"/>
      <c r="AL9" s="80"/>
      <c r="AM9" s="80"/>
      <c r="AN9" s="80"/>
      <c r="AO9" s="82">
        <v>44256.439988425926</v>
      </c>
      <c r="AP9" s="80"/>
      <c r="AQ9" s="80" t="b">
        <v>1</v>
      </c>
      <c r="AR9" s="80" t="b">
        <v>1</v>
      </c>
      <c r="AS9" s="80" t="b">
        <v>0</v>
      </c>
      <c r="AT9" s="80"/>
      <c r="AU9" s="80">
        <v>0</v>
      </c>
      <c r="AV9" s="80"/>
      <c r="AW9" s="80" t="b">
        <v>0</v>
      </c>
      <c r="AX9" s="80" t="s">
        <v>315</v>
      </c>
      <c r="AY9" s="83" t="str">
        <f>HYPERLINK("https://twitter.com/kulvirkaurdhil4")</f>
        <v>https://twitter.com/kulvirkaurdhil4</v>
      </c>
      <c r="AZ9" s="80" t="s">
        <v>66</v>
      </c>
      <c r="BA9" s="79" t="str">
        <f>REPLACE(INDEX(GroupVertices[Group],MATCH(Vertices[[#This Row],[Vertex]],GroupVertices[Vertex],0)),1,1,"")</f>
        <v>1</v>
      </c>
      <c r="BB9" s="49">
        <v>0</v>
      </c>
      <c r="BC9" s="50">
        <v>0</v>
      </c>
      <c r="BD9" s="49">
        <v>5</v>
      </c>
      <c r="BE9" s="50">
        <v>12.820512820512821</v>
      </c>
      <c r="BF9" s="49">
        <v>0</v>
      </c>
      <c r="BG9" s="50">
        <v>0</v>
      </c>
      <c r="BH9" s="49">
        <v>34</v>
      </c>
      <c r="BI9" s="50">
        <v>87.17948717948718</v>
      </c>
      <c r="BJ9" s="49">
        <v>39</v>
      </c>
      <c r="BK9" s="49"/>
      <c r="BL9" s="49"/>
      <c r="BM9" s="49"/>
      <c r="BN9" s="49"/>
      <c r="BO9" s="49" t="s">
        <v>596</v>
      </c>
      <c r="BP9" s="49" t="s">
        <v>596</v>
      </c>
      <c r="BQ9" s="98" t="s">
        <v>953</v>
      </c>
      <c r="BR9" s="98" t="s">
        <v>953</v>
      </c>
      <c r="BS9" s="98" t="s">
        <v>970</v>
      </c>
      <c r="BT9" s="98" t="s">
        <v>970</v>
      </c>
      <c r="BU9" s="2"/>
      <c r="BV9" s="3"/>
      <c r="BW9" s="3"/>
      <c r="BX9" s="3"/>
      <c r="BY9" s="3"/>
    </row>
    <row r="10" spans="1:77" ht="15">
      <c r="A10" s="65" t="s">
        <v>543</v>
      </c>
      <c r="B10" s="66"/>
      <c r="C10" s="66"/>
      <c r="D10" s="67">
        <v>100.53475882352942</v>
      </c>
      <c r="E10" s="103"/>
      <c r="F10" s="89" t="str">
        <f>HYPERLINK("https://abs.twimg.com/sticky/default_profile_images/default_profile_normal.png")</f>
        <v>https://abs.twimg.com/sticky/default_profile_images/default_profile_normal.png</v>
      </c>
      <c r="G10" s="104"/>
      <c r="H10" s="70" t="s">
        <v>543</v>
      </c>
      <c r="I10" s="71"/>
      <c r="J10" s="105"/>
      <c r="K10" s="70" t="s">
        <v>835</v>
      </c>
      <c r="L10" s="106">
        <v>1.5901826983158487</v>
      </c>
      <c r="M10" s="75">
        <v>3653.806640625</v>
      </c>
      <c r="N10" s="75">
        <v>3484.371826171875</v>
      </c>
      <c r="O10" s="76"/>
      <c r="P10" s="77"/>
      <c r="Q10" s="77"/>
      <c r="R10" s="107"/>
      <c r="S10" s="49">
        <v>0</v>
      </c>
      <c r="T10" s="49">
        <v>3</v>
      </c>
      <c r="U10" s="50">
        <v>0.111111</v>
      </c>
      <c r="V10" s="50">
        <v>0.505263</v>
      </c>
      <c r="W10" s="50">
        <v>0.130612</v>
      </c>
      <c r="X10" s="50">
        <v>0.018147</v>
      </c>
      <c r="Y10" s="50">
        <v>0.3333333333333333</v>
      </c>
      <c r="Z10" s="50">
        <v>0</v>
      </c>
      <c r="AA10" s="72">
        <v>10</v>
      </c>
      <c r="AB10" s="72"/>
      <c r="AC10" s="73"/>
      <c r="AD10" s="80" t="s">
        <v>715</v>
      </c>
      <c r="AE10" s="85" t="s">
        <v>755</v>
      </c>
      <c r="AF10" s="80">
        <v>16</v>
      </c>
      <c r="AG10" s="80">
        <v>2</v>
      </c>
      <c r="AH10" s="80">
        <v>186</v>
      </c>
      <c r="AI10" s="80">
        <v>74</v>
      </c>
      <c r="AJ10" s="80"/>
      <c r="AK10" s="80"/>
      <c r="AL10" s="80"/>
      <c r="AM10" s="80"/>
      <c r="AN10" s="80"/>
      <c r="AO10" s="82">
        <v>44166.83269675926</v>
      </c>
      <c r="AP10" s="80"/>
      <c r="AQ10" s="80" t="b">
        <v>1</v>
      </c>
      <c r="AR10" s="80" t="b">
        <v>1</v>
      </c>
      <c r="AS10" s="80" t="b">
        <v>0</v>
      </c>
      <c r="AT10" s="80"/>
      <c r="AU10" s="80">
        <v>0</v>
      </c>
      <c r="AV10" s="80"/>
      <c r="AW10" s="80" t="b">
        <v>0</v>
      </c>
      <c r="AX10" s="80" t="s">
        <v>315</v>
      </c>
      <c r="AY10" s="83" t="str">
        <f>HYPERLINK("https://twitter.com/sahilpa45483022")</f>
        <v>https://twitter.com/sahilpa45483022</v>
      </c>
      <c r="AZ10" s="80" t="s">
        <v>66</v>
      </c>
      <c r="BA10" s="79" t="str">
        <f>REPLACE(INDEX(GroupVertices[Group],MATCH(Vertices[[#This Row],[Vertex]],GroupVertices[Vertex],0)),1,1,"")</f>
        <v>1</v>
      </c>
      <c r="BB10" s="49">
        <v>0</v>
      </c>
      <c r="BC10" s="50">
        <v>0</v>
      </c>
      <c r="BD10" s="49">
        <v>5</v>
      </c>
      <c r="BE10" s="50">
        <v>12.820512820512821</v>
      </c>
      <c r="BF10" s="49">
        <v>0</v>
      </c>
      <c r="BG10" s="50">
        <v>0</v>
      </c>
      <c r="BH10" s="49">
        <v>34</v>
      </c>
      <c r="BI10" s="50">
        <v>87.17948717948718</v>
      </c>
      <c r="BJ10" s="49">
        <v>39</v>
      </c>
      <c r="BK10" s="49"/>
      <c r="BL10" s="49"/>
      <c r="BM10" s="49"/>
      <c r="BN10" s="49"/>
      <c r="BO10" s="49" t="s">
        <v>596</v>
      </c>
      <c r="BP10" s="49" t="s">
        <v>596</v>
      </c>
      <c r="BQ10" s="98" t="s">
        <v>953</v>
      </c>
      <c r="BR10" s="98" t="s">
        <v>953</v>
      </c>
      <c r="BS10" s="98" t="s">
        <v>970</v>
      </c>
      <c r="BT10" s="98" t="s">
        <v>970</v>
      </c>
      <c r="BU10" s="2"/>
      <c r="BV10" s="3"/>
      <c r="BW10" s="3"/>
      <c r="BX10" s="3"/>
      <c r="BY10" s="3"/>
    </row>
    <row r="11" spans="1:77" ht="15">
      <c r="A11" s="65" t="s">
        <v>544</v>
      </c>
      <c r="B11" s="66"/>
      <c r="C11" s="66"/>
      <c r="D11" s="67">
        <v>100.53475882352942</v>
      </c>
      <c r="E11" s="103"/>
      <c r="F11" s="89" t="str">
        <f>HYPERLINK("https://pbs.twimg.com/profile_images/1333089043362443264/B0zhWEi__normal.jpg")</f>
        <v>https://pbs.twimg.com/profile_images/1333089043362443264/B0zhWEi__normal.jpg</v>
      </c>
      <c r="G11" s="104"/>
      <c r="H11" s="70" t="s">
        <v>544</v>
      </c>
      <c r="I11" s="71"/>
      <c r="J11" s="105"/>
      <c r="K11" s="70" t="s">
        <v>836</v>
      </c>
      <c r="L11" s="106">
        <v>1.5901826983158487</v>
      </c>
      <c r="M11" s="75">
        <v>2999.952880859375</v>
      </c>
      <c r="N11" s="75">
        <v>2547.32421875</v>
      </c>
      <c r="O11" s="76"/>
      <c r="P11" s="77"/>
      <c r="Q11" s="77"/>
      <c r="R11" s="107"/>
      <c r="S11" s="49">
        <v>0</v>
      </c>
      <c r="T11" s="49">
        <v>3</v>
      </c>
      <c r="U11" s="50">
        <v>0.111111</v>
      </c>
      <c r="V11" s="50">
        <v>0.505263</v>
      </c>
      <c r="W11" s="50">
        <v>0.130612</v>
      </c>
      <c r="X11" s="50">
        <v>0.018147</v>
      </c>
      <c r="Y11" s="50">
        <v>0.3333333333333333</v>
      </c>
      <c r="Z11" s="50">
        <v>0</v>
      </c>
      <c r="AA11" s="72">
        <v>11</v>
      </c>
      <c r="AB11" s="72"/>
      <c r="AC11" s="73"/>
      <c r="AD11" s="80" t="s">
        <v>716</v>
      </c>
      <c r="AE11" s="85" t="s">
        <v>756</v>
      </c>
      <c r="AF11" s="80">
        <v>221</v>
      </c>
      <c r="AG11" s="80">
        <v>83</v>
      </c>
      <c r="AH11" s="80">
        <v>4518</v>
      </c>
      <c r="AI11" s="80">
        <v>1905</v>
      </c>
      <c r="AJ11" s="80"/>
      <c r="AK11" s="80"/>
      <c r="AL11" s="80"/>
      <c r="AM11" s="80"/>
      <c r="AN11" s="80"/>
      <c r="AO11" s="82">
        <v>44061.674212962964</v>
      </c>
      <c r="AP11" s="80"/>
      <c r="AQ11" s="80" t="b">
        <v>1</v>
      </c>
      <c r="AR11" s="80" t="b">
        <v>0</v>
      </c>
      <c r="AS11" s="80" t="b">
        <v>0</v>
      </c>
      <c r="AT11" s="80"/>
      <c r="AU11" s="80">
        <v>0</v>
      </c>
      <c r="AV11" s="80"/>
      <c r="AW11" s="80" t="b">
        <v>0</v>
      </c>
      <c r="AX11" s="80" t="s">
        <v>315</v>
      </c>
      <c r="AY11" s="83" t="str">
        <f>HYPERLINK("https://twitter.com/simranj59927871")</f>
        <v>https://twitter.com/simranj59927871</v>
      </c>
      <c r="AZ11" s="80" t="s">
        <v>66</v>
      </c>
      <c r="BA11" s="79" t="str">
        <f>REPLACE(INDEX(GroupVertices[Group],MATCH(Vertices[[#This Row],[Vertex]],GroupVertices[Vertex],0)),1,1,"")</f>
        <v>1</v>
      </c>
      <c r="BB11" s="49">
        <v>0</v>
      </c>
      <c r="BC11" s="50">
        <v>0</v>
      </c>
      <c r="BD11" s="49">
        <v>7</v>
      </c>
      <c r="BE11" s="50">
        <v>8.536585365853659</v>
      </c>
      <c r="BF11" s="49">
        <v>0</v>
      </c>
      <c r="BG11" s="50">
        <v>0</v>
      </c>
      <c r="BH11" s="49">
        <v>75</v>
      </c>
      <c r="BI11" s="50">
        <v>91.46341463414635</v>
      </c>
      <c r="BJ11" s="49">
        <v>82</v>
      </c>
      <c r="BK11" s="49"/>
      <c r="BL11" s="49"/>
      <c r="BM11" s="49"/>
      <c r="BN11" s="49"/>
      <c r="BO11" s="49" t="s">
        <v>596</v>
      </c>
      <c r="BP11" s="49" t="s">
        <v>596</v>
      </c>
      <c r="BQ11" s="98" t="s">
        <v>955</v>
      </c>
      <c r="BR11" s="98" t="s">
        <v>966</v>
      </c>
      <c r="BS11" s="98" t="s">
        <v>938</v>
      </c>
      <c r="BT11" s="98" t="s">
        <v>982</v>
      </c>
      <c r="BU11" s="2"/>
      <c r="BV11" s="3"/>
      <c r="BW11" s="3"/>
      <c r="BX11" s="3"/>
      <c r="BY11" s="3"/>
    </row>
    <row r="12" spans="1:77" ht="15">
      <c r="A12" s="65" t="s">
        <v>545</v>
      </c>
      <c r="B12" s="66"/>
      <c r="C12" s="66"/>
      <c r="D12" s="67">
        <v>100</v>
      </c>
      <c r="E12" s="103"/>
      <c r="F12" s="89" t="str">
        <f>HYPERLINK("https://pbs.twimg.com/profile_images/594231723015086080/TAgwpuQf_normal.jpg")</f>
        <v>https://pbs.twimg.com/profile_images/594231723015086080/TAgwpuQf_normal.jpg</v>
      </c>
      <c r="G12" s="104"/>
      <c r="H12" s="70" t="s">
        <v>545</v>
      </c>
      <c r="I12" s="71"/>
      <c r="J12" s="105"/>
      <c r="K12" s="70" t="s">
        <v>837</v>
      </c>
      <c r="L12" s="106">
        <v>1</v>
      </c>
      <c r="M12" s="75">
        <v>2536.069580078125</v>
      </c>
      <c r="N12" s="75">
        <v>738.2440795898438</v>
      </c>
      <c r="O12" s="76"/>
      <c r="P12" s="77"/>
      <c r="Q12" s="77"/>
      <c r="R12" s="107"/>
      <c r="S12" s="49">
        <v>0</v>
      </c>
      <c r="T12" s="49">
        <v>2</v>
      </c>
      <c r="U12" s="50">
        <v>0</v>
      </c>
      <c r="V12" s="50">
        <v>0.5</v>
      </c>
      <c r="W12" s="50">
        <v>0.098366</v>
      </c>
      <c r="X12" s="50">
        <v>0.017879</v>
      </c>
      <c r="Y12" s="50">
        <v>0.5</v>
      </c>
      <c r="Z12" s="50">
        <v>0</v>
      </c>
      <c r="AA12" s="72">
        <v>12</v>
      </c>
      <c r="AB12" s="72"/>
      <c r="AC12" s="73"/>
      <c r="AD12" s="80" t="s">
        <v>717</v>
      </c>
      <c r="AE12" s="85" t="s">
        <v>757</v>
      </c>
      <c r="AF12" s="80">
        <v>156</v>
      </c>
      <c r="AG12" s="80">
        <v>55</v>
      </c>
      <c r="AH12" s="80">
        <v>548</v>
      </c>
      <c r="AI12" s="80">
        <v>2978</v>
      </c>
      <c r="AJ12" s="80"/>
      <c r="AK12" s="80"/>
      <c r="AL12" s="80"/>
      <c r="AM12" s="80"/>
      <c r="AN12" s="80"/>
      <c r="AO12" s="82">
        <v>42125.83403935185</v>
      </c>
      <c r="AP12" s="80"/>
      <c r="AQ12" s="80" t="b">
        <v>1</v>
      </c>
      <c r="AR12" s="80" t="b">
        <v>0</v>
      </c>
      <c r="AS12" s="80" t="b">
        <v>0</v>
      </c>
      <c r="AT12" s="80"/>
      <c r="AU12" s="80">
        <v>2</v>
      </c>
      <c r="AV12" s="83" t="str">
        <f>HYPERLINK("https://abs.twimg.com/images/themes/theme1/bg.png")</f>
        <v>https://abs.twimg.com/images/themes/theme1/bg.png</v>
      </c>
      <c r="AW12" s="80" t="b">
        <v>0</v>
      </c>
      <c r="AX12" s="80" t="s">
        <v>315</v>
      </c>
      <c r="AY12" s="83" t="str">
        <f>HYPERLINK("https://twitter.com/pathruduabilash")</f>
        <v>https://twitter.com/pathruduabilash</v>
      </c>
      <c r="AZ12" s="80" t="s">
        <v>66</v>
      </c>
      <c r="BA12" s="79" t="str">
        <f>REPLACE(INDEX(GroupVertices[Group],MATCH(Vertices[[#This Row],[Vertex]],GroupVertices[Vertex],0)),1,1,"")</f>
        <v>1</v>
      </c>
      <c r="BB12" s="49">
        <v>0</v>
      </c>
      <c r="BC12" s="50">
        <v>0</v>
      </c>
      <c r="BD12" s="49">
        <v>2</v>
      </c>
      <c r="BE12" s="50">
        <v>4.651162790697675</v>
      </c>
      <c r="BF12" s="49">
        <v>0</v>
      </c>
      <c r="BG12" s="50">
        <v>0</v>
      </c>
      <c r="BH12" s="49">
        <v>41</v>
      </c>
      <c r="BI12" s="50">
        <v>95.34883720930233</v>
      </c>
      <c r="BJ12" s="49">
        <v>43</v>
      </c>
      <c r="BK12" s="49"/>
      <c r="BL12" s="49"/>
      <c r="BM12" s="49"/>
      <c r="BN12" s="49"/>
      <c r="BO12" s="49"/>
      <c r="BP12" s="49"/>
      <c r="BQ12" s="98" t="s">
        <v>956</v>
      </c>
      <c r="BR12" s="98" t="s">
        <v>956</v>
      </c>
      <c r="BS12" s="98" t="s">
        <v>972</v>
      </c>
      <c r="BT12" s="98" t="s">
        <v>972</v>
      </c>
      <c r="BU12" s="2"/>
      <c r="BV12" s="3"/>
      <c r="BW12" s="3"/>
      <c r="BX12" s="3"/>
      <c r="BY12" s="3"/>
    </row>
    <row r="13" spans="1:77" ht="15">
      <c r="A13" s="65" t="s">
        <v>546</v>
      </c>
      <c r="B13" s="66"/>
      <c r="C13" s="66"/>
      <c r="D13" s="67">
        <v>100.53475882352942</v>
      </c>
      <c r="E13" s="103"/>
      <c r="F13" s="89" t="str">
        <f>HYPERLINK("https://pbs.twimg.com/profile_images/1334065197204393984/2XPFfINl_normal.jpg")</f>
        <v>https://pbs.twimg.com/profile_images/1334065197204393984/2XPFfINl_normal.jpg</v>
      </c>
      <c r="G13" s="104"/>
      <c r="H13" s="70" t="s">
        <v>546</v>
      </c>
      <c r="I13" s="71"/>
      <c r="J13" s="105"/>
      <c r="K13" s="70" t="s">
        <v>838</v>
      </c>
      <c r="L13" s="106">
        <v>1.5901826983158487</v>
      </c>
      <c r="M13" s="75">
        <v>1734.3154296875</v>
      </c>
      <c r="N13" s="75">
        <v>7605.5888671875</v>
      </c>
      <c r="O13" s="76"/>
      <c r="P13" s="77"/>
      <c r="Q13" s="77"/>
      <c r="R13" s="107"/>
      <c r="S13" s="49">
        <v>0</v>
      </c>
      <c r="T13" s="49">
        <v>3</v>
      </c>
      <c r="U13" s="50">
        <v>0.111111</v>
      </c>
      <c r="V13" s="50">
        <v>0.505263</v>
      </c>
      <c r="W13" s="50">
        <v>0.130612</v>
      </c>
      <c r="X13" s="50">
        <v>0.018147</v>
      </c>
      <c r="Y13" s="50">
        <v>0.3333333333333333</v>
      </c>
      <c r="Z13" s="50">
        <v>0</v>
      </c>
      <c r="AA13" s="72">
        <v>13</v>
      </c>
      <c r="AB13" s="72"/>
      <c r="AC13" s="73"/>
      <c r="AD13" s="80" t="s">
        <v>718</v>
      </c>
      <c r="AE13" s="85" t="s">
        <v>758</v>
      </c>
      <c r="AF13" s="80">
        <v>82</v>
      </c>
      <c r="AG13" s="80">
        <v>21</v>
      </c>
      <c r="AH13" s="80">
        <v>373</v>
      </c>
      <c r="AI13" s="80">
        <v>294</v>
      </c>
      <c r="AJ13" s="80"/>
      <c r="AK13" s="80"/>
      <c r="AL13" s="80" t="s">
        <v>822</v>
      </c>
      <c r="AM13" s="80"/>
      <c r="AN13" s="80"/>
      <c r="AO13" s="82">
        <v>42431.055138888885</v>
      </c>
      <c r="AP13" s="80"/>
      <c r="AQ13" s="80" t="b">
        <v>1</v>
      </c>
      <c r="AR13" s="80" t="b">
        <v>0</v>
      </c>
      <c r="AS13" s="80" t="b">
        <v>0</v>
      </c>
      <c r="AT13" s="80"/>
      <c r="AU13" s="80">
        <v>0</v>
      </c>
      <c r="AV13" s="80"/>
      <c r="AW13" s="80" t="b">
        <v>0</v>
      </c>
      <c r="AX13" s="80" t="s">
        <v>315</v>
      </c>
      <c r="AY13" s="83" t="str">
        <f>HYPERLINK("https://twitter.com/bains_gurpinder")</f>
        <v>https://twitter.com/bains_gurpinder</v>
      </c>
      <c r="AZ13" s="80" t="s">
        <v>66</v>
      </c>
      <c r="BA13" s="79" t="str">
        <f>REPLACE(INDEX(GroupVertices[Group],MATCH(Vertices[[#This Row],[Vertex]],GroupVertices[Vertex],0)),1,1,"")</f>
        <v>1</v>
      </c>
      <c r="BB13" s="49">
        <v>0</v>
      </c>
      <c r="BC13" s="50">
        <v>0</v>
      </c>
      <c r="BD13" s="49">
        <v>7</v>
      </c>
      <c r="BE13" s="50">
        <v>8.536585365853659</v>
      </c>
      <c r="BF13" s="49">
        <v>0</v>
      </c>
      <c r="BG13" s="50">
        <v>0</v>
      </c>
      <c r="BH13" s="49">
        <v>75</v>
      </c>
      <c r="BI13" s="50">
        <v>91.46341463414635</v>
      </c>
      <c r="BJ13" s="49">
        <v>82</v>
      </c>
      <c r="BK13" s="49"/>
      <c r="BL13" s="49"/>
      <c r="BM13" s="49"/>
      <c r="BN13" s="49"/>
      <c r="BO13" s="49" t="s">
        <v>596</v>
      </c>
      <c r="BP13" s="49" t="s">
        <v>596</v>
      </c>
      <c r="BQ13" s="98" t="s">
        <v>957</v>
      </c>
      <c r="BR13" s="98" t="s">
        <v>967</v>
      </c>
      <c r="BS13" s="98" t="s">
        <v>973</v>
      </c>
      <c r="BT13" s="98" t="s">
        <v>983</v>
      </c>
      <c r="BU13" s="2"/>
      <c r="BV13" s="3"/>
      <c r="BW13" s="3"/>
      <c r="BX13" s="3"/>
      <c r="BY13" s="3"/>
    </row>
    <row r="14" spans="1:77" ht="15">
      <c r="A14" s="65" t="s">
        <v>518</v>
      </c>
      <c r="B14" s="66"/>
      <c r="C14" s="66"/>
      <c r="D14" s="67">
        <v>100.53475882352942</v>
      </c>
      <c r="E14" s="103"/>
      <c r="F14" s="89" t="str">
        <f>HYPERLINK("https://pbs.twimg.com/profile_images/1515417877138272256/Xai0eTTk_normal.jpg")</f>
        <v>https://pbs.twimg.com/profile_images/1515417877138272256/Xai0eTTk_normal.jpg</v>
      </c>
      <c r="G14" s="104"/>
      <c r="H14" s="70" t="s">
        <v>518</v>
      </c>
      <c r="I14" s="71"/>
      <c r="J14" s="105"/>
      <c r="K14" s="70" t="s">
        <v>839</v>
      </c>
      <c r="L14" s="106">
        <v>1.5901826983158487</v>
      </c>
      <c r="M14" s="75">
        <v>3645.604248046875</v>
      </c>
      <c r="N14" s="75">
        <v>6852.09130859375</v>
      </c>
      <c r="O14" s="76"/>
      <c r="P14" s="77"/>
      <c r="Q14" s="77"/>
      <c r="R14" s="107"/>
      <c r="S14" s="49">
        <v>0</v>
      </c>
      <c r="T14" s="49">
        <v>3</v>
      </c>
      <c r="U14" s="50">
        <v>0.111111</v>
      </c>
      <c r="V14" s="50">
        <v>0.505263</v>
      </c>
      <c r="W14" s="50">
        <v>0.130612</v>
      </c>
      <c r="X14" s="50">
        <v>0.018147</v>
      </c>
      <c r="Y14" s="50">
        <v>0.3333333333333333</v>
      </c>
      <c r="Z14" s="50">
        <v>0</v>
      </c>
      <c r="AA14" s="72">
        <v>14</v>
      </c>
      <c r="AB14" s="72"/>
      <c r="AC14" s="73"/>
      <c r="AD14" s="80" t="s">
        <v>526</v>
      </c>
      <c r="AE14" s="85" t="s">
        <v>528</v>
      </c>
      <c r="AF14" s="80">
        <v>48</v>
      </c>
      <c r="AG14" s="80">
        <v>11</v>
      </c>
      <c r="AH14" s="80">
        <v>971</v>
      </c>
      <c r="AI14" s="80">
        <v>78</v>
      </c>
      <c r="AJ14" s="80"/>
      <c r="AK14" s="80"/>
      <c r="AL14" s="80"/>
      <c r="AM14" s="80"/>
      <c r="AN14" s="80"/>
      <c r="AO14" s="82">
        <v>44481.24290509259</v>
      </c>
      <c r="AP14" s="80"/>
      <c r="AQ14" s="80" t="b">
        <v>1</v>
      </c>
      <c r="AR14" s="80" t="b">
        <v>0</v>
      </c>
      <c r="AS14" s="80" t="b">
        <v>0</v>
      </c>
      <c r="AT14" s="80"/>
      <c r="AU14" s="80">
        <v>0</v>
      </c>
      <c r="AV14" s="80"/>
      <c r="AW14" s="80" t="b">
        <v>0</v>
      </c>
      <c r="AX14" s="80" t="s">
        <v>315</v>
      </c>
      <c r="AY14" s="83" t="str">
        <f>HYPERLINK("https://twitter.com/sureshk01547631")</f>
        <v>https://twitter.com/sureshk01547631</v>
      </c>
      <c r="AZ14" s="80" t="s">
        <v>66</v>
      </c>
      <c r="BA14" s="79" t="str">
        <f>REPLACE(INDEX(GroupVertices[Group],MATCH(Vertices[[#This Row],[Vertex]],GroupVertices[Vertex],0)),1,1,"")</f>
        <v>1</v>
      </c>
      <c r="BB14" s="49">
        <v>0</v>
      </c>
      <c r="BC14" s="50">
        <v>0</v>
      </c>
      <c r="BD14" s="49">
        <v>7</v>
      </c>
      <c r="BE14" s="50">
        <v>8.536585365853659</v>
      </c>
      <c r="BF14" s="49">
        <v>0</v>
      </c>
      <c r="BG14" s="50">
        <v>0</v>
      </c>
      <c r="BH14" s="49">
        <v>75</v>
      </c>
      <c r="BI14" s="50">
        <v>91.46341463414635</v>
      </c>
      <c r="BJ14" s="49">
        <v>82</v>
      </c>
      <c r="BK14" s="49"/>
      <c r="BL14" s="49"/>
      <c r="BM14" s="49"/>
      <c r="BN14" s="49"/>
      <c r="BO14" s="49" t="s">
        <v>596</v>
      </c>
      <c r="BP14" s="49" t="s">
        <v>596</v>
      </c>
      <c r="BQ14" s="98" t="s">
        <v>957</v>
      </c>
      <c r="BR14" s="98" t="s">
        <v>967</v>
      </c>
      <c r="BS14" s="98" t="s">
        <v>973</v>
      </c>
      <c r="BT14" s="98" t="s">
        <v>983</v>
      </c>
      <c r="BU14" s="2"/>
      <c r="BV14" s="3"/>
      <c r="BW14" s="3"/>
      <c r="BX14" s="3"/>
      <c r="BY14" s="3"/>
    </row>
    <row r="15" spans="1:77" ht="15">
      <c r="A15" s="65" t="s">
        <v>547</v>
      </c>
      <c r="B15" s="66"/>
      <c r="C15" s="66"/>
      <c r="D15" s="67">
        <v>100.53475882352942</v>
      </c>
      <c r="E15" s="103"/>
      <c r="F15" s="89" t="str">
        <f>HYPERLINK("https://pbs.twimg.com/profile_images/1296831548696780803/xgiLj6Qp_normal.jpg")</f>
        <v>https://pbs.twimg.com/profile_images/1296831548696780803/xgiLj6Qp_normal.jpg</v>
      </c>
      <c r="G15" s="104"/>
      <c r="H15" s="70" t="s">
        <v>547</v>
      </c>
      <c r="I15" s="71"/>
      <c r="J15" s="105"/>
      <c r="K15" s="70" t="s">
        <v>840</v>
      </c>
      <c r="L15" s="106">
        <v>1.5901826983158487</v>
      </c>
      <c r="M15" s="75">
        <v>2049.202880859375</v>
      </c>
      <c r="N15" s="75">
        <v>8767.837890625</v>
      </c>
      <c r="O15" s="76"/>
      <c r="P15" s="77"/>
      <c r="Q15" s="77"/>
      <c r="R15" s="107"/>
      <c r="S15" s="49">
        <v>0</v>
      </c>
      <c r="T15" s="49">
        <v>3</v>
      </c>
      <c r="U15" s="50">
        <v>0.111111</v>
      </c>
      <c r="V15" s="50">
        <v>0.505263</v>
      </c>
      <c r="W15" s="50">
        <v>0.130612</v>
      </c>
      <c r="X15" s="50">
        <v>0.018147</v>
      </c>
      <c r="Y15" s="50">
        <v>0.3333333333333333</v>
      </c>
      <c r="Z15" s="50">
        <v>0</v>
      </c>
      <c r="AA15" s="72">
        <v>15</v>
      </c>
      <c r="AB15" s="72"/>
      <c r="AC15" s="73"/>
      <c r="AD15" s="80" t="s">
        <v>719</v>
      </c>
      <c r="AE15" s="85" t="s">
        <v>759</v>
      </c>
      <c r="AF15" s="80">
        <v>7</v>
      </c>
      <c r="AG15" s="80">
        <v>10</v>
      </c>
      <c r="AH15" s="80">
        <v>236</v>
      </c>
      <c r="AI15" s="80">
        <v>211</v>
      </c>
      <c r="AJ15" s="80"/>
      <c r="AK15" s="80" t="s">
        <v>792</v>
      </c>
      <c r="AL15" s="80"/>
      <c r="AM15" s="80"/>
      <c r="AN15" s="80"/>
      <c r="AO15" s="82">
        <v>44064.64405092593</v>
      </c>
      <c r="AP15" s="80"/>
      <c r="AQ15" s="80" t="b">
        <v>1</v>
      </c>
      <c r="AR15" s="80" t="b">
        <v>0</v>
      </c>
      <c r="AS15" s="80" t="b">
        <v>0</v>
      </c>
      <c r="AT15" s="80"/>
      <c r="AU15" s="80">
        <v>0</v>
      </c>
      <c r="AV15" s="80"/>
      <c r="AW15" s="80" t="b">
        <v>0</v>
      </c>
      <c r="AX15" s="80" t="s">
        <v>315</v>
      </c>
      <c r="AY15" s="83" t="str">
        <f>HYPERLINK("https://twitter.com/satvirsohi5")</f>
        <v>https://twitter.com/satvirsohi5</v>
      </c>
      <c r="AZ15" s="80" t="s">
        <v>66</v>
      </c>
      <c r="BA15" s="79" t="str">
        <f>REPLACE(INDEX(GroupVertices[Group],MATCH(Vertices[[#This Row],[Vertex]],GroupVertices[Vertex],0)),1,1,"")</f>
        <v>1</v>
      </c>
      <c r="BB15" s="49">
        <v>0</v>
      </c>
      <c r="BC15" s="50">
        <v>0</v>
      </c>
      <c r="BD15" s="49">
        <v>7</v>
      </c>
      <c r="BE15" s="50">
        <v>8.536585365853659</v>
      </c>
      <c r="BF15" s="49">
        <v>0</v>
      </c>
      <c r="BG15" s="50">
        <v>0</v>
      </c>
      <c r="BH15" s="49">
        <v>75</v>
      </c>
      <c r="BI15" s="50">
        <v>91.46341463414635</v>
      </c>
      <c r="BJ15" s="49">
        <v>82</v>
      </c>
      <c r="BK15" s="49"/>
      <c r="BL15" s="49"/>
      <c r="BM15" s="49"/>
      <c r="BN15" s="49"/>
      <c r="BO15" s="49" t="s">
        <v>596</v>
      </c>
      <c r="BP15" s="49" t="s">
        <v>596</v>
      </c>
      <c r="BQ15" s="98" t="s">
        <v>957</v>
      </c>
      <c r="BR15" s="98" t="s">
        <v>967</v>
      </c>
      <c r="BS15" s="98" t="s">
        <v>973</v>
      </c>
      <c r="BT15" s="98" t="s">
        <v>983</v>
      </c>
      <c r="BU15" s="2"/>
      <c r="BV15" s="3"/>
      <c r="BW15" s="3"/>
      <c r="BX15" s="3"/>
      <c r="BY15" s="3"/>
    </row>
    <row r="16" spans="1:77" ht="15">
      <c r="A16" s="65" t="s">
        <v>548</v>
      </c>
      <c r="B16" s="66"/>
      <c r="C16" s="66"/>
      <c r="D16" s="67">
        <v>100.53475882352942</v>
      </c>
      <c r="E16" s="103"/>
      <c r="F16" s="89" t="str">
        <f>HYPERLINK("https://pbs.twimg.com/profile_images/1364567719429873673/HRfWTB1P_normal.jpg")</f>
        <v>https://pbs.twimg.com/profile_images/1364567719429873673/HRfWTB1P_normal.jpg</v>
      </c>
      <c r="G16" s="104"/>
      <c r="H16" s="70" t="s">
        <v>548</v>
      </c>
      <c r="I16" s="71"/>
      <c r="J16" s="105"/>
      <c r="K16" s="70" t="s">
        <v>841</v>
      </c>
      <c r="L16" s="106">
        <v>1.5901826983158487</v>
      </c>
      <c r="M16" s="75">
        <v>2592.5908203125</v>
      </c>
      <c r="N16" s="75">
        <v>9242.06640625</v>
      </c>
      <c r="O16" s="76"/>
      <c r="P16" s="77"/>
      <c r="Q16" s="77"/>
      <c r="R16" s="107"/>
      <c r="S16" s="49">
        <v>0</v>
      </c>
      <c r="T16" s="49">
        <v>3</v>
      </c>
      <c r="U16" s="50">
        <v>0.111111</v>
      </c>
      <c r="V16" s="50">
        <v>0.505263</v>
      </c>
      <c r="W16" s="50">
        <v>0.130612</v>
      </c>
      <c r="X16" s="50">
        <v>0.018147</v>
      </c>
      <c r="Y16" s="50">
        <v>0.3333333333333333</v>
      </c>
      <c r="Z16" s="50">
        <v>0</v>
      </c>
      <c r="AA16" s="72">
        <v>16</v>
      </c>
      <c r="AB16" s="72"/>
      <c r="AC16" s="73"/>
      <c r="AD16" s="80" t="s">
        <v>720</v>
      </c>
      <c r="AE16" s="85" t="s">
        <v>760</v>
      </c>
      <c r="AF16" s="80">
        <v>89</v>
      </c>
      <c r="AG16" s="80">
        <v>93</v>
      </c>
      <c r="AH16" s="80">
        <v>1817</v>
      </c>
      <c r="AI16" s="80">
        <v>1439</v>
      </c>
      <c r="AJ16" s="80"/>
      <c r="AK16" s="80" t="s">
        <v>793</v>
      </c>
      <c r="AL16" s="80" t="s">
        <v>274</v>
      </c>
      <c r="AM16" s="83" t="str">
        <f>HYPERLINK("https://t.co/Oz1bD0HkZl")</f>
        <v>https://t.co/Oz1bD0HkZl</v>
      </c>
      <c r="AN16" s="80"/>
      <c r="AO16" s="82">
        <v>43170.90814814815</v>
      </c>
      <c r="AP16" s="83" t="str">
        <f>HYPERLINK("https://pbs.twimg.com/profile_banners/972952234240569349/1623948833")</f>
        <v>https://pbs.twimg.com/profile_banners/972952234240569349/1623948833</v>
      </c>
      <c r="AQ16" s="80" t="b">
        <v>1</v>
      </c>
      <c r="AR16" s="80" t="b">
        <v>0</v>
      </c>
      <c r="AS16" s="80" t="b">
        <v>1</v>
      </c>
      <c r="AT16" s="80"/>
      <c r="AU16" s="80">
        <v>0</v>
      </c>
      <c r="AV16" s="80"/>
      <c r="AW16" s="80" t="b">
        <v>0</v>
      </c>
      <c r="AX16" s="80" t="s">
        <v>315</v>
      </c>
      <c r="AY16" s="83" t="str">
        <f>HYPERLINK("https://twitter.com/fenilsavani")</f>
        <v>https://twitter.com/fenilsavani</v>
      </c>
      <c r="AZ16" s="80" t="s">
        <v>66</v>
      </c>
      <c r="BA16" s="79" t="str">
        <f>REPLACE(INDEX(GroupVertices[Group],MATCH(Vertices[[#This Row],[Vertex]],GroupVertices[Vertex],0)),1,1,"")</f>
        <v>1</v>
      </c>
      <c r="BB16" s="49">
        <v>0</v>
      </c>
      <c r="BC16" s="50">
        <v>0</v>
      </c>
      <c r="BD16" s="49">
        <v>7</v>
      </c>
      <c r="BE16" s="50">
        <v>8.536585365853659</v>
      </c>
      <c r="BF16" s="49">
        <v>0</v>
      </c>
      <c r="BG16" s="50">
        <v>0</v>
      </c>
      <c r="BH16" s="49">
        <v>75</v>
      </c>
      <c r="BI16" s="50">
        <v>91.46341463414635</v>
      </c>
      <c r="BJ16" s="49">
        <v>82</v>
      </c>
      <c r="BK16" s="49"/>
      <c r="BL16" s="49"/>
      <c r="BM16" s="49"/>
      <c r="BN16" s="49"/>
      <c r="BO16" s="49" t="s">
        <v>596</v>
      </c>
      <c r="BP16" s="49" t="s">
        <v>596</v>
      </c>
      <c r="BQ16" s="98" t="s">
        <v>957</v>
      </c>
      <c r="BR16" s="98" t="s">
        <v>967</v>
      </c>
      <c r="BS16" s="98" t="s">
        <v>973</v>
      </c>
      <c r="BT16" s="98" t="s">
        <v>983</v>
      </c>
      <c r="BU16" s="2"/>
      <c r="BV16" s="3"/>
      <c r="BW16" s="3"/>
      <c r="BX16" s="3"/>
      <c r="BY16" s="3"/>
    </row>
    <row r="17" spans="1:77" ht="15">
      <c r="A17" s="65" t="s">
        <v>549</v>
      </c>
      <c r="B17" s="66"/>
      <c r="C17" s="66"/>
      <c r="D17" s="67">
        <v>100.53475882352942</v>
      </c>
      <c r="E17" s="103"/>
      <c r="F17" s="89" t="str">
        <f>HYPERLINK("https://abs.twimg.com/sticky/default_profile_images/default_profile_normal.png")</f>
        <v>https://abs.twimg.com/sticky/default_profile_images/default_profile_normal.png</v>
      </c>
      <c r="G17" s="104"/>
      <c r="H17" s="70" t="s">
        <v>549</v>
      </c>
      <c r="I17" s="71"/>
      <c r="J17" s="105"/>
      <c r="K17" s="70" t="s">
        <v>842</v>
      </c>
      <c r="L17" s="106">
        <v>1.5901826983158487</v>
      </c>
      <c r="M17" s="75">
        <v>2281.438720703125</v>
      </c>
      <c r="N17" s="75">
        <v>2280.625732421875</v>
      </c>
      <c r="O17" s="76"/>
      <c r="P17" s="77"/>
      <c r="Q17" s="77"/>
      <c r="R17" s="107"/>
      <c r="S17" s="49">
        <v>0</v>
      </c>
      <c r="T17" s="49">
        <v>3</v>
      </c>
      <c r="U17" s="50">
        <v>0.111111</v>
      </c>
      <c r="V17" s="50">
        <v>0.505263</v>
      </c>
      <c r="W17" s="50">
        <v>0.130612</v>
      </c>
      <c r="X17" s="50">
        <v>0.018147</v>
      </c>
      <c r="Y17" s="50">
        <v>0.3333333333333333</v>
      </c>
      <c r="Z17" s="50">
        <v>0</v>
      </c>
      <c r="AA17" s="72">
        <v>17</v>
      </c>
      <c r="AB17" s="72"/>
      <c r="AC17" s="73"/>
      <c r="AD17" s="80" t="s">
        <v>721</v>
      </c>
      <c r="AE17" s="85" t="s">
        <v>761</v>
      </c>
      <c r="AF17" s="80">
        <v>93</v>
      </c>
      <c r="AG17" s="80">
        <v>61</v>
      </c>
      <c r="AH17" s="80">
        <v>8493</v>
      </c>
      <c r="AI17" s="80">
        <v>7286</v>
      </c>
      <c r="AJ17" s="80"/>
      <c r="AK17" s="80"/>
      <c r="AL17" s="80"/>
      <c r="AM17" s="80"/>
      <c r="AN17" s="80"/>
      <c r="AO17" s="82">
        <v>43958.616631944446</v>
      </c>
      <c r="AP17" s="80"/>
      <c r="AQ17" s="80" t="b">
        <v>1</v>
      </c>
      <c r="AR17" s="80" t="b">
        <v>1</v>
      </c>
      <c r="AS17" s="80" t="b">
        <v>0</v>
      </c>
      <c r="AT17" s="80"/>
      <c r="AU17" s="80">
        <v>0</v>
      </c>
      <c r="AV17" s="80"/>
      <c r="AW17" s="80" t="b">
        <v>0</v>
      </c>
      <c r="AX17" s="80" t="s">
        <v>315</v>
      </c>
      <c r="AY17" s="83" t="str">
        <f>HYPERLINK("https://twitter.com/reenapu64276812")</f>
        <v>https://twitter.com/reenapu64276812</v>
      </c>
      <c r="AZ17" s="80" t="s">
        <v>66</v>
      </c>
      <c r="BA17" s="79" t="str">
        <f>REPLACE(INDEX(GroupVertices[Group],MATCH(Vertices[[#This Row],[Vertex]],GroupVertices[Vertex],0)),1,1,"")</f>
        <v>1</v>
      </c>
      <c r="BB17" s="49">
        <v>0</v>
      </c>
      <c r="BC17" s="50">
        <v>0</v>
      </c>
      <c r="BD17" s="49">
        <v>7</v>
      </c>
      <c r="BE17" s="50">
        <v>8.536585365853659</v>
      </c>
      <c r="BF17" s="49">
        <v>0</v>
      </c>
      <c r="BG17" s="50">
        <v>0</v>
      </c>
      <c r="BH17" s="49">
        <v>75</v>
      </c>
      <c r="BI17" s="50">
        <v>91.46341463414635</v>
      </c>
      <c r="BJ17" s="49">
        <v>82</v>
      </c>
      <c r="BK17" s="49"/>
      <c r="BL17" s="49"/>
      <c r="BM17" s="49"/>
      <c r="BN17" s="49"/>
      <c r="BO17" s="49" t="s">
        <v>596</v>
      </c>
      <c r="BP17" s="49" t="s">
        <v>596</v>
      </c>
      <c r="BQ17" s="98" t="s">
        <v>955</v>
      </c>
      <c r="BR17" s="98" t="s">
        <v>966</v>
      </c>
      <c r="BS17" s="98" t="s">
        <v>938</v>
      </c>
      <c r="BT17" s="98" t="s">
        <v>982</v>
      </c>
      <c r="BU17" s="2"/>
      <c r="BV17" s="3"/>
      <c r="BW17" s="3"/>
      <c r="BX17" s="3"/>
      <c r="BY17" s="3"/>
    </row>
    <row r="18" spans="1:77" ht="15">
      <c r="A18" s="65" t="s">
        <v>550</v>
      </c>
      <c r="B18" s="66"/>
      <c r="C18" s="66"/>
      <c r="D18" s="67">
        <v>100.53475882352942</v>
      </c>
      <c r="E18" s="103"/>
      <c r="F18" s="89" t="str">
        <f>HYPERLINK("https://pbs.twimg.com/profile_images/3586907890/514a4e9d681c400838dffd19a31d6478_normal.jpeg")</f>
        <v>https://pbs.twimg.com/profile_images/3586907890/514a4e9d681c400838dffd19a31d6478_normal.jpeg</v>
      </c>
      <c r="G18" s="104"/>
      <c r="H18" s="70" t="s">
        <v>550</v>
      </c>
      <c r="I18" s="71"/>
      <c r="J18" s="105"/>
      <c r="K18" s="70" t="s">
        <v>843</v>
      </c>
      <c r="L18" s="106">
        <v>1.5901826983158487</v>
      </c>
      <c r="M18" s="75">
        <v>4022.60791015625</v>
      </c>
      <c r="N18" s="75">
        <v>8207.07421875</v>
      </c>
      <c r="O18" s="76"/>
      <c r="P18" s="77"/>
      <c r="Q18" s="77"/>
      <c r="R18" s="107"/>
      <c r="S18" s="49">
        <v>0</v>
      </c>
      <c r="T18" s="49">
        <v>3</v>
      </c>
      <c r="U18" s="50">
        <v>0.111111</v>
      </c>
      <c r="V18" s="50">
        <v>0.505263</v>
      </c>
      <c r="W18" s="50">
        <v>0.130612</v>
      </c>
      <c r="X18" s="50">
        <v>0.018147</v>
      </c>
      <c r="Y18" s="50">
        <v>0.3333333333333333</v>
      </c>
      <c r="Z18" s="50">
        <v>0</v>
      </c>
      <c r="AA18" s="72">
        <v>18</v>
      </c>
      <c r="AB18" s="72"/>
      <c r="AC18" s="73"/>
      <c r="AD18" s="80" t="s">
        <v>722</v>
      </c>
      <c r="AE18" s="85" t="s">
        <v>762</v>
      </c>
      <c r="AF18" s="80">
        <v>308</v>
      </c>
      <c r="AG18" s="80">
        <v>370</v>
      </c>
      <c r="AH18" s="80">
        <v>3039</v>
      </c>
      <c r="AI18" s="80">
        <v>179</v>
      </c>
      <c r="AJ18" s="80"/>
      <c r="AK18" s="80" t="s">
        <v>794</v>
      </c>
      <c r="AL18" s="80" t="s">
        <v>823</v>
      </c>
      <c r="AM18" s="83" t="str">
        <f>HYPERLINK("http://t.co/7EXN8oxQN3")</f>
        <v>http://t.co/7EXN8oxQN3</v>
      </c>
      <c r="AN18" s="80"/>
      <c r="AO18" s="82">
        <v>41146.66670138889</v>
      </c>
      <c r="AP18" s="83" t="str">
        <f>HYPERLINK("https://pbs.twimg.com/profile_banners/780575006/1367170213")</f>
        <v>https://pbs.twimg.com/profile_banners/780575006/1367170213</v>
      </c>
      <c r="AQ18" s="80" t="b">
        <v>1</v>
      </c>
      <c r="AR18" s="80" t="b">
        <v>0</v>
      </c>
      <c r="AS18" s="80" t="b">
        <v>0</v>
      </c>
      <c r="AT18" s="80"/>
      <c r="AU18" s="80">
        <v>0</v>
      </c>
      <c r="AV18" s="83" t="str">
        <f>HYPERLINK("https://abs.twimg.com/images/themes/theme1/bg.png")</f>
        <v>https://abs.twimg.com/images/themes/theme1/bg.png</v>
      </c>
      <c r="AW18" s="80" t="b">
        <v>0</v>
      </c>
      <c r="AX18" s="80" t="s">
        <v>315</v>
      </c>
      <c r="AY18" s="83" t="str">
        <f>HYPERLINK("https://twitter.com/kannumix")</f>
        <v>https://twitter.com/kannumix</v>
      </c>
      <c r="AZ18" s="80" t="s">
        <v>66</v>
      </c>
      <c r="BA18" s="79" t="str">
        <f>REPLACE(INDEX(GroupVertices[Group],MATCH(Vertices[[#This Row],[Vertex]],GroupVertices[Vertex],0)),1,1,"")</f>
        <v>1</v>
      </c>
      <c r="BB18" s="49">
        <v>0</v>
      </c>
      <c r="BC18" s="50">
        <v>0</v>
      </c>
      <c r="BD18" s="49">
        <v>7</v>
      </c>
      <c r="BE18" s="50">
        <v>8.536585365853659</v>
      </c>
      <c r="BF18" s="49">
        <v>0</v>
      </c>
      <c r="BG18" s="50">
        <v>0</v>
      </c>
      <c r="BH18" s="49">
        <v>75</v>
      </c>
      <c r="BI18" s="50">
        <v>91.46341463414635</v>
      </c>
      <c r="BJ18" s="49">
        <v>82</v>
      </c>
      <c r="BK18" s="49"/>
      <c r="BL18" s="49"/>
      <c r="BM18" s="49"/>
      <c r="BN18" s="49"/>
      <c r="BO18" s="49" t="s">
        <v>596</v>
      </c>
      <c r="BP18" s="49" t="s">
        <v>596</v>
      </c>
      <c r="BQ18" s="98" t="s">
        <v>957</v>
      </c>
      <c r="BR18" s="98" t="s">
        <v>967</v>
      </c>
      <c r="BS18" s="98" t="s">
        <v>973</v>
      </c>
      <c r="BT18" s="98" t="s">
        <v>983</v>
      </c>
      <c r="BU18" s="2"/>
      <c r="BV18" s="3"/>
      <c r="BW18" s="3"/>
      <c r="BX18" s="3"/>
      <c r="BY18" s="3"/>
    </row>
    <row r="19" spans="1:77" ht="15">
      <c r="A19" s="65" t="s">
        <v>551</v>
      </c>
      <c r="B19" s="66"/>
      <c r="C19" s="66"/>
      <c r="D19" s="67">
        <v>100</v>
      </c>
      <c r="E19" s="103"/>
      <c r="F19" s="89" t="str">
        <f>HYPERLINK("https://pbs.twimg.com/profile_images/1285343621768777738/MXPb93In_normal.jpg")</f>
        <v>https://pbs.twimg.com/profile_images/1285343621768777738/MXPb93In_normal.jpg</v>
      </c>
      <c r="G19" s="104"/>
      <c r="H19" s="70" t="s">
        <v>551</v>
      </c>
      <c r="I19" s="71"/>
      <c r="J19" s="105"/>
      <c r="K19" s="70" t="s">
        <v>844</v>
      </c>
      <c r="L19" s="106">
        <v>1</v>
      </c>
      <c r="M19" s="75">
        <v>3392.35986328125</v>
      </c>
      <c r="N19" s="75">
        <v>738.2440795898438</v>
      </c>
      <c r="O19" s="76"/>
      <c r="P19" s="77"/>
      <c r="Q19" s="77"/>
      <c r="R19" s="107"/>
      <c r="S19" s="49">
        <v>0</v>
      </c>
      <c r="T19" s="49">
        <v>2</v>
      </c>
      <c r="U19" s="50">
        <v>0</v>
      </c>
      <c r="V19" s="50">
        <v>0.5</v>
      </c>
      <c r="W19" s="50">
        <v>0.098366</v>
      </c>
      <c r="X19" s="50">
        <v>0.017879</v>
      </c>
      <c r="Y19" s="50">
        <v>0.5</v>
      </c>
      <c r="Z19" s="50">
        <v>0</v>
      </c>
      <c r="AA19" s="72">
        <v>19</v>
      </c>
      <c r="AB19" s="72"/>
      <c r="AC19" s="73"/>
      <c r="AD19" s="80" t="s">
        <v>723</v>
      </c>
      <c r="AE19" s="85" t="s">
        <v>763</v>
      </c>
      <c r="AF19" s="80">
        <v>31</v>
      </c>
      <c r="AG19" s="80">
        <v>15</v>
      </c>
      <c r="AH19" s="80">
        <v>141</v>
      </c>
      <c r="AI19" s="80">
        <v>620</v>
      </c>
      <c r="AJ19" s="80"/>
      <c r="AK19" s="80" t="s">
        <v>795</v>
      </c>
      <c r="AL19" s="80"/>
      <c r="AM19" s="80"/>
      <c r="AN19" s="80"/>
      <c r="AO19" s="82">
        <v>41226.8125</v>
      </c>
      <c r="AP19" s="83" t="str">
        <f>HYPERLINK("https://pbs.twimg.com/profile_banners/946374152/1595110197")</f>
        <v>https://pbs.twimg.com/profile_banners/946374152/1595110197</v>
      </c>
      <c r="AQ19" s="80" t="b">
        <v>1</v>
      </c>
      <c r="AR19" s="80" t="b">
        <v>0</v>
      </c>
      <c r="AS19" s="80" t="b">
        <v>0</v>
      </c>
      <c r="AT19" s="80"/>
      <c r="AU19" s="80">
        <v>0</v>
      </c>
      <c r="AV19" s="83" t="str">
        <f>HYPERLINK("https://abs.twimg.com/images/themes/theme1/bg.png")</f>
        <v>https://abs.twimg.com/images/themes/theme1/bg.png</v>
      </c>
      <c r="AW19" s="80" t="b">
        <v>0</v>
      </c>
      <c r="AX19" s="80" t="s">
        <v>315</v>
      </c>
      <c r="AY19" s="83" t="str">
        <f>HYPERLINK("https://twitter.com/vlhtt")</f>
        <v>https://twitter.com/vlhtt</v>
      </c>
      <c r="AZ19" s="80" t="s">
        <v>66</v>
      </c>
      <c r="BA19" s="79" t="str">
        <f>REPLACE(INDEX(GroupVertices[Group],MATCH(Vertices[[#This Row],[Vertex]],GroupVertices[Vertex],0)),1,1,"")</f>
        <v>1</v>
      </c>
      <c r="BB19" s="49">
        <v>0</v>
      </c>
      <c r="BC19" s="50">
        <v>0</v>
      </c>
      <c r="BD19" s="49">
        <v>2</v>
      </c>
      <c r="BE19" s="50">
        <v>4.651162790697675</v>
      </c>
      <c r="BF19" s="49">
        <v>0</v>
      </c>
      <c r="BG19" s="50">
        <v>0</v>
      </c>
      <c r="BH19" s="49">
        <v>41</v>
      </c>
      <c r="BI19" s="50">
        <v>95.34883720930233</v>
      </c>
      <c r="BJ19" s="49">
        <v>43</v>
      </c>
      <c r="BK19" s="49"/>
      <c r="BL19" s="49"/>
      <c r="BM19" s="49"/>
      <c r="BN19" s="49"/>
      <c r="BO19" s="49"/>
      <c r="BP19" s="49"/>
      <c r="BQ19" s="98" t="s">
        <v>956</v>
      </c>
      <c r="BR19" s="98" t="s">
        <v>956</v>
      </c>
      <c r="BS19" s="98" t="s">
        <v>972</v>
      </c>
      <c r="BT19" s="98" t="s">
        <v>972</v>
      </c>
      <c r="BU19" s="2"/>
      <c r="BV19" s="3"/>
      <c r="BW19" s="3"/>
      <c r="BX19" s="3"/>
      <c r="BY19" s="3"/>
    </row>
    <row r="20" spans="1:77" ht="15">
      <c r="A20" s="65" t="s">
        <v>552</v>
      </c>
      <c r="B20" s="66"/>
      <c r="C20" s="66"/>
      <c r="D20" s="67">
        <v>100</v>
      </c>
      <c r="E20" s="103"/>
      <c r="F20" s="89" t="str">
        <f>HYPERLINK("https://pbs.twimg.com/profile_images/1298548197606875138/6A0WvDO0_normal.jpg")</f>
        <v>https://pbs.twimg.com/profile_images/1298548197606875138/6A0WvDO0_normal.jpg</v>
      </c>
      <c r="G20" s="104"/>
      <c r="H20" s="70" t="s">
        <v>552</v>
      </c>
      <c r="I20" s="71"/>
      <c r="J20" s="105"/>
      <c r="K20" s="70" t="s">
        <v>845</v>
      </c>
      <c r="L20" s="106">
        <v>1</v>
      </c>
      <c r="M20" s="75">
        <v>4101.681640625</v>
      </c>
      <c r="N20" s="75">
        <v>1725.212158203125</v>
      </c>
      <c r="O20" s="76"/>
      <c r="P20" s="77"/>
      <c r="Q20" s="77"/>
      <c r="R20" s="107"/>
      <c r="S20" s="49">
        <v>0</v>
      </c>
      <c r="T20" s="49">
        <v>2</v>
      </c>
      <c r="U20" s="50">
        <v>0</v>
      </c>
      <c r="V20" s="50">
        <v>0.5</v>
      </c>
      <c r="W20" s="50">
        <v>0.098366</v>
      </c>
      <c r="X20" s="50">
        <v>0.017879</v>
      </c>
      <c r="Y20" s="50">
        <v>0.5</v>
      </c>
      <c r="Z20" s="50">
        <v>0</v>
      </c>
      <c r="AA20" s="72">
        <v>20</v>
      </c>
      <c r="AB20" s="72"/>
      <c r="AC20" s="73"/>
      <c r="AD20" s="80" t="s">
        <v>724</v>
      </c>
      <c r="AE20" s="85" t="s">
        <v>764</v>
      </c>
      <c r="AF20" s="80">
        <v>4</v>
      </c>
      <c r="AG20" s="80">
        <v>13</v>
      </c>
      <c r="AH20" s="80">
        <v>1511</v>
      </c>
      <c r="AI20" s="80">
        <v>64</v>
      </c>
      <c r="AJ20" s="80"/>
      <c r="AK20" s="80"/>
      <c r="AL20" s="80"/>
      <c r="AM20" s="80"/>
      <c r="AN20" s="80"/>
      <c r="AO20" s="82">
        <v>44069.38140046296</v>
      </c>
      <c r="AP20" s="80"/>
      <c r="AQ20" s="80" t="b">
        <v>1</v>
      </c>
      <c r="AR20" s="80" t="b">
        <v>0</v>
      </c>
      <c r="AS20" s="80" t="b">
        <v>0</v>
      </c>
      <c r="AT20" s="80"/>
      <c r="AU20" s="80">
        <v>0</v>
      </c>
      <c r="AV20" s="80"/>
      <c r="AW20" s="80" t="b">
        <v>0</v>
      </c>
      <c r="AX20" s="80" t="s">
        <v>315</v>
      </c>
      <c r="AY20" s="83" t="str">
        <f>HYPERLINK("https://twitter.com/manidee33889398")</f>
        <v>https://twitter.com/manidee33889398</v>
      </c>
      <c r="AZ20" s="80" t="s">
        <v>66</v>
      </c>
      <c r="BA20" s="79" t="str">
        <f>REPLACE(INDEX(GroupVertices[Group],MATCH(Vertices[[#This Row],[Vertex]],GroupVertices[Vertex],0)),1,1,"")</f>
        <v>1</v>
      </c>
      <c r="BB20" s="49">
        <v>0</v>
      </c>
      <c r="BC20" s="50">
        <v>0</v>
      </c>
      <c r="BD20" s="49">
        <v>2</v>
      </c>
      <c r="BE20" s="50">
        <v>4.651162790697675</v>
      </c>
      <c r="BF20" s="49">
        <v>0</v>
      </c>
      <c r="BG20" s="50">
        <v>0</v>
      </c>
      <c r="BH20" s="49">
        <v>41</v>
      </c>
      <c r="BI20" s="50">
        <v>95.34883720930233</v>
      </c>
      <c r="BJ20" s="49">
        <v>43</v>
      </c>
      <c r="BK20" s="49"/>
      <c r="BL20" s="49"/>
      <c r="BM20" s="49"/>
      <c r="BN20" s="49"/>
      <c r="BO20" s="49"/>
      <c r="BP20" s="49"/>
      <c r="BQ20" s="98" t="s">
        <v>956</v>
      </c>
      <c r="BR20" s="98" t="s">
        <v>956</v>
      </c>
      <c r="BS20" s="98" t="s">
        <v>972</v>
      </c>
      <c r="BT20" s="98" t="s">
        <v>972</v>
      </c>
      <c r="BU20" s="2"/>
      <c r="BV20" s="3"/>
      <c r="BW20" s="3"/>
      <c r="BX20" s="3"/>
      <c r="BY20" s="3"/>
    </row>
    <row r="21" spans="1:77" ht="15">
      <c r="A21" s="65" t="s">
        <v>553</v>
      </c>
      <c r="B21" s="66"/>
      <c r="C21" s="66"/>
      <c r="D21" s="67">
        <v>100</v>
      </c>
      <c r="E21" s="103"/>
      <c r="F21" s="89" t="str">
        <f>HYPERLINK("https://pbs.twimg.com/profile_images/1517352149097021440/tNPvibO-_normal.jpg")</f>
        <v>https://pbs.twimg.com/profile_images/1517352149097021440/tNPvibO-_normal.jpg</v>
      </c>
      <c r="G21" s="104"/>
      <c r="H21" s="70" t="s">
        <v>553</v>
      </c>
      <c r="I21" s="71"/>
      <c r="J21" s="105"/>
      <c r="K21" s="70" t="s">
        <v>846</v>
      </c>
      <c r="L21" s="106">
        <v>1</v>
      </c>
      <c r="M21" s="75">
        <v>4608.3828125</v>
      </c>
      <c r="N21" s="75">
        <v>3718.150634765625</v>
      </c>
      <c r="O21" s="76"/>
      <c r="P21" s="77"/>
      <c r="Q21" s="77"/>
      <c r="R21" s="107"/>
      <c r="S21" s="49">
        <v>0</v>
      </c>
      <c r="T21" s="49">
        <v>2</v>
      </c>
      <c r="U21" s="50">
        <v>0</v>
      </c>
      <c r="V21" s="50">
        <v>0.5</v>
      </c>
      <c r="W21" s="50">
        <v>0.098366</v>
      </c>
      <c r="X21" s="50">
        <v>0.017879</v>
      </c>
      <c r="Y21" s="50">
        <v>0.5</v>
      </c>
      <c r="Z21" s="50">
        <v>0</v>
      </c>
      <c r="AA21" s="72">
        <v>21</v>
      </c>
      <c r="AB21" s="72"/>
      <c r="AC21" s="73"/>
      <c r="AD21" s="80" t="s">
        <v>725</v>
      </c>
      <c r="AE21" s="85" t="s">
        <v>765</v>
      </c>
      <c r="AF21" s="80">
        <v>67</v>
      </c>
      <c r="AG21" s="80">
        <v>36</v>
      </c>
      <c r="AH21" s="80">
        <v>4567</v>
      </c>
      <c r="AI21" s="80">
        <v>939</v>
      </c>
      <c r="AJ21" s="80"/>
      <c r="AK21" s="80" t="s">
        <v>796</v>
      </c>
      <c r="AL21" s="80"/>
      <c r="AM21" s="80"/>
      <c r="AN21" s="80"/>
      <c r="AO21" s="82">
        <v>44429.40792824074</v>
      </c>
      <c r="AP21" s="80"/>
      <c r="AQ21" s="80" t="b">
        <v>1</v>
      </c>
      <c r="AR21" s="80" t="b">
        <v>0</v>
      </c>
      <c r="AS21" s="80" t="b">
        <v>0</v>
      </c>
      <c r="AT21" s="80"/>
      <c r="AU21" s="80">
        <v>0</v>
      </c>
      <c r="AV21" s="80"/>
      <c r="AW21" s="80" t="b">
        <v>0</v>
      </c>
      <c r="AX21" s="80" t="s">
        <v>315</v>
      </c>
      <c r="AY21" s="83" t="str">
        <f>HYPERLINK("https://twitter.com/pen2vivek")</f>
        <v>https://twitter.com/pen2vivek</v>
      </c>
      <c r="AZ21" s="80" t="s">
        <v>66</v>
      </c>
      <c r="BA21" s="79" t="str">
        <f>REPLACE(INDEX(GroupVertices[Group],MATCH(Vertices[[#This Row],[Vertex]],GroupVertices[Vertex],0)),1,1,"")</f>
        <v>1</v>
      </c>
      <c r="BB21" s="49">
        <v>0</v>
      </c>
      <c r="BC21" s="50">
        <v>0</v>
      </c>
      <c r="BD21" s="49">
        <v>2</v>
      </c>
      <c r="BE21" s="50">
        <v>4.651162790697675</v>
      </c>
      <c r="BF21" s="49">
        <v>0</v>
      </c>
      <c r="BG21" s="50">
        <v>0</v>
      </c>
      <c r="BH21" s="49">
        <v>41</v>
      </c>
      <c r="BI21" s="50">
        <v>95.34883720930233</v>
      </c>
      <c r="BJ21" s="49">
        <v>43</v>
      </c>
      <c r="BK21" s="49"/>
      <c r="BL21" s="49"/>
      <c r="BM21" s="49"/>
      <c r="BN21" s="49"/>
      <c r="BO21" s="49"/>
      <c r="BP21" s="49"/>
      <c r="BQ21" s="98" t="s">
        <v>956</v>
      </c>
      <c r="BR21" s="98" t="s">
        <v>956</v>
      </c>
      <c r="BS21" s="98" t="s">
        <v>972</v>
      </c>
      <c r="BT21" s="98" t="s">
        <v>972</v>
      </c>
      <c r="BU21" s="2"/>
      <c r="BV21" s="3"/>
      <c r="BW21" s="3"/>
      <c r="BX21" s="3"/>
      <c r="BY21" s="3"/>
    </row>
    <row r="22" spans="1:77" ht="15">
      <c r="A22" s="65" t="s">
        <v>554</v>
      </c>
      <c r="B22" s="66"/>
      <c r="C22" s="66"/>
      <c r="D22" s="67">
        <v>100.53475882352942</v>
      </c>
      <c r="E22" s="103"/>
      <c r="F22" s="89" t="str">
        <f>HYPERLINK("https://pbs.twimg.com/profile_images/1413781999379095559/3Eq0NmhB_normal.jpg")</f>
        <v>https://pbs.twimg.com/profile_images/1413781999379095559/3Eq0NmhB_normal.jpg</v>
      </c>
      <c r="G22" s="104"/>
      <c r="H22" s="70" t="s">
        <v>554</v>
      </c>
      <c r="I22" s="71"/>
      <c r="J22" s="105"/>
      <c r="K22" s="70" t="s">
        <v>847</v>
      </c>
      <c r="L22" s="106">
        <v>1.5901826983158487</v>
      </c>
      <c r="M22" s="75">
        <v>2960.049560546875</v>
      </c>
      <c r="N22" s="75">
        <v>8452.0947265625</v>
      </c>
      <c r="O22" s="76"/>
      <c r="P22" s="77"/>
      <c r="Q22" s="77"/>
      <c r="R22" s="107"/>
      <c r="S22" s="49">
        <v>0</v>
      </c>
      <c r="T22" s="49">
        <v>3</v>
      </c>
      <c r="U22" s="50">
        <v>0.111111</v>
      </c>
      <c r="V22" s="50">
        <v>0.505263</v>
      </c>
      <c r="W22" s="50">
        <v>0.130612</v>
      </c>
      <c r="X22" s="50">
        <v>0.018147</v>
      </c>
      <c r="Y22" s="50">
        <v>0.3333333333333333</v>
      </c>
      <c r="Z22" s="50">
        <v>0</v>
      </c>
      <c r="AA22" s="72">
        <v>22</v>
      </c>
      <c r="AB22" s="72"/>
      <c r="AC22" s="73"/>
      <c r="AD22" s="80" t="s">
        <v>726</v>
      </c>
      <c r="AE22" s="85" t="s">
        <v>766</v>
      </c>
      <c r="AF22" s="80">
        <v>389</v>
      </c>
      <c r="AG22" s="80">
        <v>87</v>
      </c>
      <c r="AH22" s="80">
        <v>2445</v>
      </c>
      <c r="AI22" s="80">
        <v>2661</v>
      </c>
      <c r="AJ22" s="80"/>
      <c r="AK22" s="80" t="s">
        <v>797</v>
      </c>
      <c r="AL22" s="80" t="s">
        <v>274</v>
      </c>
      <c r="AM22" s="80"/>
      <c r="AN22" s="80"/>
      <c r="AO22" s="82">
        <v>44061.6559375</v>
      </c>
      <c r="AP22" s="83" t="str">
        <f>HYPERLINK("https://pbs.twimg.com/profile_banners/1295748297529884673/1615137964")</f>
        <v>https://pbs.twimg.com/profile_banners/1295748297529884673/1615137964</v>
      </c>
      <c r="AQ22" s="80" t="b">
        <v>1</v>
      </c>
      <c r="AR22" s="80" t="b">
        <v>0</v>
      </c>
      <c r="AS22" s="80" t="b">
        <v>0</v>
      </c>
      <c r="AT22" s="80"/>
      <c r="AU22" s="80">
        <v>0</v>
      </c>
      <c r="AV22" s="80"/>
      <c r="AW22" s="80" t="b">
        <v>0</v>
      </c>
      <c r="AX22" s="80" t="s">
        <v>315</v>
      </c>
      <c r="AY22" s="83" t="str">
        <f>HYPERLINK("https://twitter.com/jatinde45666597")</f>
        <v>https://twitter.com/jatinde45666597</v>
      </c>
      <c r="AZ22" s="80" t="s">
        <v>66</v>
      </c>
      <c r="BA22" s="79" t="str">
        <f>REPLACE(INDEX(GroupVertices[Group],MATCH(Vertices[[#This Row],[Vertex]],GroupVertices[Vertex],0)),1,1,"")</f>
        <v>1</v>
      </c>
      <c r="BB22" s="49">
        <v>0</v>
      </c>
      <c r="BC22" s="50">
        <v>0</v>
      </c>
      <c r="BD22" s="49">
        <v>7</v>
      </c>
      <c r="BE22" s="50">
        <v>8.536585365853659</v>
      </c>
      <c r="BF22" s="49">
        <v>0</v>
      </c>
      <c r="BG22" s="50">
        <v>0</v>
      </c>
      <c r="BH22" s="49">
        <v>75</v>
      </c>
      <c r="BI22" s="50">
        <v>91.46341463414635</v>
      </c>
      <c r="BJ22" s="49">
        <v>82</v>
      </c>
      <c r="BK22" s="49"/>
      <c r="BL22" s="49"/>
      <c r="BM22" s="49"/>
      <c r="BN22" s="49"/>
      <c r="BO22" s="49" t="s">
        <v>596</v>
      </c>
      <c r="BP22" s="49" t="s">
        <v>596</v>
      </c>
      <c r="BQ22" s="98" t="s">
        <v>957</v>
      </c>
      <c r="BR22" s="98" t="s">
        <v>967</v>
      </c>
      <c r="BS22" s="98" t="s">
        <v>973</v>
      </c>
      <c r="BT22" s="98" t="s">
        <v>983</v>
      </c>
      <c r="BU22" s="2"/>
      <c r="BV22" s="3"/>
      <c r="BW22" s="3"/>
      <c r="BX22" s="3"/>
      <c r="BY22" s="3"/>
    </row>
    <row r="23" spans="1:77" ht="15">
      <c r="A23" s="65" t="s">
        <v>555</v>
      </c>
      <c r="B23" s="66"/>
      <c r="C23" s="66"/>
      <c r="D23" s="67">
        <v>119.78609572192514</v>
      </c>
      <c r="E23" s="103"/>
      <c r="F23" s="89" t="str">
        <f>HYPERLINK("https://pbs.twimg.com/profile_images/1092876231463165952/gkmTL7e8_normal.jpg")</f>
        <v>https://pbs.twimg.com/profile_images/1092876231463165952/gkmTL7e8_normal.jpg</v>
      </c>
      <c r="G23" s="104"/>
      <c r="H23" s="70" t="s">
        <v>555</v>
      </c>
      <c r="I23" s="71"/>
      <c r="J23" s="105"/>
      <c r="K23" s="70" t="s">
        <v>848</v>
      </c>
      <c r="L23" s="106">
        <v>22.83678108428479</v>
      </c>
      <c r="M23" s="75">
        <v>8757.6279296875</v>
      </c>
      <c r="N23" s="75">
        <v>1238.1939697265625</v>
      </c>
      <c r="O23" s="76"/>
      <c r="P23" s="77"/>
      <c r="Q23" s="77"/>
      <c r="R23" s="107"/>
      <c r="S23" s="49">
        <v>1</v>
      </c>
      <c r="T23" s="49">
        <v>4</v>
      </c>
      <c r="U23" s="50">
        <v>4.111111</v>
      </c>
      <c r="V23" s="50">
        <v>0.516129</v>
      </c>
      <c r="W23" s="50">
        <v>0.149055</v>
      </c>
      <c r="X23" s="50">
        <v>0.020066</v>
      </c>
      <c r="Y23" s="50">
        <v>0.25</v>
      </c>
      <c r="Z23" s="50">
        <v>0</v>
      </c>
      <c r="AA23" s="72">
        <v>23</v>
      </c>
      <c r="AB23" s="72"/>
      <c r="AC23" s="73"/>
      <c r="AD23" s="80" t="s">
        <v>727</v>
      </c>
      <c r="AE23" s="85" t="s">
        <v>767</v>
      </c>
      <c r="AF23" s="80">
        <v>69</v>
      </c>
      <c r="AG23" s="80">
        <v>4</v>
      </c>
      <c r="AH23" s="80">
        <v>148</v>
      </c>
      <c r="AI23" s="80">
        <v>161</v>
      </c>
      <c r="AJ23" s="80"/>
      <c r="AK23" s="80" t="s">
        <v>798</v>
      </c>
      <c r="AL23" s="80" t="s">
        <v>274</v>
      </c>
      <c r="AM23" s="80"/>
      <c r="AN23" s="80"/>
      <c r="AO23" s="82">
        <v>43500.982094907406</v>
      </c>
      <c r="AP23" s="80"/>
      <c r="AQ23" s="80" t="b">
        <v>1</v>
      </c>
      <c r="AR23" s="80" t="b">
        <v>0</v>
      </c>
      <c r="AS23" s="80" t="b">
        <v>1</v>
      </c>
      <c r="AT23" s="80"/>
      <c r="AU23" s="80">
        <v>0</v>
      </c>
      <c r="AV23" s="80"/>
      <c r="AW23" s="80" t="b">
        <v>0</v>
      </c>
      <c r="AX23" s="80" t="s">
        <v>315</v>
      </c>
      <c r="AY23" s="83" t="str">
        <f>HYPERLINK("https://twitter.com/hardikp59369014")</f>
        <v>https://twitter.com/hardikp59369014</v>
      </c>
      <c r="AZ23" s="80" t="s">
        <v>66</v>
      </c>
      <c r="BA23" s="79" t="str">
        <f>REPLACE(INDEX(GroupVertices[Group],MATCH(Vertices[[#This Row],[Vertex]],GroupVertices[Vertex],0)),1,1,"")</f>
        <v>4</v>
      </c>
      <c r="BB23" s="49">
        <v>0</v>
      </c>
      <c r="BC23" s="50">
        <v>0</v>
      </c>
      <c r="BD23" s="49">
        <v>8</v>
      </c>
      <c r="BE23" s="50">
        <v>9.30232558139535</v>
      </c>
      <c r="BF23" s="49">
        <v>0</v>
      </c>
      <c r="BG23" s="50">
        <v>0</v>
      </c>
      <c r="BH23" s="49">
        <v>78</v>
      </c>
      <c r="BI23" s="50">
        <v>90.69767441860465</v>
      </c>
      <c r="BJ23" s="49">
        <v>86</v>
      </c>
      <c r="BK23" s="49"/>
      <c r="BL23" s="49"/>
      <c r="BM23" s="49"/>
      <c r="BN23" s="49"/>
      <c r="BO23" s="49" t="s">
        <v>596</v>
      </c>
      <c r="BP23" s="49" t="s">
        <v>596</v>
      </c>
      <c r="BQ23" s="98" t="s">
        <v>958</v>
      </c>
      <c r="BR23" s="98" t="s">
        <v>968</v>
      </c>
      <c r="BS23" s="98" t="s">
        <v>974</v>
      </c>
      <c r="BT23" s="98" t="s">
        <v>984</v>
      </c>
      <c r="BU23" s="2"/>
      <c r="BV23" s="3"/>
      <c r="BW23" s="3"/>
      <c r="BX23" s="3"/>
      <c r="BY23" s="3"/>
    </row>
    <row r="24" spans="1:77" ht="15">
      <c r="A24" s="65" t="s">
        <v>520</v>
      </c>
      <c r="B24" s="66"/>
      <c r="C24" s="66"/>
      <c r="D24" s="67">
        <v>100</v>
      </c>
      <c r="E24" s="103"/>
      <c r="F24" s="89" t="str">
        <f>HYPERLINK("https://pbs.twimg.com/profile_images/466351406090186752/Zym_9Hv3_normal.png")</f>
        <v>https://pbs.twimg.com/profile_images/466351406090186752/Zym_9Hv3_normal.png</v>
      </c>
      <c r="G24" s="104"/>
      <c r="H24" s="70" t="s">
        <v>520</v>
      </c>
      <c r="I24" s="71"/>
      <c r="J24" s="105"/>
      <c r="K24" s="70" t="s">
        <v>534</v>
      </c>
      <c r="L24" s="106">
        <v>1</v>
      </c>
      <c r="M24" s="75">
        <v>8757.6279296875</v>
      </c>
      <c r="N24" s="75">
        <v>2780.095703125</v>
      </c>
      <c r="O24" s="76"/>
      <c r="P24" s="77"/>
      <c r="Q24" s="77"/>
      <c r="R24" s="107"/>
      <c r="S24" s="49">
        <v>3</v>
      </c>
      <c r="T24" s="49">
        <v>0</v>
      </c>
      <c r="U24" s="50">
        <v>0</v>
      </c>
      <c r="V24" s="50">
        <v>0.505263</v>
      </c>
      <c r="W24" s="50">
        <v>0.086742</v>
      </c>
      <c r="X24" s="50">
        <v>0.019185</v>
      </c>
      <c r="Y24" s="50">
        <v>0.5</v>
      </c>
      <c r="Z24" s="50">
        <v>0</v>
      </c>
      <c r="AA24" s="72">
        <v>24</v>
      </c>
      <c r="AB24" s="72"/>
      <c r="AC24" s="73"/>
      <c r="AD24" s="80" t="s">
        <v>525</v>
      </c>
      <c r="AE24" s="85" t="s">
        <v>523</v>
      </c>
      <c r="AF24" s="80">
        <v>540</v>
      </c>
      <c r="AG24" s="80">
        <v>21102</v>
      </c>
      <c r="AH24" s="80">
        <v>4375</v>
      </c>
      <c r="AI24" s="80">
        <v>1019</v>
      </c>
      <c r="AJ24" s="80"/>
      <c r="AK24" s="80" t="s">
        <v>531</v>
      </c>
      <c r="AL24" s="80" t="s">
        <v>273</v>
      </c>
      <c r="AM24" s="83" t="str">
        <f>HYPERLINK("https://t.co/swUAD0XnUH")</f>
        <v>https://t.co/swUAD0XnUH</v>
      </c>
      <c r="AN24" s="80"/>
      <c r="AO24" s="82">
        <v>40989.92130787037</v>
      </c>
      <c r="AP24" s="83" t="str">
        <f>HYPERLINK("https://pbs.twimg.com/profile_banners/532682706/1639348725")</f>
        <v>https://pbs.twimg.com/profile_banners/532682706/1639348725</v>
      </c>
      <c r="AQ24" s="80" t="b">
        <v>0</v>
      </c>
      <c r="AR24" s="80" t="b">
        <v>0</v>
      </c>
      <c r="AS24" s="80" t="b">
        <v>0</v>
      </c>
      <c r="AT24" s="80"/>
      <c r="AU24" s="80">
        <v>215</v>
      </c>
      <c r="AV24" s="83" t="str">
        <f>HYPERLINK("https://abs.twimg.com/images/themes/theme14/bg.gif")</f>
        <v>https://abs.twimg.com/images/themes/theme14/bg.gif</v>
      </c>
      <c r="AW24" s="80" t="b">
        <v>1</v>
      </c>
      <c r="AX24" s="80" t="s">
        <v>315</v>
      </c>
      <c r="AY24" s="83" t="str">
        <f>HYPERLINK("https://twitter.com/mbiegovtnz")</f>
        <v>https://twitter.com/mbiegovtnz</v>
      </c>
      <c r="AZ24" s="80" t="s">
        <v>65</v>
      </c>
      <c r="BA24" s="79"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556</v>
      </c>
      <c r="B25" s="66"/>
      <c r="C25" s="66"/>
      <c r="D25" s="67">
        <v>100</v>
      </c>
      <c r="E25" s="103"/>
      <c r="F25" s="89" t="str">
        <f>HYPERLINK("https://pbs.twimg.com/profile_images/1357227655876272128/3dpMLIyf_normal.jpg")</f>
        <v>https://pbs.twimg.com/profile_images/1357227655876272128/3dpMLIyf_normal.jpg</v>
      </c>
      <c r="G25" s="104"/>
      <c r="H25" s="70" t="s">
        <v>556</v>
      </c>
      <c r="I25" s="71"/>
      <c r="J25" s="105"/>
      <c r="K25" s="70" t="s">
        <v>849</v>
      </c>
      <c r="L25" s="106">
        <v>1</v>
      </c>
      <c r="M25" s="75">
        <v>9471.841796875</v>
      </c>
      <c r="N25" s="75">
        <v>2780.095703125</v>
      </c>
      <c r="O25" s="76"/>
      <c r="P25" s="77"/>
      <c r="Q25" s="77"/>
      <c r="R25" s="107"/>
      <c r="S25" s="49">
        <v>0</v>
      </c>
      <c r="T25" s="49">
        <v>3</v>
      </c>
      <c r="U25" s="50">
        <v>0</v>
      </c>
      <c r="V25" s="50">
        <v>0.505263</v>
      </c>
      <c r="W25" s="50">
        <v>0.086742</v>
      </c>
      <c r="X25" s="50">
        <v>0.019185</v>
      </c>
      <c r="Y25" s="50">
        <v>0.5</v>
      </c>
      <c r="Z25" s="50">
        <v>0</v>
      </c>
      <c r="AA25" s="72">
        <v>25</v>
      </c>
      <c r="AB25" s="72"/>
      <c r="AC25" s="73"/>
      <c r="AD25" s="80" t="s">
        <v>728</v>
      </c>
      <c r="AE25" s="85" t="s">
        <v>768</v>
      </c>
      <c r="AF25" s="80">
        <v>33</v>
      </c>
      <c r="AG25" s="80">
        <v>20</v>
      </c>
      <c r="AH25" s="80">
        <v>384</v>
      </c>
      <c r="AI25" s="80">
        <v>276</v>
      </c>
      <c r="AJ25" s="80"/>
      <c r="AK25" s="80" t="s">
        <v>799</v>
      </c>
      <c r="AL25" s="80" t="s">
        <v>273</v>
      </c>
      <c r="AM25" s="80"/>
      <c r="AN25" s="80"/>
      <c r="AO25" s="82">
        <v>44231.300891203704</v>
      </c>
      <c r="AP25" s="83" t="str">
        <f>HYPERLINK("https://pbs.twimg.com/profile_banners/1357225629603794944/1614052187")</f>
        <v>https://pbs.twimg.com/profile_banners/1357225629603794944/1614052187</v>
      </c>
      <c r="AQ25" s="80" t="b">
        <v>1</v>
      </c>
      <c r="AR25" s="80" t="b">
        <v>0</v>
      </c>
      <c r="AS25" s="80" t="b">
        <v>0</v>
      </c>
      <c r="AT25" s="80"/>
      <c r="AU25" s="80">
        <v>0</v>
      </c>
      <c r="AV25" s="80"/>
      <c r="AW25" s="80" t="b">
        <v>0</v>
      </c>
      <c r="AX25" s="80" t="s">
        <v>315</v>
      </c>
      <c r="AY25" s="83" t="str">
        <f>HYPERLINK("https://twitter.com/bumrahgarry")</f>
        <v>https://twitter.com/bumrahgarry</v>
      </c>
      <c r="AZ25" s="80" t="s">
        <v>66</v>
      </c>
      <c r="BA25" s="79" t="str">
        <f>REPLACE(INDEX(GroupVertices[Group],MATCH(Vertices[[#This Row],[Vertex]],GroupVertices[Vertex],0)),1,1,"")</f>
        <v>4</v>
      </c>
      <c r="BB25" s="49">
        <v>0</v>
      </c>
      <c r="BC25" s="50">
        <v>0</v>
      </c>
      <c r="BD25" s="49">
        <v>1</v>
      </c>
      <c r="BE25" s="50">
        <v>25</v>
      </c>
      <c r="BF25" s="49">
        <v>0</v>
      </c>
      <c r="BG25" s="50">
        <v>0</v>
      </c>
      <c r="BH25" s="49">
        <v>3</v>
      </c>
      <c r="BI25" s="50">
        <v>75</v>
      </c>
      <c r="BJ25" s="49">
        <v>4</v>
      </c>
      <c r="BK25" s="49"/>
      <c r="BL25" s="49"/>
      <c r="BM25" s="49"/>
      <c r="BN25" s="49"/>
      <c r="BO25" s="49"/>
      <c r="BP25" s="49"/>
      <c r="BQ25" s="98" t="s">
        <v>959</v>
      </c>
      <c r="BR25" s="98" t="s">
        <v>959</v>
      </c>
      <c r="BS25" s="98" t="s">
        <v>975</v>
      </c>
      <c r="BT25" s="98" t="s">
        <v>975</v>
      </c>
      <c r="BU25" s="2"/>
      <c r="BV25" s="3"/>
      <c r="BW25" s="3"/>
      <c r="BX25" s="3"/>
      <c r="BY25" s="3"/>
    </row>
    <row r="26" spans="1:77" ht="15">
      <c r="A26" s="65" t="s">
        <v>557</v>
      </c>
      <c r="B26" s="66"/>
      <c r="C26" s="66"/>
      <c r="D26" s="67">
        <v>105.34759304812835</v>
      </c>
      <c r="E26" s="103"/>
      <c r="F26" s="89" t="str">
        <f>HYPERLINK("https://pbs.twimg.com/profile_images/1495241009025806336/2f7q23Cn_normal.jpg")</f>
        <v>https://pbs.twimg.com/profile_images/1495241009025806336/2f7q23Cn_normal.jpg</v>
      </c>
      <c r="G26" s="104"/>
      <c r="H26" s="70" t="s">
        <v>557</v>
      </c>
      <c r="I26" s="71"/>
      <c r="J26" s="105"/>
      <c r="K26" s="70" t="s">
        <v>850</v>
      </c>
      <c r="L26" s="106">
        <v>6.9018322948080835</v>
      </c>
      <c r="M26" s="75">
        <v>1397.94140625</v>
      </c>
      <c r="N26" s="75">
        <v>4506.2626953125</v>
      </c>
      <c r="O26" s="76"/>
      <c r="P26" s="77"/>
      <c r="Q26" s="77"/>
      <c r="R26" s="107"/>
      <c r="S26" s="49">
        <v>0</v>
      </c>
      <c r="T26" s="49">
        <v>4</v>
      </c>
      <c r="U26" s="50">
        <v>1.111111</v>
      </c>
      <c r="V26" s="50">
        <v>0.510638</v>
      </c>
      <c r="W26" s="50">
        <v>0.141983</v>
      </c>
      <c r="X26" s="50">
        <v>0.018888</v>
      </c>
      <c r="Y26" s="50">
        <v>0.3333333333333333</v>
      </c>
      <c r="Z26" s="50">
        <v>0</v>
      </c>
      <c r="AA26" s="72">
        <v>26</v>
      </c>
      <c r="AB26" s="72"/>
      <c r="AC26" s="73"/>
      <c r="AD26" s="80" t="s">
        <v>729</v>
      </c>
      <c r="AE26" s="85" t="s">
        <v>769</v>
      </c>
      <c r="AF26" s="80">
        <v>48</v>
      </c>
      <c r="AG26" s="80">
        <v>5</v>
      </c>
      <c r="AH26" s="80">
        <v>293</v>
      </c>
      <c r="AI26" s="80">
        <v>313</v>
      </c>
      <c r="AJ26" s="80"/>
      <c r="AK26" s="80" t="s">
        <v>800</v>
      </c>
      <c r="AL26" s="80"/>
      <c r="AM26" s="80"/>
      <c r="AN26" s="80"/>
      <c r="AO26" s="82">
        <v>44612.149722222224</v>
      </c>
      <c r="AP26" s="80"/>
      <c r="AQ26" s="80" t="b">
        <v>1</v>
      </c>
      <c r="AR26" s="80" t="b">
        <v>0</v>
      </c>
      <c r="AS26" s="80" t="b">
        <v>0</v>
      </c>
      <c r="AT26" s="80"/>
      <c r="AU26" s="80">
        <v>0</v>
      </c>
      <c r="AV26" s="80"/>
      <c r="AW26" s="80" t="b">
        <v>0</v>
      </c>
      <c r="AX26" s="80" t="s">
        <v>315</v>
      </c>
      <c r="AY26" s="83" t="str">
        <f>HYPERLINK("https://twitter.com/kulbir51059784")</f>
        <v>https://twitter.com/kulbir51059784</v>
      </c>
      <c r="AZ26" s="80" t="s">
        <v>66</v>
      </c>
      <c r="BA26" s="79" t="str">
        <f>REPLACE(INDEX(GroupVertices[Group],MATCH(Vertices[[#This Row],[Vertex]],GroupVertices[Vertex],0)),1,1,"")</f>
        <v>1</v>
      </c>
      <c r="BB26" s="49">
        <v>0</v>
      </c>
      <c r="BC26" s="50">
        <v>0</v>
      </c>
      <c r="BD26" s="49">
        <v>9</v>
      </c>
      <c r="BE26" s="50">
        <v>7.5</v>
      </c>
      <c r="BF26" s="49">
        <v>0</v>
      </c>
      <c r="BG26" s="50">
        <v>0</v>
      </c>
      <c r="BH26" s="49">
        <v>111</v>
      </c>
      <c r="BI26" s="50">
        <v>92.5</v>
      </c>
      <c r="BJ26" s="49">
        <v>120</v>
      </c>
      <c r="BK26" s="49"/>
      <c r="BL26" s="49"/>
      <c r="BM26" s="49"/>
      <c r="BN26" s="49"/>
      <c r="BO26" s="49" t="s">
        <v>596</v>
      </c>
      <c r="BP26" s="49" t="s">
        <v>596</v>
      </c>
      <c r="BQ26" s="98" t="s">
        <v>960</v>
      </c>
      <c r="BR26" s="98" t="s">
        <v>960</v>
      </c>
      <c r="BS26" s="98" t="s">
        <v>976</v>
      </c>
      <c r="BT26" s="98" t="s">
        <v>976</v>
      </c>
      <c r="BU26" s="2"/>
      <c r="BV26" s="3"/>
      <c r="BW26" s="3"/>
      <c r="BX26" s="3"/>
      <c r="BY26" s="3"/>
    </row>
    <row r="27" spans="1:77" ht="15">
      <c r="A27" s="65" t="s">
        <v>562</v>
      </c>
      <c r="B27" s="66"/>
      <c r="C27" s="66"/>
      <c r="D27" s="67">
        <v>107.2192513368984</v>
      </c>
      <c r="E27" s="103"/>
      <c r="F27" s="89" t="str">
        <f>HYPERLINK("https://pbs.twimg.com/profile_images/1368203740499509259/fiGeF3mQ_normal.jpg")</f>
        <v>https://pbs.twimg.com/profile_images/1368203740499509259/fiGeF3mQ_normal.jpg</v>
      </c>
      <c r="G27" s="104"/>
      <c r="H27" s="70" t="s">
        <v>562</v>
      </c>
      <c r="I27" s="71"/>
      <c r="J27" s="105"/>
      <c r="K27" s="70" t="s">
        <v>851</v>
      </c>
      <c r="L27" s="106">
        <v>8.967474394738353</v>
      </c>
      <c r="M27" s="75">
        <v>279.29180908203125</v>
      </c>
      <c r="N27" s="75">
        <v>3705.1708984375</v>
      </c>
      <c r="O27" s="76"/>
      <c r="P27" s="77"/>
      <c r="Q27" s="77"/>
      <c r="R27" s="107"/>
      <c r="S27" s="49">
        <v>4</v>
      </c>
      <c r="T27" s="49">
        <v>1</v>
      </c>
      <c r="U27" s="50">
        <v>1.5</v>
      </c>
      <c r="V27" s="50">
        <v>0.510638</v>
      </c>
      <c r="W27" s="50">
        <v>0.106958</v>
      </c>
      <c r="X27" s="50">
        <v>0.019749</v>
      </c>
      <c r="Y27" s="50">
        <v>0.25</v>
      </c>
      <c r="Z27" s="50">
        <v>0.25</v>
      </c>
      <c r="AA27" s="72">
        <v>27</v>
      </c>
      <c r="AB27" s="72"/>
      <c r="AC27" s="73"/>
      <c r="AD27" s="80" t="s">
        <v>730</v>
      </c>
      <c r="AE27" s="85" t="s">
        <v>710</v>
      </c>
      <c r="AF27" s="80">
        <v>83</v>
      </c>
      <c r="AG27" s="80">
        <v>80</v>
      </c>
      <c r="AH27" s="80">
        <v>956</v>
      </c>
      <c r="AI27" s="80">
        <v>109</v>
      </c>
      <c r="AJ27" s="80"/>
      <c r="AK27" s="80" t="s">
        <v>801</v>
      </c>
      <c r="AL27" s="80" t="s">
        <v>311</v>
      </c>
      <c r="AM27" s="80"/>
      <c r="AN27" s="80"/>
      <c r="AO27" s="82">
        <v>44032.690358796295</v>
      </c>
      <c r="AP27" s="80"/>
      <c r="AQ27" s="80" t="b">
        <v>1</v>
      </c>
      <c r="AR27" s="80" t="b">
        <v>0</v>
      </c>
      <c r="AS27" s="80" t="b">
        <v>0</v>
      </c>
      <c r="AT27" s="80"/>
      <c r="AU27" s="80">
        <v>0</v>
      </c>
      <c r="AV27" s="80"/>
      <c r="AW27" s="80" t="b">
        <v>0</v>
      </c>
      <c r="AX27" s="80" t="s">
        <v>315</v>
      </c>
      <c r="AY27" s="83" t="str">
        <f>HYPERLINK("https://twitter.com/gurisydney")</f>
        <v>https://twitter.com/gurisydney</v>
      </c>
      <c r="AZ27" s="80" t="s">
        <v>66</v>
      </c>
      <c r="BA27" s="79" t="str">
        <f>REPLACE(INDEX(GroupVertices[Group],MATCH(Vertices[[#This Row],[Vertex]],GroupVertices[Vertex],0)),1,1,"")</f>
        <v>1</v>
      </c>
      <c r="BB27" s="49">
        <v>0</v>
      </c>
      <c r="BC27" s="50">
        <v>0</v>
      </c>
      <c r="BD27" s="49">
        <v>2</v>
      </c>
      <c r="BE27" s="50">
        <v>4.444444444444445</v>
      </c>
      <c r="BF27" s="49">
        <v>0</v>
      </c>
      <c r="BG27" s="50">
        <v>0</v>
      </c>
      <c r="BH27" s="49">
        <v>43</v>
      </c>
      <c r="BI27" s="50">
        <v>95.55555555555556</v>
      </c>
      <c r="BJ27" s="49">
        <v>45</v>
      </c>
      <c r="BK27" s="49"/>
      <c r="BL27" s="49"/>
      <c r="BM27" s="49"/>
      <c r="BN27" s="49"/>
      <c r="BO27" s="49"/>
      <c r="BP27" s="49"/>
      <c r="BQ27" s="98" t="s">
        <v>961</v>
      </c>
      <c r="BR27" s="98" t="s">
        <v>961</v>
      </c>
      <c r="BS27" s="98" t="s">
        <v>977</v>
      </c>
      <c r="BT27" s="98" t="s">
        <v>977</v>
      </c>
      <c r="BU27" s="2"/>
      <c r="BV27" s="3"/>
      <c r="BW27" s="3"/>
      <c r="BX27" s="3"/>
      <c r="BY27" s="3"/>
    </row>
    <row r="28" spans="1:77" ht="15">
      <c r="A28" s="65" t="s">
        <v>558</v>
      </c>
      <c r="B28" s="66"/>
      <c r="C28" s="66"/>
      <c r="D28" s="67">
        <v>105.34759304812835</v>
      </c>
      <c r="E28" s="103"/>
      <c r="F28" s="89" t="str">
        <f>HYPERLINK("https://abs.twimg.com/sticky/default_profile_images/default_profile_normal.png")</f>
        <v>https://abs.twimg.com/sticky/default_profile_images/default_profile_normal.png</v>
      </c>
      <c r="G28" s="104"/>
      <c r="H28" s="70" t="s">
        <v>558</v>
      </c>
      <c r="I28" s="71"/>
      <c r="J28" s="105"/>
      <c r="K28" s="70" t="s">
        <v>852</v>
      </c>
      <c r="L28" s="106">
        <v>6.9018322948080835</v>
      </c>
      <c r="M28" s="75">
        <v>1338.94873046875</v>
      </c>
      <c r="N28" s="75">
        <v>5995.443359375</v>
      </c>
      <c r="O28" s="76"/>
      <c r="P28" s="77"/>
      <c r="Q28" s="77"/>
      <c r="R28" s="107"/>
      <c r="S28" s="49">
        <v>0</v>
      </c>
      <c r="T28" s="49">
        <v>4</v>
      </c>
      <c r="U28" s="50">
        <v>1.111111</v>
      </c>
      <c r="V28" s="50">
        <v>0.510638</v>
      </c>
      <c r="W28" s="50">
        <v>0.141983</v>
      </c>
      <c r="X28" s="50">
        <v>0.018888</v>
      </c>
      <c r="Y28" s="50">
        <v>0.3333333333333333</v>
      </c>
      <c r="Z28" s="50">
        <v>0</v>
      </c>
      <c r="AA28" s="72">
        <v>28</v>
      </c>
      <c r="AB28" s="72"/>
      <c r="AC28" s="73"/>
      <c r="AD28" s="80" t="s">
        <v>731</v>
      </c>
      <c r="AE28" s="85" t="s">
        <v>770</v>
      </c>
      <c r="AF28" s="80">
        <v>3</v>
      </c>
      <c r="AG28" s="80">
        <v>7</v>
      </c>
      <c r="AH28" s="80">
        <v>358</v>
      </c>
      <c r="AI28" s="80">
        <v>357</v>
      </c>
      <c r="AJ28" s="80"/>
      <c r="AK28" s="80"/>
      <c r="AL28" s="80"/>
      <c r="AM28" s="80"/>
      <c r="AN28" s="80"/>
      <c r="AO28" s="82">
        <v>44637.74855324074</v>
      </c>
      <c r="AP28" s="80"/>
      <c r="AQ28" s="80" t="b">
        <v>1</v>
      </c>
      <c r="AR28" s="80" t="b">
        <v>1</v>
      </c>
      <c r="AS28" s="80" t="b">
        <v>0</v>
      </c>
      <c r="AT28" s="80"/>
      <c r="AU28" s="80">
        <v>0</v>
      </c>
      <c r="AV28" s="80"/>
      <c r="AW28" s="80" t="b">
        <v>0</v>
      </c>
      <c r="AX28" s="80" t="s">
        <v>315</v>
      </c>
      <c r="AY28" s="83" t="str">
        <f>HYPERLINK("https://twitter.com/hargurpreetkau4")</f>
        <v>https://twitter.com/hargurpreetkau4</v>
      </c>
      <c r="AZ28" s="80" t="s">
        <v>66</v>
      </c>
      <c r="BA28" s="79" t="str">
        <f>REPLACE(INDEX(GroupVertices[Group],MATCH(Vertices[[#This Row],[Vertex]],GroupVertices[Vertex],0)),1,1,"")</f>
        <v>1</v>
      </c>
      <c r="BB28" s="49">
        <v>0</v>
      </c>
      <c r="BC28" s="50">
        <v>0</v>
      </c>
      <c r="BD28" s="49">
        <v>9</v>
      </c>
      <c r="BE28" s="50">
        <v>7.5</v>
      </c>
      <c r="BF28" s="49">
        <v>0</v>
      </c>
      <c r="BG28" s="50">
        <v>0</v>
      </c>
      <c r="BH28" s="49">
        <v>111</v>
      </c>
      <c r="BI28" s="50">
        <v>92.5</v>
      </c>
      <c r="BJ28" s="49">
        <v>120</v>
      </c>
      <c r="BK28" s="49"/>
      <c r="BL28" s="49"/>
      <c r="BM28" s="49"/>
      <c r="BN28" s="49"/>
      <c r="BO28" s="49" t="s">
        <v>596</v>
      </c>
      <c r="BP28" s="49" t="s">
        <v>596</v>
      </c>
      <c r="BQ28" s="98" t="s">
        <v>960</v>
      </c>
      <c r="BR28" s="98" t="s">
        <v>960</v>
      </c>
      <c r="BS28" s="98" t="s">
        <v>976</v>
      </c>
      <c r="BT28" s="98" t="s">
        <v>976</v>
      </c>
      <c r="BU28" s="2"/>
      <c r="BV28" s="3"/>
      <c r="BW28" s="3"/>
      <c r="BX28" s="3"/>
      <c r="BY28" s="3"/>
    </row>
    <row r="29" spans="1:77" ht="15">
      <c r="A29" s="65" t="s">
        <v>564</v>
      </c>
      <c r="B29" s="66"/>
      <c r="C29" s="66"/>
      <c r="D29" s="67">
        <v>100</v>
      </c>
      <c r="E29" s="103"/>
      <c r="F29" s="89" t="str">
        <f>HYPERLINK("https://pbs.twimg.com/profile_images/1484470485136011274/5hBc8tI2_normal.jpg")</f>
        <v>https://pbs.twimg.com/profile_images/1484470485136011274/5hBc8tI2_normal.jpg</v>
      </c>
      <c r="G29" s="104"/>
      <c r="H29" s="70" t="s">
        <v>564</v>
      </c>
      <c r="I29" s="71"/>
      <c r="J29" s="105"/>
      <c r="K29" s="70" t="s">
        <v>853</v>
      </c>
      <c r="L29" s="106">
        <v>1</v>
      </c>
      <c r="M29" s="75">
        <v>5260.2841796875</v>
      </c>
      <c r="N29" s="75">
        <v>1960.983154296875</v>
      </c>
      <c r="O29" s="76"/>
      <c r="P29" s="77"/>
      <c r="Q29" s="77"/>
      <c r="R29" s="107"/>
      <c r="S29" s="49">
        <v>1</v>
      </c>
      <c r="T29" s="49">
        <v>0</v>
      </c>
      <c r="U29" s="50">
        <v>0</v>
      </c>
      <c r="V29" s="50">
        <v>0.494845</v>
      </c>
      <c r="W29" s="50">
        <v>0.061674</v>
      </c>
      <c r="X29" s="50">
        <v>0.017624</v>
      </c>
      <c r="Y29" s="50">
        <v>0</v>
      </c>
      <c r="Z29" s="50">
        <v>0</v>
      </c>
      <c r="AA29" s="72">
        <v>29</v>
      </c>
      <c r="AB29" s="72"/>
      <c r="AC29" s="73"/>
      <c r="AD29" s="80" t="s">
        <v>732</v>
      </c>
      <c r="AE29" s="85" t="s">
        <v>771</v>
      </c>
      <c r="AF29" s="80">
        <v>11</v>
      </c>
      <c r="AG29" s="80">
        <v>1565387</v>
      </c>
      <c r="AH29" s="80">
        <v>5708</v>
      </c>
      <c r="AI29" s="80">
        <v>220</v>
      </c>
      <c r="AJ29" s="80"/>
      <c r="AK29" s="80" t="s">
        <v>802</v>
      </c>
      <c r="AL29" s="80" t="s">
        <v>824</v>
      </c>
      <c r="AM29" s="80"/>
      <c r="AN29" s="80"/>
      <c r="AO29" s="82">
        <v>42857.464050925926</v>
      </c>
      <c r="AP29" s="83" t="str">
        <f>HYPERLINK("https://pbs.twimg.com/profile_banners/859363899291742210/1642760320")</f>
        <v>https://pbs.twimg.com/profile_banners/859363899291742210/1642760320</v>
      </c>
      <c r="AQ29" s="80" t="b">
        <v>1</v>
      </c>
      <c r="AR29" s="80" t="b">
        <v>0</v>
      </c>
      <c r="AS29" s="80" t="b">
        <v>1</v>
      </c>
      <c r="AT29" s="80"/>
      <c r="AU29" s="80">
        <v>1076</v>
      </c>
      <c r="AV29" s="80"/>
      <c r="AW29" s="80" t="b">
        <v>1</v>
      </c>
      <c r="AX29" s="80" t="s">
        <v>315</v>
      </c>
      <c r="AY29" s="83" t="str">
        <f>HYPERLINK("https://twitter.com/drsjaishankar")</f>
        <v>https://twitter.com/drsjaishankar</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565</v>
      </c>
      <c r="B30" s="66"/>
      <c r="C30" s="66"/>
      <c r="D30" s="67">
        <v>100</v>
      </c>
      <c r="E30" s="103"/>
      <c r="F30" s="89" t="str">
        <f>HYPERLINK("https://pbs.twimg.com/profile_images/1513084459121508357/6EHW5K2l_normal.jpg")</f>
        <v>https://pbs.twimg.com/profile_images/1513084459121508357/6EHW5K2l_normal.jpg</v>
      </c>
      <c r="G30" s="104"/>
      <c r="H30" s="70" t="s">
        <v>565</v>
      </c>
      <c r="I30" s="71"/>
      <c r="J30" s="105"/>
      <c r="K30" s="70" t="s">
        <v>854</v>
      </c>
      <c r="L30" s="106">
        <v>1</v>
      </c>
      <c r="M30" s="75">
        <v>4898.4521484375</v>
      </c>
      <c r="N30" s="75">
        <v>7286.0888671875</v>
      </c>
      <c r="O30" s="76"/>
      <c r="P30" s="77"/>
      <c r="Q30" s="77"/>
      <c r="R30" s="107"/>
      <c r="S30" s="49">
        <v>1</v>
      </c>
      <c r="T30" s="49">
        <v>0</v>
      </c>
      <c r="U30" s="50">
        <v>0</v>
      </c>
      <c r="V30" s="50">
        <v>0.494845</v>
      </c>
      <c r="W30" s="50">
        <v>0.061674</v>
      </c>
      <c r="X30" s="50">
        <v>0.017624</v>
      </c>
      <c r="Y30" s="50">
        <v>0</v>
      </c>
      <c r="Z30" s="50">
        <v>0</v>
      </c>
      <c r="AA30" s="72">
        <v>30</v>
      </c>
      <c r="AB30" s="72"/>
      <c r="AC30" s="73"/>
      <c r="AD30" s="80" t="s">
        <v>733</v>
      </c>
      <c r="AE30" s="85" t="s">
        <v>772</v>
      </c>
      <c r="AF30" s="80">
        <v>1713</v>
      </c>
      <c r="AG30" s="80">
        <v>660422</v>
      </c>
      <c r="AH30" s="80">
        <v>8245</v>
      </c>
      <c r="AI30" s="80">
        <v>44</v>
      </c>
      <c r="AJ30" s="80"/>
      <c r="AK30" s="80" t="s">
        <v>803</v>
      </c>
      <c r="AL30" s="80" t="s">
        <v>825</v>
      </c>
      <c r="AM30" s="83" t="str">
        <f>HYPERLINK("https://t.co/qhDKcfLGFC")</f>
        <v>https://t.co/qhDKcfLGFC</v>
      </c>
      <c r="AN30" s="80"/>
      <c r="AO30" s="82">
        <v>39925.03561342593</v>
      </c>
      <c r="AP30" s="83" t="str">
        <f>HYPERLINK("https://pbs.twimg.com/profile_banners/34116377/1649583441")</f>
        <v>https://pbs.twimg.com/profile_banners/34116377/1649583441</v>
      </c>
      <c r="AQ30" s="80" t="b">
        <v>0</v>
      </c>
      <c r="AR30" s="80" t="b">
        <v>0</v>
      </c>
      <c r="AS30" s="80" t="b">
        <v>1</v>
      </c>
      <c r="AT30" s="80"/>
      <c r="AU30" s="80">
        <v>2707</v>
      </c>
      <c r="AV30" s="83" t="str">
        <f>HYPERLINK("https://abs.twimg.com/images/themes/theme1/bg.png")</f>
        <v>https://abs.twimg.com/images/themes/theme1/bg.png</v>
      </c>
      <c r="AW30" s="80" t="b">
        <v>1</v>
      </c>
      <c r="AX30" s="80" t="s">
        <v>315</v>
      </c>
      <c r="AY30" s="83" t="str">
        <f>HYPERLINK("https://twitter.com/scottmorrisonmp")</f>
        <v>https://twitter.com/scottmorrisonmp</v>
      </c>
      <c r="AZ30" s="80" t="s">
        <v>65</v>
      </c>
      <c r="BA30" s="7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566</v>
      </c>
      <c r="B31" s="66"/>
      <c r="C31" s="66"/>
      <c r="D31" s="67">
        <v>100</v>
      </c>
      <c r="E31" s="103"/>
      <c r="F31" s="89" t="str">
        <f>HYPERLINK("https://pbs.twimg.com/profile_images/1373257046770872322/XJJoPraG_normal.jpg")</f>
        <v>https://pbs.twimg.com/profile_images/1373257046770872322/XJJoPraG_normal.jpg</v>
      </c>
      <c r="G31" s="104"/>
      <c r="H31" s="70" t="s">
        <v>566</v>
      </c>
      <c r="I31" s="71"/>
      <c r="J31" s="105"/>
      <c r="K31" s="70" t="s">
        <v>855</v>
      </c>
      <c r="L31" s="106">
        <v>1</v>
      </c>
      <c r="M31" s="75">
        <v>5790.7509765625</v>
      </c>
      <c r="N31" s="75">
        <v>6668.0693359375</v>
      </c>
      <c r="O31" s="76"/>
      <c r="P31" s="77"/>
      <c r="Q31" s="77"/>
      <c r="R31" s="107"/>
      <c r="S31" s="49">
        <v>1</v>
      </c>
      <c r="T31" s="49">
        <v>0</v>
      </c>
      <c r="U31" s="50">
        <v>0</v>
      </c>
      <c r="V31" s="50">
        <v>0.494845</v>
      </c>
      <c r="W31" s="50">
        <v>0.061674</v>
      </c>
      <c r="X31" s="50">
        <v>0.017624</v>
      </c>
      <c r="Y31" s="50">
        <v>0</v>
      </c>
      <c r="Z31" s="50">
        <v>0</v>
      </c>
      <c r="AA31" s="72">
        <v>31</v>
      </c>
      <c r="AB31" s="72"/>
      <c r="AC31" s="73"/>
      <c r="AD31" s="80" t="s">
        <v>734</v>
      </c>
      <c r="AE31" s="85" t="s">
        <v>773</v>
      </c>
      <c r="AF31" s="80">
        <v>860</v>
      </c>
      <c r="AG31" s="80">
        <v>2272847</v>
      </c>
      <c r="AH31" s="80">
        <v>28311</v>
      </c>
      <c r="AI31" s="80">
        <v>81</v>
      </c>
      <c r="AJ31" s="80"/>
      <c r="AK31" s="80" t="s">
        <v>804</v>
      </c>
      <c r="AL31" s="80"/>
      <c r="AM31" s="83" t="str">
        <f>HYPERLINK("https://t.co/TuQhaRHWuk")</f>
        <v>https://t.co/TuQhaRHWuk</v>
      </c>
      <c r="AN31" s="80"/>
      <c r="AO31" s="82">
        <v>40897.354895833334</v>
      </c>
      <c r="AP31" s="83" t="str">
        <f>HYPERLINK("https://pbs.twimg.com/profile_banners/441636351/1560783706")</f>
        <v>https://pbs.twimg.com/profile_banners/441636351/1560783706</v>
      </c>
      <c r="AQ31" s="80" t="b">
        <v>0</v>
      </c>
      <c r="AR31" s="80" t="b">
        <v>0</v>
      </c>
      <c r="AS31" s="80" t="b">
        <v>1</v>
      </c>
      <c r="AT31" s="80"/>
      <c r="AU31" s="80">
        <v>2060</v>
      </c>
      <c r="AV31" s="83" t="str">
        <f>HYPERLINK("https://abs.twimg.com/images/themes/theme19/bg.gif")</f>
        <v>https://abs.twimg.com/images/themes/theme19/bg.gif</v>
      </c>
      <c r="AW31" s="80" t="b">
        <v>1</v>
      </c>
      <c r="AX31" s="80" t="s">
        <v>315</v>
      </c>
      <c r="AY31" s="83" t="str">
        <f>HYPERLINK("https://twitter.com/meaindia")</f>
        <v>https://twitter.com/meaindia</v>
      </c>
      <c r="AZ31" s="80" t="s">
        <v>65</v>
      </c>
      <c r="BA31" s="79"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567</v>
      </c>
      <c r="B32" s="66"/>
      <c r="C32" s="66"/>
      <c r="D32" s="67">
        <v>100</v>
      </c>
      <c r="E32" s="103"/>
      <c r="F32" s="89" t="str">
        <f>HYPERLINK("https://pbs.twimg.com/profile_images/1215179196479066113/si2TjZFc_normal.jpg")</f>
        <v>https://pbs.twimg.com/profile_images/1215179196479066113/si2TjZFc_normal.jpg</v>
      </c>
      <c r="G32" s="104"/>
      <c r="H32" s="70" t="s">
        <v>567</v>
      </c>
      <c r="I32" s="71"/>
      <c r="J32" s="105"/>
      <c r="K32" s="70" t="s">
        <v>856</v>
      </c>
      <c r="L32" s="106">
        <v>1</v>
      </c>
      <c r="M32" s="75">
        <v>6606.1162109375</v>
      </c>
      <c r="N32" s="75">
        <v>2729.47021484375</v>
      </c>
      <c r="O32" s="76"/>
      <c r="P32" s="77"/>
      <c r="Q32" s="77"/>
      <c r="R32" s="107"/>
      <c r="S32" s="49">
        <v>1</v>
      </c>
      <c r="T32" s="49">
        <v>0</v>
      </c>
      <c r="U32" s="50">
        <v>0</v>
      </c>
      <c r="V32" s="50">
        <v>0.494845</v>
      </c>
      <c r="W32" s="50">
        <v>0.061674</v>
      </c>
      <c r="X32" s="50">
        <v>0.017624</v>
      </c>
      <c r="Y32" s="50">
        <v>0</v>
      </c>
      <c r="Z32" s="50">
        <v>0</v>
      </c>
      <c r="AA32" s="72">
        <v>32</v>
      </c>
      <c r="AB32" s="72"/>
      <c r="AC32" s="73"/>
      <c r="AD32" s="80" t="s">
        <v>735</v>
      </c>
      <c r="AE32" s="85" t="s">
        <v>774</v>
      </c>
      <c r="AF32" s="80">
        <v>411</v>
      </c>
      <c r="AG32" s="80">
        <v>6218</v>
      </c>
      <c r="AH32" s="80">
        <v>3756</v>
      </c>
      <c r="AI32" s="80">
        <v>740</v>
      </c>
      <c r="AJ32" s="80"/>
      <c r="AK32" s="80" t="s">
        <v>805</v>
      </c>
      <c r="AL32" s="80" t="s">
        <v>826</v>
      </c>
      <c r="AM32" s="83" t="str">
        <f>HYPERLINK("https://t.co/pTJzMLM4T2")</f>
        <v>https://t.co/pTJzMLM4T2</v>
      </c>
      <c r="AN32" s="80"/>
      <c r="AO32" s="82">
        <v>42034.305868055555</v>
      </c>
      <c r="AP32" s="83" t="str">
        <f>HYPERLINK("https://pbs.twimg.com/profile_banners/3003011065/1632115952")</f>
        <v>https://pbs.twimg.com/profile_banners/3003011065/1632115952</v>
      </c>
      <c r="AQ32" s="80" t="b">
        <v>1</v>
      </c>
      <c r="AR32" s="80" t="b">
        <v>0</v>
      </c>
      <c r="AS32" s="80" t="b">
        <v>1</v>
      </c>
      <c r="AT32" s="80"/>
      <c r="AU32" s="80">
        <v>47</v>
      </c>
      <c r="AV32" s="83" t="str">
        <f>HYPERLINK("https://abs.twimg.com/images/themes/theme1/bg.png")</f>
        <v>https://abs.twimg.com/images/themes/theme1/bg.png</v>
      </c>
      <c r="AW32" s="80" t="b">
        <v>1</v>
      </c>
      <c r="AX32" s="80" t="s">
        <v>315</v>
      </c>
      <c r="AY32" s="83" t="str">
        <f>HYPERLINK("https://twitter.com/nzinindia")</f>
        <v>https://twitter.com/nzinindia</v>
      </c>
      <c r="AZ32" s="80" t="s">
        <v>65</v>
      </c>
      <c r="BA32" s="79"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259</v>
      </c>
      <c r="B33" s="66"/>
      <c r="C33" s="66"/>
      <c r="D33" s="67">
        <v>100</v>
      </c>
      <c r="E33" s="103"/>
      <c r="F33" s="89" t="str">
        <f>HYPERLINK("https://pbs.twimg.com/profile_images/1443746731959545875/xbVca--X_normal.jpg")</f>
        <v>https://pbs.twimg.com/profile_images/1443746731959545875/xbVca--X_normal.jpg</v>
      </c>
      <c r="G33" s="104"/>
      <c r="H33" s="70" t="s">
        <v>259</v>
      </c>
      <c r="I33" s="71"/>
      <c r="J33" s="105"/>
      <c r="K33" s="70" t="s">
        <v>318</v>
      </c>
      <c r="L33" s="106">
        <v>1</v>
      </c>
      <c r="M33" s="75">
        <v>6918.98291015625</v>
      </c>
      <c r="N33" s="75">
        <v>9242.06640625</v>
      </c>
      <c r="O33" s="76"/>
      <c r="P33" s="77"/>
      <c r="Q33" s="77"/>
      <c r="R33" s="107"/>
      <c r="S33" s="49">
        <v>1</v>
      </c>
      <c r="T33" s="49">
        <v>0</v>
      </c>
      <c r="U33" s="50">
        <v>0</v>
      </c>
      <c r="V33" s="50">
        <v>0.494845</v>
      </c>
      <c r="W33" s="50">
        <v>0.061674</v>
      </c>
      <c r="X33" s="50">
        <v>0.017624</v>
      </c>
      <c r="Y33" s="50">
        <v>0</v>
      </c>
      <c r="Z33" s="50">
        <v>0</v>
      </c>
      <c r="AA33" s="72">
        <v>33</v>
      </c>
      <c r="AB33" s="72"/>
      <c r="AC33" s="73"/>
      <c r="AD33" s="80" t="s">
        <v>301</v>
      </c>
      <c r="AE33" s="85" t="s">
        <v>305</v>
      </c>
      <c r="AF33" s="80">
        <v>611</v>
      </c>
      <c r="AG33" s="80">
        <v>22541</v>
      </c>
      <c r="AH33" s="80">
        <v>6935</v>
      </c>
      <c r="AI33" s="80">
        <v>2649</v>
      </c>
      <c r="AJ33" s="80"/>
      <c r="AK33" s="80" t="s">
        <v>309</v>
      </c>
      <c r="AL33" s="80" t="s">
        <v>275</v>
      </c>
      <c r="AM33" s="83" t="str">
        <f>HYPERLINK("https://t.co/xwaAyhW8ZS")</f>
        <v>https://t.co/xwaAyhW8ZS</v>
      </c>
      <c r="AN33" s="80"/>
      <c r="AO33" s="82">
        <v>41477.00670138889</v>
      </c>
      <c r="AP33" s="83" t="str">
        <f>HYPERLINK("https://pbs.twimg.com/profile_banners/1611641605/1613080866")</f>
        <v>https://pbs.twimg.com/profile_banners/1611641605/1613080866</v>
      </c>
      <c r="AQ33" s="80" t="b">
        <v>1</v>
      </c>
      <c r="AR33" s="80" t="b">
        <v>0</v>
      </c>
      <c r="AS33" s="80" t="b">
        <v>0</v>
      </c>
      <c r="AT33" s="80"/>
      <c r="AU33" s="80">
        <v>319</v>
      </c>
      <c r="AV33" s="83" t="str">
        <f>HYPERLINK("https://abs.twimg.com/images/themes/theme1/bg.png")</f>
        <v>https://abs.twimg.com/images/themes/theme1/bg.png</v>
      </c>
      <c r="AW33" s="80" t="b">
        <v>1</v>
      </c>
      <c r="AX33" s="80" t="s">
        <v>315</v>
      </c>
      <c r="AY33" s="83" t="str">
        <f>HYPERLINK("https://twitter.com/mfatnz")</f>
        <v>https://twitter.com/mfatnz</v>
      </c>
      <c r="AZ33" s="80" t="s">
        <v>65</v>
      </c>
      <c r="BA33" s="79"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568</v>
      </c>
      <c r="B34" s="66"/>
      <c r="C34" s="66"/>
      <c r="D34" s="67">
        <v>100</v>
      </c>
      <c r="E34" s="103"/>
      <c r="F34" s="89" t="str">
        <f>HYPERLINK("https://pbs.twimg.com/profile_images/881727427738714112/yXttcJr4_normal.jpg")</f>
        <v>https://pbs.twimg.com/profile_images/881727427738714112/yXttcJr4_normal.jpg</v>
      </c>
      <c r="G34" s="104"/>
      <c r="H34" s="70" t="s">
        <v>568</v>
      </c>
      <c r="I34" s="71"/>
      <c r="J34" s="105"/>
      <c r="K34" s="70" t="s">
        <v>857</v>
      </c>
      <c r="L34" s="106">
        <v>1</v>
      </c>
      <c r="M34" s="75">
        <v>8132.17529296875</v>
      </c>
      <c r="N34" s="75">
        <v>7023.58837890625</v>
      </c>
      <c r="O34" s="76"/>
      <c r="P34" s="77"/>
      <c r="Q34" s="77"/>
      <c r="R34" s="107"/>
      <c r="S34" s="49">
        <v>1</v>
      </c>
      <c r="T34" s="49">
        <v>0</v>
      </c>
      <c r="U34" s="50">
        <v>0</v>
      </c>
      <c r="V34" s="50">
        <v>0.494845</v>
      </c>
      <c r="W34" s="50">
        <v>0.061674</v>
      </c>
      <c r="X34" s="50">
        <v>0.017624</v>
      </c>
      <c r="Y34" s="50">
        <v>0</v>
      </c>
      <c r="Z34" s="50">
        <v>0</v>
      </c>
      <c r="AA34" s="72">
        <v>34</v>
      </c>
      <c r="AB34" s="72"/>
      <c r="AC34" s="73"/>
      <c r="AD34" s="80" t="s">
        <v>736</v>
      </c>
      <c r="AE34" s="85" t="s">
        <v>775</v>
      </c>
      <c r="AF34" s="80">
        <v>580</v>
      </c>
      <c r="AG34" s="80">
        <v>30135</v>
      </c>
      <c r="AH34" s="80">
        <v>8153</v>
      </c>
      <c r="AI34" s="80">
        <v>1827</v>
      </c>
      <c r="AJ34" s="80"/>
      <c r="AK34" s="80" t="s">
        <v>806</v>
      </c>
      <c r="AL34" s="80" t="s">
        <v>313</v>
      </c>
      <c r="AM34" s="83" t="str">
        <f>HYPERLINK("http://t.co/rEZDpxpoAW")</f>
        <v>http://t.co/rEZDpxpoAW</v>
      </c>
      <c r="AN34" s="80"/>
      <c r="AO34" s="82">
        <v>39646.69778935185</v>
      </c>
      <c r="AP34" s="83" t="str">
        <f>HYPERLINK("https://pbs.twimg.com/profile_banners/15470058/1499056840")</f>
        <v>https://pbs.twimg.com/profile_banners/15470058/1499056840</v>
      </c>
      <c r="AQ34" s="80" t="b">
        <v>0</v>
      </c>
      <c r="AR34" s="80" t="b">
        <v>0</v>
      </c>
      <c r="AS34" s="80" t="b">
        <v>1</v>
      </c>
      <c r="AT34" s="80"/>
      <c r="AU34" s="80">
        <v>344</v>
      </c>
      <c r="AV34" s="83" t="str">
        <f>HYPERLINK("https://abs.twimg.com/images/themes/theme1/bg.png")</f>
        <v>https://abs.twimg.com/images/themes/theme1/bg.png</v>
      </c>
      <c r="AW34" s="80" t="b">
        <v>1</v>
      </c>
      <c r="AX34" s="80" t="s">
        <v>315</v>
      </c>
      <c r="AY34" s="83" t="str">
        <f>HYPERLINK("https://twitter.com/nzparliament")</f>
        <v>https://twitter.com/nzparliament</v>
      </c>
      <c r="AZ34" s="80" t="s">
        <v>65</v>
      </c>
      <c r="BA34" s="79"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569</v>
      </c>
      <c r="B35" s="66"/>
      <c r="C35" s="66"/>
      <c r="D35" s="67">
        <v>100</v>
      </c>
      <c r="E35" s="103"/>
      <c r="F35" s="89" t="str">
        <f>HYPERLINK("https://pbs.twimg.com/profile_images/1352627231420461057/qgDQ2BN4_normal.jpg")</f>
        <v>https://pbs.twimg.com/profile_images/1352627231420461057/qgDQ2BN4_normal.jpg</v>
      </c>
      <c r="G35" s="104"/>
      <c r="H35" s="70" t="s">
        <v>569</v>
      </c>
      <c r="I35" s="71"/>
      <c r="J35" s="105"/>
      <c r="K35" s="70" t="s">
        <v>858</v>
      </c>
      <c r="L35" s="106">
        <v>1</v>
      </c>
      <c r="M35" s="75">
        <v>7566.90966796875</v>
      </c>
      <c r="N35" s="75">
        <v>8658.81640625</v>
      </c>
      <c r="O35" s="76"/>
      <c r="P35" s="77"/>
      <c r="Q35" s="77"/>
      <c r="R35" s="107"/>
      <c r="S35" s="49">
        <v>1</v>
      </c>
      <c r="T35" s="49">
        <v>0</v>
      </c>
      <c r="U35" s="50">
        <v>0</v>
      </c>
      <c r="V35" s="50">
        <v>0.494845</v>
      </c>
      <c r="W35" s="50">
        <v>0.061674</v>
      </c>
      <c r="X35" s="50">
        <v>0.017624</v>
      </c>
      <c r="Y35" s="50">
        <v>0</v>
      </c>
      <c r="Z35" s="50">
        <v>0</v>
      </c>
      <c r="AA35" s="72">
        <v>35</v>
      </c>
      <c r="AB35" s="72"/>
      <c r="AC35" s="73"/>
      <c r="AD35" s="80" t="s">
        <v>737</v>
      </c>
      <c r="AE35" s="85" t="s">
        <v>776</v>
      </c>
      <c r="AF35" s="80">
        <v>1589</v>
      </c>
      <c r="AG35" s="80">
        <v>3813563</v>
      </c>
      <c r="AH35" s="80">
        <v>20393</v>
      </c>
      <c r="AI35" s="80">
        <v>1205</v>
      </c>
      <c r="AJ35" s="80"/>
      <c r="AK35" s="80" t="s">
        <v>807</v>
      </c>
      <c r="AL35" s="80" t="s">
        <v>827</v>
      </c>
      <c r="AM35" s="83" t="str">
        <f>HYPERLINK("https://t.co/tiztUkyowp")</f>
        <v>https://t.co/tiztUkyowp</v>
      </c>
      <c r="AN35" s="80"/>
      <c r="AO35" s="82">
        <v>40052.31539351852</v>
      </c>
      <c r="AP35" s="83" t="str">
        <f>HYPERLINK("https://pbs.twimg.com/profile_banners/69231187/1638356408")</f>
        <v>https://pbs.twimg.com/profile_banners/69231187/1638356408</v>
      </c>
      <c r="AQ35" s="80" t="b">
        <v>0</v>
      </c>
      <c r="AR35" s="80" t="b">
        <v>0</v>
      </c>
      <c r="AS35" s="80" t="b">
        <v>1</v>
      </c>
      <c r="AT35" s="80"/>
      <c r="AU35" s="80">
        <v>11921</v>
      </c>
      <c r="AV35" s="83" t="str">
        <f>HYPERLINK("https://abs.twimg.com/images/themes/theme14/bg.gif")</f>
        <v>https://abs.twimg.com/images/themes/theme14/bg.gif</v>
      </c>
      <c r="AW35" s="80" t="b">
        <v>1</v>
      </c>
      <c r="AX35" s="80" t="s">
        <v>315</v>
      </c>
      <c r="AY35" s="83" t="str">
        <f>HYPERLINK("https://twitter.com/unhumanrights")</f>
        <v>https://twitter.com/unhumanrights</v>
      </c>
      <c r="AZ35" s="80" t="s">
        <v>65</v>
      </c>
      <c r="BA35" s="79"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570</v>
      </c>
      <c r="B36" s="66"/>
      <c r="C36" s="66"/>
      <c r="D36" s="67">
        <v>100</v>
      </c>
      <c r="E36" s="103"/>
      <c r="F36" s="89" t="str">
        <f>HYPERLINK("https://pbs.twimg.com/profile_images/1312932226355490816/WZdRyEjw_normal.jpg")</f>
        <v>https://pbs.twimg.com/profile_images/1312932226355490816/WZdRyEjw_normal.jpg</v>
      </c>
      <c r="G36" s="104"/>
      <c r="H36" s="70" t="s">
        <v>570</v>
      </c>
      <c r="I36" s="71"/>
      <c r="J36" s="105"/>
      <c r="K36" s="70" t="s">
        <v>859</v>
      </c>
      <c r="L36" s="106">
        <v>1</v>
      </c>
      <c r="M36" s="75">
        <v>5863.43798828125</v>
      </c>
      <c r="N36" s="75">
        <v>926.049560546875</v>
      </c>
      <c r="O36" s="76"/>
      <c r="P36" s="77"/>
      <c r="Q36" s="77"/>
      <c r="R36" s="107"/>
      <c r="S36" s="49">
        <v>1</v>
      </c>
      <c r="T36" s="49">
        <v>0</v>
      </c>
      <c r="U36" s="50">
        <v>0</v>
      </c>
      <c r="V36" s="50">
        <v>0.494845</v>
      </c>
      <c r="W36" s="50">
        <v>0.061674</v>
      </c>
      <c r="X36" s="50">
        <v>0.017624</v>
      </c>
      <c r="Y36" s="50">
        <v>0</v>
      </c>
      <c r="Z36" s="50">
        <v>0</v>
      </c>
      <c r="AA36" s="72">
        <v>36</v>
      </c>
      <c r="AB36" s="72"/>
      <c r="AC36" s="73"/>
      <c r="AD36" s="80" t="s">
        <v>738</v>
      </c>
      <c r="AE36" s="85" t="s">
        <v>777</v>
      </c>
      <c r="AF36" s="80">
        <v>1567</v>
      </c>
      <c r="AG36" s="80">
        <v>10510</v>
      </c>
      <c r="AH36" s="80">
        <v>7827</v>
      </c>
      <c r="AI36" s="80">
        <v>2839</v>
      </c>
      <c r="AJ36" s="80"/>
      <c r="AK36" s="80" t="s">
        <v>808</v>
      </c>
      <c r="AL36" s="80" t="s">
        <v>828</v>
      </c>
      <c r="AM36" s="83" t="str">
        <f>HYPERLINK("https://t.co/47AN9Uq14Q")</f>
        <v>https://t.co/47AN9Uq14Q</v>
      </c>
      <c r="AN36" s="80"/>
      <c r="AO36" s="82">
        <v>41659.123923611114</v>
      </c>
      <c r="AP36" s="83" t="str">
        <f>HYPERLINK("https://pbs.twimg.com/profile_banners/2300664583/1639427530")</f>
        <v>https://pbs.twimg.com/profile_banners/2300664583/1639427530</v>
      </c>
      <c r="AQ36" s="80" t="b">
        <v>0</v>
      </c>
      <c r="AR36" s="80" t="b">
        <v>0</v>
      </c>
      <c r="AS36" s="80" t="b">
        <v>1</v>
      </c>
      <c r="AT36" s="80"/>
      <c r="AU36" s="80">
        <v>148</v>
      </c>
      <c r="AV36" s="83" t="str">
        <f>HYPERLINK("https://abs.twimg.com/images/themes/theme17/bg.gif")</f>
        <v>https://abs.twimg.com/images/themes/theme17/bg.gif</v>
      </c>
      <c r="AW36" s="80" t="b">
        <v>1</v>
      </c>
      <c r="AX36" s="80" t="s">
        <v>315</v>
      </c>
      <c r="AY36" s="83" t="str">
        <f>HYPERLINK("https://twitter.com/nzhumanrights")</f>
        <v>https://twitter.com/nzhumanrights</v>
      </c>
      <c r="AZ36" s="80" t="s">
        <v>65</v>
      </c>
      <c r="BA36" s="79"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571</v>
      </c>
      <c r="B37" s="66"/>
      <c r="C37" s="66"/>
      <c r="D37" s="67">
        <v>100</v>
      </c>
      <c r="E37" s="103"/>
      <c r="F37" s="89" t="str">
        <f>HYPERLINK("https://pbs.twimg.com/profile_images/1305017080807190528/j5nlNQP4_normal.jpg")</f>
        <v>https://pbs.twimg.com/profile_images/1305017080807190528/j5nlNQP4_normal.jpg</v>
      </c>
      <c r="G37" s="104"/>
      <c r="H37" s="70" t="s">
        <v>571</v>
      </c>
      <c r="I37" s="71"/>
      <c r="J37" s="105"/>
      <c r="K37" s="70" t="s">
        <v>860</v>
      </c>
      <c r="L37" s="106">
        <v>1</v>
      </c>
      <c r="M37" s="75">
        <v>7373.12353515625</v>
      </c>
      <c r="N37" s="75">
        <v>5966.59423828125</v>
      </c>
      <c r="O37" s="76"/>
      <c r="P37" s="77"/>
      <c r="Q37" s="77"/>
      <c r="R37" s="107"/>
      <c r="S37" s="49">
        <v>1</v>
      </c>
      <c r="T37" s="49">
        <v>0</v>
      </c>
      <c r="U37" s="50">
        <v>0</v>
      </c>
      <c r="V37" s="50">
        <v>0.494845</v>
      </c>
      <c r="W37" s="50">
        <v>0.061674</v>
      </c>
      <c r="X37" s="50">
        <v>0.017624</v>
      </c>
      <c r="Y37" s="50">
        <v>0</v>
      </c>
      <c r="Z37" s="50">
        <v>0</v>
      </c>
      <c r="AA37" s="72">
        <v>37</v>
      </c>
      <c r="AB37" s="72"/>
      <c r="AC37" s="73"/>
      <c r="AD37" s="80" t="s">
        <v>739</v>
      </c>
      <c r="AE37" s="85" t="s">
        <v>778</v>
      </c>
      <c r="AF37" s="80">
        <v>2494</v>
      </c>
      <c r="AG37" s="80">
        <v>35174</v>
      </c>
      <c r="AH37" s="80">
        <v>17931</v>
      </c>
      <c r="AI37" s="80">
        <v>12738</v>
      </c>
      <c r="AJ37" s="80"/>
      <c r="AK37" s="80" t="s">
        <v>809</v>
      </c>
      <c r="AL37" s="80" t="s">
        <v>273</v>
      </c>
      <c r="AM37" s="83" t="str">
        <f>HYPERLINK("https://t.co/x5advKAjo7")</f>
        <v>https://t.co/x5advKAjo7</v>
      </c>
      <c r="AN37" s="80"/>
      <c r="AO37" s="82">
        <v>41135.07414351852</v>
      </c>
      <c r="AP37" s="83" t="str">
        <f>HYPERLINK("https://pbs.twimg.com/profile_banners/756227808/1629773714")</f>
        <v>https://pbs.twimg.com/profile_banners/756227808/1629773714</v>
      </c>
      <c r="AQ37" s="80" t="b">
        <v>0</v>
      </c>
      <c r="AR37" s="80" t="b">
        <v>0</v>
      </c>
      <c r="AS37" s="80" t="b">
        <v>0</v>
      </c>
      <c r="AT37" s="80"/>
      <c r="AU37" s="80">
        <v>226</v>
      </c>
      <c r="AV37" s="83" t="str">
        <f>HYPERLINK("https://abs.twimg.com/images/themes/theme1/bg.png")</f>
        <v>https://abs.twimg.com/images/themes/theme1/bg.png</v>
      </c>
      <c r="AW37" s="80" t="b">
        <v>1</v>
      </c>
      <c r="AX37" s="80" t="s">
        <v>315</v>
      </c>
      <c r="AY37" s="83" t="str">
        <f>HYPERLINK("https://twitter.com/judithcollinsmp")</f>
        <v>https://twitter.com/judithcollinsmp</v>
      </c>
      <c r="AZ37" s="80" t="s">
        <v>65</v>
      </c>
      <c r="BA37" s="79"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572</v>
      </c>
      <c r="B38" s="66"/>
      <c r="C38" s="66"/>
      <c r="D38" s="67">
        <v>100</v>
      </c>
      <c r="E38" s="103"/>
      <c r="F38" s="89" t="str">
        <f>HYPERLINK("https://pbs.twimg.com/profile_images/1265852257670541313/fpC-67oN_normal.jpg")</f>
        <v>https://pbs.twimg.com/profile_images/1265852257670541313/fpC-67oN_normal.jpg</v>
      </c>
      <c r="G38" s="104"/>
      <c r="H38" s="70" t="s">
        <v>572</v>
      </c>
      <c r="I38" s="71"/>
      <c r="J38" s="105"/>
      <c r="K38" s="70" t="s">
        <v>861</v>
      </c>
      <c r="L38" s="106">
        <v>1</v>
      </c>
      <c r="M38" s="75">
        <v>7486.4658203125</v>
      </c>
      <c r="N38" s="75">
        <v>1348.728515625</v>
      </c>
      <c r="O38" s="76"/>
      <c r="P38" s="77"/>
      <c r="Q38" s="77"/>
      <c r="R38" s="107"/>
      <c r="S38" s="49">
        <v>1</v>
      </c>
      <c r="T38" s="49">
        <v>0</v>
      </c>
      <c r="U38" s="50">
        <v>0</v>
      </c>
      <c r="V38" s="50">
        <v>0.494845</v>
      </c>
      <c r="W38" s="50">
        <v>0.061674</v>
      </c>
      <c r="X38" s="50">
        <v>0.017624</v>
      </c>
      <c r="Y38" s="50">
        <v>0</v>
      </c>
      <c r="Z38" s="50">
        <v>0</v>
      </c>
      <c r="AA38" s="72">
        <v>38</v>
      </c>
      <c r="AB38" s="72"/>
      <c r="AC38" s="73"/>
      <c r="AD38" s="80" t="s">
        <v>740</v>
      </c>
      <c r="AE38" s="85" t="s">
        <v>779</v>
      </c>
      <c r="AF38" s="80">
        <v>1877</v>
      </c>
      <c r="AG38" s="80">
        <v>8306</v>
      </c>
      <c r="AH38" s="80">
        <v>2625</v>
      </c>
      <c r="AI38" s="80">
        <v>3604</v>
      </c>
      <c r="AJ38" s="80"/>
      <c r="AK38" s="80" t="s">
        <v>810</v>
      </c>
      <c r="AL38" s="80" t="s">
        <v>275</v>
      </c>
      <c r="AM38" s="80"/>
      <c r="AN38" s="80"/>
      <c r="AO38" s="82">
        <v>40872.89672453704</v>
      </c>
      <c r="AP38" s="83" t="str">
        <f>HYPERLINK("https://pbs.twimg.com/profile_banners/421375843/1501984398")</f>
        <v>https://pbs.twimg.com/profile_banners/421375843/1501984398</v>
      </c>
      <c r="AQ38" s="80" t="b">
        <v>1</v>
      </c>
      <c r="AR38" s="80" t="b">
        <v>0</v>
      </c>
      <c r="AS38" s="80" t="b">
        <v>1</v>
      </c>
      <c r="AT38" s="80"/>
      <c r="AU38" s="80">
        <v>67</v>
      </c>
      <c r="AV38" s="83" t="str">
        <f>HYPERLINK("https://abs.twimg.com/images/themes/theme1/bg.png")</f>
        <v>https://abs.twimg.com/images/themes/theme1/bg.png</v>
      </c>
      <c r="AW38" s="80" t="b">
        <v>1</v>
      </c>
      <c r="AX38" s="80" t="s">
        <v>315</v>
      </c>
      <c r="AY38" s="83" t="str">
        <f>HYPERLINK("https://twitter.com/nicolawillismp")</f>
        <v>https://twitter.com/nicolawillismp</v>
      </c>
      <c r="AZ38" s="80" t="s">
        <v>65</v>
      </c>
      <c r="BA38" s="79"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573</v>
      </c>
      <c r="B39" s="66"/>
      <c r="C39" s="66"/>
      <c r="D39" s="67">
        <v>100</v>
      </c>
      <c r="E39" s="103"/>
      <c r="F39" s="89" t="str">
        <f>HYPERLINK("https://pbs.twimg.com/profile_images/1327525701969276928/YCWvJBoy_normal.jpg")</f>
        <v>https://pbs.twimg.com/profile_images/1327525701969276928/YCWvJBoy_normal.jpg</v>
      </c>
      <c r="G39" s="104"/>
      <c r="H39" s="70" t="s">
        <v>573</v>
      </c>
      <c r="I39" s="71"/>
      <c r="J39" s="105"/>
      <c r="K39" s="70" t="s">
        <v>862</v>
      </c>
      <c r="L39" s="106">
        <v>1</v>
      </c>
      <c r="M39" s="75">
        <v>7948.23291015625</v>
      </c>
      <c r="N39" s="75">
        <v>2893.042236328125</v>
      </c>
      <c r="O39" s="76"/>
      <c r="P39" s="77"/>
      <c r="Q39" s="77"/>
      <c r="R39" s="107"/>
      <c r="S39" s="49">
        <v>1</v>
      </c>
      <c r="T39" s="49">
        <v>0</v>
      </c>
      <c r="U39" s="50">
        <v>0</v>
      </c>
      <c r="V39" s="50">
        <v>0.494845</v>
      </c>
      <c r="W39" s="50">
        <v>0.061674</v>
      </c>
      <c r="X39" s="50">
        <v>0.017624</v>
      </c>
      <c r="Y39" s="50">
        <v>0</v>
      </c>
      <c r="Z39" s="50">
        <v>0</v>
      </c>
      <c r="AA39" s="72">
        <v>39</v>
      </c>
      <c r="AB39" s="72"/>
      <c r="AC39" s="73"/>
      <c r="AD39" s="80" t="s">
        <v>741</v>
      </c>
      <c r="AE39" s="85" t="s">
        <v>780</v>
      </c>
      <c r="AF39" s="80">
        <v>2104</v>
      </c>
      <c r="AG39" s="80">
        <v>10202</v>
      </c>
      <c r="AH39" s="80">
        <v>5806</v>
      </c>
      <c r="AI39" s="80">
        <v>12921</v>
      </c>
      <c r="AJ39" s="80"/>
      <c r="AK39" s="80" t="s">
        <v>811</v>
      </c>
      <c r="AL39" s="80" t="s">
        <v>274</v>
      </c>
      <c r="AM39" s="83" t="str">
        <f>HYPERLINK("https://t.co/pNRL8Ch1yw")</f>
        <v>https://t.co/pNRL8Ch1yw</v>
      </c>
      <c r="AN39" s="80"/>
      <c r="AO39" s="82">
        <v>42543.534155092595</v>
      </c>
      <c r="AP39" s="83" t="str">
        <f>HYPERLINK("https://pbs.twimg.com/profile_banners/745599511960051712/1575024214")</f>
        <v>https://pbs.twimg.com/profile_banners/745599511960051712/1575024214</v>
      </c>
      <c r="AQ39" s="80" t="b">
        <v>1</v>
      </c>
      <c r="AR39" s="80" t="b">
        <v>0</v>
      </c>
      <c r="AS39" s="80" t="b">
        <v>1</v>
      </c>
      <c r="AT39" s="80"/>
      <c r="AU39" s="80">
        <v>59</v>
      </c>
      <c r="AV39" s="80"/>
      <c r="AW39" s="80" t="b">
        <v>0</v>
      </c>
      <c r="AX39" s="80" t="s">
        <v>315</v>
      </c>
      <c r="AY39" s="83" t="str">
        <f>HYPERLINK("https://twitter.com/rmarchnz")</f>
        <v>https://twitter.com/rmarchnz</v>
      </c>
      <c r="AZ39" s="80" t="s">
        <v>65</v>
      </c>
      <c r="BA39" s="79"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574</v>
      </c>
      <c r="B40" s="66"/>
      <c r="C40" s="66"/>
      <c r="D40" s="67">
        <v>100</v>
      </c>
      <c r="E40" s="103"/>
      <c r="F40" s="89" t="str">
        <f>HYPERLINK("https://pbs.twimg.com/profile_images/1518752829338312705/AHfAqUXM_normal.jpg")</f>
        <v>https://pbs.twimg.com/profile_images/1518752829338312705/AHfAqUXM_normal.jpg</v>
      </c>
      <c r="G40" s="104"/>
      <c r="H40" s="70" t="s">
        <v>574</v>
      </c>
      <c r="I40" s="71"/>
      <c r="J40" s="105"/>
      <c r="K40" s="70" t="s">
        <v>863</v>
      </c>
      <c r="L40" s="106">
        <v>1</v>
      </c>
      <c r="M40" s="75">
        <v>8230.4697265625</v>
      </c>
      <c r="N40" s="75">
        <v>4713.43505859375</v>
      </c>
      <c r="O40" s="76"/>
      <c r="P40" s="77"/>
      <c r="Q40" s="77"/>
      <c r="R40" s="107"/>
      <c r="S40" s="49">
        <v>1</v>
      </c>
      <c r="T40" s="49">
        <v>0</v>
      </c>
      <c r="U40" s="50">
        <v>0</v>
      </c>
      <c r="V40" s="50">
        <v>0.494845</v>
      </c>
      <c r="W40" s="50">
        <v>0.061674</v>
      </c>
      <c r="X40" s="50">
        <v>0.017624</v>
      </c>
      <c r="Y40" s="50">
        <v>0</v>
      </c>
      <c r="Z40" s="50">
        <v>0</v>
      </c>
      <c r="AA40" s="72">
        <v>40</v>
      </c>
      <c r="AB40" s="72"/>
      <c r="AC40" s="73"/>
      <c r="AD40" s="80" t="s">
        <v>742</v>
      </c>
      <c r="AE40" s="85" t="s">
        <v>781</v>
      </c>
      <c r="AF40" s="80">
        <v>1003</v>
      </c>
      <c r="AG40" s="80">
        <v>25018</v>
      </c>
      <c r="AH40" s="80">
        <v>19681</v>
      </c>
      <c r="AI40" s="80">
        <v>3344</v>
      </c>
      <c r="AJ40" s="80"/>
      <c r="AK40" s="80" t="s">
        <v>812</v>
      </c>
      <c r="AL40" s="80" t="s">
        <v>273</v>
      </c>
      <c r="AM40" s="83" t="str">
        <f>HYPERLINK("https://t.co/UjklUeQvrq")</f>
        <v>https://t.co/UjklUeQvrq</v>
      </c>
      <c r="AN40" s="80"/>
      <c r="AO40" s="82">
        <v>39827.89324074074</v>
      </c>
      <c r="AP40" s="83" t="str">
        <f>HYPERLINK("https://pbs.twimg.com/profile_banners/18996642/1643687015")</f>
        <v>https://pbs.twimg.com/profile_banners/18996642/1643687015</v>
      </c>
      <c r="AQ40" s="80" t="b">
        <v>0</v>
      </c>
      <c r="AR40" s="80" t="b">
        <v>0</v>
      </c>
      <c r="AS40" s="80" t="b">
        <v>1</v>
      </c>
      <c r="AT40" s="80"/>
      <c r="AU40" s="80">
        <v>293</v>
      </c>
      <c r="AV40" s="83" t="str">
        <f>HYPERLINK("https://abs.twimg.com/images/themes/theme4/bg.gif")</f>
        <v>https://abs.twimg.com/images/themes/theme4/bg.gif</v>
      </c>
      <c r="AW40" s="80" t="b">
        <v>1</v>
      </c>
      <c r="AX40" s="80" t="s">
        <v>315</v>
      </c>
      <c r="AY40" s="83" t="str">
        <f>HYPERLINK("https://twitter.com/nznationalparty")</f>
        <v>https://twitter.com/nznationalparty</v>
      </c>
      <c r="AZ40" s="80" t="s">
        <v>65</v>
      </c>
      <c r="BA40" s="79"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575</v>
      </c>
      <c r="B41" s="66"/>
      <c r="C41" s="66"/>
      <c r="D41" s="67">
        <v>100</v>
      </c>
      <c r="E41" s="103"/>
      <c r="F41" s="89" t="str">
        <f>HYPERLINK("https://pbs.twimg.com/profile_images/1317396666522030080/q2677TdZ_normal.jpg")</f>
        <v>https://pbs.twimg.com/profile_images/1317396666522030080/q2677TdZ_normal.jpg</v>
      </c>
      <c r="G41" s="104"/>
      <c r="H41" s="70" t="s">
        <v>575</v>
      </c>
      <c r="I41" s="71"/>
      <c r="J41" s="105"/>
      <c r="K41" s="70" t="s">
        <v>864</v>
      </c>
      <c r="L41" s="106">
        <v>1</v>
      </c>
      <c r="M41" s="75">
        <v>5491.85205078125</v>
      </c>
      <c r="N41" s="75">
        <v>8999.9248046875</v>
      </c>
      <c r="O41" s="76"/>
      <c r="P41" s="77"/>
      <c r="Q41" s="77"/>
      <c r="R41" s="107"/>
      <c r="S41" s="49">
        <v>1</v>
      </c>
      <c r="T41" s="49">
        <v>0</v>
      </c>
      <c r="U41" s="50">
        <v>0</v>
      </c>
      <c r="V41" s="50">
        <v>0.494845</v>
      </c>
      <c r="W41" s="50">
        <v>0.061674</v>
      </c>
      <c r="X41" s="50">
        <v>0.017624</v>
      </c>
      <c r="Y41" s="50">
        <v>0</v>
      </c>
      <c r="Z41" s="50">
        <v>0</v>
      </c>
      <c r="AA41" s="72">
        <v>41</v>
      </c>
      <c r="AB41" s="72"/>
      <c r="AC41" s="73"/>
      <c r="AD41" s="80" t="s">
        <v>743</v>
      </c>
      <c r="AE41" s="85" t="s">
        <v>782</v>
      </c>
      <c r="AF41" s="80">
        <v>323</v>
      </c>
      <c r="AG41" s="80">
        <v>8286</v>
      </c>
      <c r="AH41" s="80">
        <v>75</v>
      </c>
      <c r="AI41" s="80">
        <v>11</v>
      </c>
      <c r="AJ41" s="80"/>
      <c r="AK41" s="80" t="s">
        <v>813</v>
      </c>
      <c r="AL41" s="80" t="s">
        <v>829</v>
      </c>
      <c r="AM41" s="83" t="str">
        <f>HYPERLINK("https://t.co/mA67va8xNO")</f>
        <v>https://t.co/mA67va8xNO</v>
      </c>
      <c r="AN41" s="80"/>
      <c r="AO41" s="82">
        <v>43744.94464120371</v>
      </c>
      <c r="AP41" s="83" t="str">
        <f>HYPERLINK("https://pbs.twimg.com/profile_banners/1180976032658014209/1603105033")</f>
        <v>https://pbs.twimg.com/profile_banners/1180976032658014209/1603105033</v>
      </c>
      <c r="AQ41" s="80" t="b">
        <v>1</v>
      </c>
      <c r="AR41" s="80" t="b">
        <v>0</v>
      </c>
      <c r="AS41" s="80" t="b">
        <v>0</v>
      </c>
      <c r="AT41" s="80"/>
      <c r="AU41" s="80">
        <v>45</v>
      </c>
      <c r="AV41" s="80"/>
      <c r="AW41" s="80" t="b">
        <v>1</v>
      </c>
      <c r="AX41" s="80" t="s">
        <v>315</v>
      </c>
      <c r="AY41" s="83" t="str">
        <f>HYPERLINK("https://twitter.com/chrisluxonmp")</f>
        <v>https://twitter.com/chrisluxonmp</v>
      </c>
      <c r="AZ41" s="80" t="s">
        <v>65</v>
      </c>
      <c r="BA41" s="79"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576</v>
      </c>
      <c r="B42" s="66"/>
      <c r="C42" s="66"/>
      <c r="D42" s="67">
        <v>100</v>
      </c>
      <c r="E42" s="103"/>
      <c r="F42" s="89" t="str">
        <f>HYPERLINK("https://pbs.twimg.com/profile_images/867583151664771072/M9VVHuGw_normal.jpg")</f>
        <v>https://pbs.twimg.com/profile_images/867583151664771072/M9VVHuGw_normal.jpg</v>
      </c>
      <c r="G42" s="104"/>
      <c r="H42" s="70" t="s">
        <v>576</v>
      </c>
      <c r="I42" s="71"/>
      <c r="J42" s="105"/>
      <c r="K42" s="70" t="s">
        <v>865</v>
      </c>
      <c r="L42" s="106">
        <v>1</v>
      </c>
      <c r="M42" s="75">
        <v>6230.71044921875</v>
      </c>
      <c r="N42" s="75">
        <v>9242.06640625</v>
      </c>
      <c r="O42" s="76"/>
      <c r="P42" s="77"/>
      <c r="Q42" s="77"/>
      <c r="R42" s="107"/>
      <c r="S42" s="49">
        <v>1</v>
      </c>
      <c r="T42" s="49">
        <v>0</v>
      </c>
      <c r="U42" s="50">
        <v>0</v>
      </c>
      <c r="V42" s="50">
        <v>0.494845</v>
      </c>
      <c r="W42" s="50">
        <v>0.061674</v>
      </c>
      <c r="X42" s="50">
        <v>0.017624</v>
      </c>
      <c r="Y42" s="50">
        <v>0</v>
      </c>
      <c r="Z42" s="50">
        <v>0</v>
      </c>
      <c r="AA42" s="72">
        <v>42</v>
      </c>
      <c r="AB42" s="72"/>
      <c r="AC42" s="73"/>
      <c r="AD42" s="80" t="s">
        <v>744</v>
      </c>
      <c r="AE42" s="85" t="s">
        <v>783</v>
      </c>
      <c r="AF42" s="80">
        <v>1526</v>
      </c>
      <c r="AG42" s="80">
        <v>20894</v>
      </c>
      <c r="AH42" s="80">
        <v>5790</v>
      </c>
      <c r="AI42" s="80">
        <v>646</v>
      </c>
      <c r="AJ42" s="80"/>
      <c r="AK42" s="80" t="s">
        <v>814</v>
      </c>
      <c r="AL42" s="80" t="s">
        <v>273</v>
      </c>
      <c r="AM42" s="83" t="str">
        <f>HYPERLINK("https://t.co/IeS37dreVV")</f>
        <v>https://t.co/IeS37dreVV</v>
      </c>
      <c r="AN42" s="80"/>
      <c r="AO42" s="82">
        <v>39894.024618055555</v>
      </c>
      <c r="AP42" s="83" t="str">
        <f>HYPERLINK("https://pbs.twimg.com/profile_banners/25754056/1495682921")</f>
        <v>https://pbs.twimg.com/profile_banners/25754056/1495682921</v>
      </c>
      <c r="AQ42" s="80" t="b">
        <v>0</v>
      </c>
      <c r="AR42" s="80" t="b">
        <v>0</v>
      </c>
      <c r="AS42" s="80" t="b">
        <v>0</v>
      </c>
      <c r="AT42" s="80"/>
      <c r="AU42" s="80">
        <v>217</v>
      </c>
      <c r="AV42" s="83" t="str">
        <f>HYPERLINK("https://abs.twimg.com/images/themes/theme4/bg.gif")</f>
        <v>https://abs.twimg.com/images/themes/theme4/bg.gif</v>
      </c>
      <c r="AW42" s="80" t="b">
        <v>1</v>
      </c>
      <c r="AX42" s="80" t="s">
        <v>315</v>
      </c>
      <c r="AY42" s="83" t="str">
        <f>HYPERLINK("https://twitter.com/chrishipkins")</f>
        <v>https://twitter.com/chrishipkins</v>
      </c>
      <c r="AZ42" s="80" t="s">
        <v>65</v>
      </c>
      <c r="BA42" s="79"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577</v>
      </c>
      <c r="B43" s="66"/>
      <c r="C43" s="66"/>
      <c r="D43" s="67">
        <v>100</v>
      </c>
      <c r="E43" s="103"/>
      <c r="F43" s="89" t="str">
        <f>HYPERLINK("https://pbs.twimg.com/profile_images/817838619670941697/vBMKBG2L_normal.jpg")</f>
        <v>https://pbs.twimg.com/profile_images/817838619670941697/vBMKBG2L_normal.jpg</v>
      </c>
      <c r="G43" s="104"/>
      <c r="H43" s="70" t="s">
        <v>577</v>
      </c>
      <c r="I43" s="71"/>
      <c r="J43" s="105"/>
      <c r="K43" s="70" t="s">
        <v>866</v>
      </c>
      <c r="L43" s="106">
        <v>1</v>
      </c>
      <c r="M43" s="75">
        <v>6692.1572265625</v>
      </c>
      <c r="N43" s="75">
        <v>738.2440795898438</v>
      </c>
      <c r="O43" s="76"/>
      <c r="P43" s="77"/>
      <c r="Q43" s="77"/>
      <c r="R43" s="107"/>
      <c r="S43" s="49">
        <v>1</v>
      </c>
      <c r="T43" s="49">
        <v>0</v>
      </c>
      <c r="U43" s="50">
        <v>0</v>
      </c>
      <c r="V43" s="50">
        <v>0.494845</v>
      </c>
      <c r="W43" s="50">
        <v>0.061674</v>
      </c>
      <c r="X43" s="50">
        <v>0.017624</v>
      </c>
      <c r="Y43" s="50">
        <v>0</v>
      </c>
      <c r="Z43" s="50">
        <v>0</v>
      </c>
      <c r="AA43" s="72">
        <v>43</v>
      </c>
      <c r="AB43" s="72"/>
      <c r="AC43" s="73"/>
      <c r="AD43" s="80" t="s">
        <v>745</v>
      </c>
      <c r="AE43" s="85" t="s">
        <v>784</v>
      </c>
      <c r="AF43" s="80">
        <v>857</v>
      </c>
      <c r="AG43" s="80">
        <v>45525</v>
      </c>
      <c r="AH43" s="80">
        <v>15491</v>
      </c>
      <c r="AI43" s="80">
        <v>5006</v>
      </c>
      <c r="AJ43" s="80"/>
      <c r="AK43" s="80" t="s">
        <v>815</v>
      </c>
      <c r="AL43" s="80" t="s">
        <v>273</v>
      </c>
      <c r="AM43" s="83" t="str">
        <f>HYPERLINK("https://t.co/7vQD6vA2sr")</f>
        <v>https://t.co/7vQD6vA2sr</v>
      </c>
      <c r="AN43" s="80"/>
      <c r="AO43" s="82">
        <v>39885.38615740741</v>
      </c>
      <c r="AP43" s="83" t="str">
        <f>HYPERLINK("https://pbs.twimg.com/profile_banners/24149001/1508617746")</f>
        <v>https://pbs.twimg.com/profile_banners/24149001/1508617746</v>
      </c>
      <c r="AQ43" s="80" t="b">
        <v>0</v>
      </c>
      <c r="AR43" s="80" t="b">
        <v>0</v>
      </c>
      <c r="AS43" s="80" t="b">
        <v>1</v>
      </c>
      <c r="AT43" s="80"/>
      <c r="AU43" s="80">
        <v>319</v>
      </c>
      <c r="AV43" s="83" t="str">
        <f>HYPERLINK("https://abs.twimg.com/images/themes/theme1/bg.png")</f>
        <v>https://abs.twimg.com/images/themes/theme1/bg.png</v>
      </c>
      <c r="AW43" s="80" t="b">
        <v>1</v>
      </c>
      <c r="AX43" s="80" t="s">
        <v>315</v>
      </c>
      <c r="AY43" s="83" t="str">
        <f>HYPERLINK("https://twitter.com/grantrobertson1")</f>
        <v>https://twitter.com/grantrobertson1</v>
      </c>
      <c r="AZ43" s="80" t="s">
        <v>65</v>
      </c>
      <c r="BA43" s="7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560</v>
      </c>
      <c r="B44" s="66"/>
      <c r="C44" s="66"/>
      <c r="D44" s="67">
        <v>100</v>
      </c>
      <c r="E44" s="103"/>
      <c r="F44" s="89" t="str">
        <f>HYPERLINK("https://pbs.twimg.com/profile_images/1246635876819451904/i-cOhbw2_normal.jpg")</f>
        <v>https://pbs.twimg.com/profile_images/1246635876819451904/i-cOhbw2_normal.jpg</v>
      </c>
      <c r="G44" s="104"/>
      <c r="H44" s="70" t="s">
        <v>560</v>
      </c>
      <c r="I44" s="71"/>
      <c r="J44" s="105"/>
      <c r="K44" s="70" t="s">
        <v>867</v>
      </c>
      <c r="L44" s="106">
        <v>1</v>
      </c>
      <c r="M44" s="75">
        <v>4778.43359375</v>
      </c>
      <c r="N44" s="75">
        <v>5053.59033203125</v>
      </c>
      <c r="O44" s="76"/>
      <c r="P44" s="77"/>
      <c r="Q44" s="77"/>
      <c r="R44" s="107"/>
      <c r="S44" s="49">
        <v>1</v>
      </c>
      <c r="T44" s="49">
        <v>1</v>
      </c>
      <c r="U44" s="50">
        <v>0</v>
      </c>
      <c r="V44" s="50">
        <v>0.5</v>
      </c>
      <c r="W44" s="50">
        <v>0.069011</v>
      </c>
      <c r="X44" s="50">
        <v>0.019053</v>
      </c>
      <c r="Y44" s="50">
        <v>0.5</v>
      </c>
      <c r="Z44" s="50">
        <v>0</v>
      </c>
      <c r="AA44" s="72">
        <v>44</v>
      </c>
      <c r="AB44" s="72"/>
      <c r="AC44" s="73"/>
      <c r="AD44" s="80" t="s">
        <v>746</v>
      </c>
      <c r="AE44" s="85" t="s">
        <v>785</v>
      </c>
      <c r="AF44" s="80">
        <v>243</v>
      </c>
      <c r="AG44" s="80">
        <v>3813</v>
      </c>
      <c r="AH44" s="80">
        <v>290</v>
      </c>
      <c r="AI44" s="80">
        <v>1524</v>
      </c>
      <c r="AJ44" s="80"/>
      <c r="AK44" s="80" t="s">
        <v>816</v>
      </c>
      <c r="AL44" s="80" t="s">
        <v>830</v>
      </c>
      <c r="AM44" s="83" t="str">
        <f>HYPERLINK("https://t.co/yqCUiYUbln")</f>
        <v>https://t.co/yqCUiYUbln</v>
      </c>
      <c r="AN44" s="80"/>
      <c r="AO44" s="82">
        <v>41254.04673611111</v>
      </c>
      <c r="AP44" s="83" t="str">
        <f>HYPERLINK("https://pbs.twimg.com/profile_banners/1002990314/1619991424")</f>
        <v>https://pbs.twimg.com/profile_banners/1002990314/1619991424</v>
      </c>
      <c r="AQ44" s="80" t="b">
        <v>1</v>
      </c>
      <c r="AR44" s="80" t="b">
        <v>0</v>
      </c>
      <c r="AS44" s="80" t="b">
        <v>0</v>
      </c>
      <c r="AT44" s="80"/>
      <c r="AU44" s="80">
        <v>23</v>
      </c>
      <c r="AV44" s="83" t="str">
        <f>HYPERLINK("https://abs.twimg.com/images/themes/theme1/bg.png")</f>
        <v>https://abs.twimg.com/images/themes/theme1/bg.png</v>
      </c>
      <c r="AW44" s="80" t="b">
        <v>1</v>
      </c>
      <c r="AX44" s="80" t="s">
        <v>315</v>
      </c>
      <c r="AY44" s="83" t="str">
        <f>HYPERLINK("https://twitter.com/ericastanfordmp")</f>
        <v>https://twitter.com/ericastanfordmp</v>
      </c>
      <c r="AZ44" s="80" t="s">
        <v>66</v>
      </c>
      <c r="BA44" s="79" t="str">
        <f>REPLACE(INDEX(GroupVertices[Group],MATCH(Vertices[[#This Row],[Vertex]],GroupVertices[Vertex],0)),1,1,"")</f>
        <v>2</v>
      </c>
      <c r="BB44" s="49">
        <v>1</v>
      </c>
      <c r="BC44" s="50">
        <v>2.9411764705882355</v>
      </c>
      <c r="BD44" s="49">
        <v>0</v>
      </c>
      <c r="BE44" s="50">
        <v>0</v>
      </c>
      <c r="BF44" s="49">
        <v>0</v>
      </c>
      <c r="BG44" s="50">
        <v>0</v>
      </c>
      <c r="BH44" s="49">
        <v>33</v>
      </c>
      <c r="BI44" s="50">
        <v>97.05882352941177</v>
      </c>
      <c r="BJ44" s="49">
        <v>34</v>
      </c>
      <c r="BK44" s="49" t="s">
        <v>907</v>
      </c>
      <c r="BL44" s="49" t="s">
        <v>907</v>
      </c>
      <c r="BM44" s="49" t="s">
        <v>266</v>
      </c>
      <c r="BN44" s="49" t="s">
        <v>266</v>
      </c>
      <c r="BO44" s="49"/>
      <c r="BP44" s="49"/>
      <c r="BQ44" s="98" t="s">
        <v>962</v>
      </c>
      <c r="BR44" s="98" t="s">
        <v>962</v>
      </c>
      <c r="BS44" s="98" t="s">
        <v>978</v>
      </c>
      <c r="BT44" s="98" t="s">
        <v>978</v>
      </c>
      <c r="BU44" s="2"/>
      <c r="BV44" s="3"/>
      <c r="BW44" s="3"/>
      <c r="BX44" s="3"/>
      <c r="BY44" s="3"/>
    </row>
    <row r="45" spans="1:77" ht="15">
      <c r="A45" s="65" t="s">
        <v>578</v>
      </c>
      <c r="B45" s="66"/>
      <c r="C45" s="66"/>
      <c r="D45" s="67">
        <v>100</v>
      </c>
      <c r="E45" s="103"/>
      <c r="F45" s="89" t="str">
        <f>HYPERLINK("https://pbs.twimg.com/profile_images/1324429030536306688/3KlT8b8__normal.jpg")</f>
        <v>https://pbs.twimg.com/profile_images/1324429030536306688/3KlT8b8__normal.jpg</v>
      </c>
      <c r="G45" s="104"/>
      <c r="H45" s="70" t="s">
        <v>578</v>
      </c>
      <c r="I45" s="71"/>
      <c r="J45" s="105"/>
      <c r="K45" s="70" t="s">
        <v>868</v>
      </c>
      <c r="L45" s="106">
        <v>1</v>
      </c>
      <c r="M45" s="75">
        <v>4966.3154296875</v>
      </c>
      <c r="N45" s="75">
        <v>3720.31689453125</v>
      </c>
      <c r="O45" s="76"/>
      <c r="P45" s="77"/>
      <c r="Q45" s="77"/>
      <c r="R45" s="107"/>
      <c r="S45" s="49">
        <v>2</v>
      </c>
      <c r="T45" s="49">
        <v>0</v>
      </c>
      <c r="U45" s="50">
        <v>0</v>
      </c>
      <c r="V45" s="50">
        <v>0.5</v>
      </c>
      <c r="W45" s="50">
        <v>0.069011</v>
      </c>
      <c r="X45" s="50">
        <v>0.019053</v>
      </c>
      <c r="Y45" s="50">
        <v>0.5</v>
      </c>
      <c r="Z45" s="50">
        <v>0</v>
      </c>
      <c r="AA45" s="72">
        <v>45</v>
      </c>
      <c r="AB45" s="72"/>
      <c r="AC45" s="73"/>
      <c r="AD45" s="80" t="s">
        <v>747</v>
      </c>
      <c r="AE45" s="85" t="s">
        <v>786</v>
      </c>
      <c r="AF45" s="80">
        <v>1580</v>
      </c>
      <c r="AG45" s="80">
        <v>2311</v>
      </c>
      <c r="AH45" s="80">
        <v>4784</v>
      </c>
      <c r="AI45" s="80">
        <v>8911</v>
      </c>
      <c r="AJ45" s="80"/>
      <c r="AK45" s="80" t="s">
        <v>817</v>
      </c>
      <c r="AL45" s="80" t="s">
        <v>274</v>
      </c>
      <c r="AM45" s="80"/>
      <c r="AN45" s="80"/>
      <c r="AO45" s="82">
        <v>42816.10901620371</v>
      </c>
      <c r="AP45" s="83" t="str">
        <f>HYPERLINK("https://pbs.twimg.com/profile_banners/844377336082419713/1490151570")</f>
        <v>https://pbs.twimg.com/profile_banners/844377336082419713/1490151570</v>
      </c>
      <c r="AQ45" s="80" t="b">
        <v>1</v>
      </c>
      <c r="AR45" s="80" t="b">
        <v>0</v>
      </c>
      <c r="AS45" s="80" t="b">
        <v>0</v>
      </c>
      <c r="AT45" s="80"/>
      <c r="AU45" s="80">
        <v>32</v>
      </c>
      <c r="AV45" s="80"/>
      <c r="AW45" s="80" t="b">
        <v>0</v>
      </c>
      <c r="AX45" s="80" t="s">
        <v>315</v>
      </c>
      <c r="AY45" s="83" t="str">
        <f>HYPERLINK("https://twitter.com/dileepa_fonseka")</f>
        <v>https://twitter.com/dileepa_fonseka</v>
      </c>
      <c r="AZ45" s="80" t="s">
        <v>65</v>
      </c>
      <c r="BA45" s="79"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561</v>
      </c>
      <c r="B46" s="66"/>
      <c r="C46" s="66"/>
      <c r="D46" s="67">
        <v>105.34759304812835</v>
      </c>
      <c r="E46" s="103"/>
      <c r="F46" s="89" t="str">
        <f>HYPERLINK("https://pbs.twimg.com/profile_images/1449026286337540096/j8wlT2Py_normal.jpg")</f>
        <v>https://pbs.twimg.com/profile_images/1449026286337540096/j8wlT2Py_normal.jpg</v>
      </c>
      <c r="G46" s="104"/>
      <c r="H46" s="70" t="s">
        <v>561</v>
      </c>
      <c r="I46" s="71"/>
      <c r="J46" s="105"/>
      <c r="K46" s="70" t="s">
        <v>869</v>
      </c>
      <c r="L46" s="106">
        <v>6.9018322948080835</v>
      </c>
      <c r="M46" s="75">
        <v>1571.79345703125</v>
      </c>
      <c r="N46" s="75">
        <v>2965.92431640625</v>
      </c>
      <c r="O46" s="76"/>
      <c r="P46" s="77"/>
      <c r="Q46" s="77"/>
      <c r="R46" s="107"/>
      <c r="S46" s="49">
        <v>0</v>
      </c>
      <c r="T46" s="49">
        <v>4</v>
      </c>
      <c r="U46" s="50">
        <v>1.111111</v>
      </c>
      <c r="V46" s="50">
        <v>0.510638</v>
      </c>
      <c r="W46" s="50">
        <v>0.141983</v>
      </c>
      <c r="X46" s="50">
        <v>0.018888</v>
      </c>
      <c r="Y46" s="50">
        <v>0.3333333333333333</v>
      </c>
      <c r="Z46" s="50">
        <v>0</v>
      </c>
      <c r="AA46" s="72">
        <v>46</v>
      </c>
      <c r="AB46" s="72"/>
      <c r="AC46" s="73"/>
      <c r="AD46" s="80" t="s">
        <v>748</v>
      </c>
      <c r="AE46" s="85" t="s">
        <v>787</v>
      </c>
      <c r="AF46" s="80">
        <v>21</v>
      </c>
      <c r="AG46" s="80">
        <v>32</v>
      </c>
      <c r="AH46" s="80">
        <v>5747</v>
      </c>
      <c r="AI46" s="80">
        <v>5383</v>
      </c>
      <c r="AJ46" s="80"/>
      <c r="AK46" s="80" t="s">
        <v>818</v>
      </c>
      <c r="AL46" s="80"/>
      <c r="AM46" s="80"/>
      <c r="AN46" s="80"/>
      <c r="AO46" s="82">
        <v>44257.69802083333</v>
      </c>
      <c r="AP46" s="80"/>
      <c r="AQ46" s="80" t="b">
        <v>1</v>
      </c>
      <c r="AR46" s="80" t="b">
        <v>0</v>
      </c>
      <c r="AS46" s="80" t="b">
        <v>0</v>
      </c>
      <c r="AT46" s="80"/>
      <c r="AU46" s="80">
        <v>0</v>
      </c>
      <c r="AV46" s="80"/>
      <c r="AW46" s="80" t="b">
        <v>0</v>
      </c>
      <c r="AX46" s="80" t="s">
        <v>315</v>
      </c>
      <c r="AY46" s="83" t="str">
        <f>HYPERLINK("https://twitter.com/ssidhugurpreet")</f>
        <v>https://twitter.com/ssidhugurpreet</v>
      </c>
      <c r="AZ46" s="80" t="s">
        <v>66</v>
      </c>
      <c r="BA46" s="79" t="str">
        <f>REPLACE(INDEX(GroupVertices[Group],MATCH(Vertices[[#This Row],[Vertex]],GroupVertices[Vertex],0)),1,1,"")</f>
        <v>1</v>
      </c>
      <c r="BB46" s="49">
        <v>0</v>
      </c>
      <c r="BC46" s="50">
        <v>0</v>
      </c>
      <c r="BD46" s="49">
        <v>9</v>
      </c>
      <c r="BE46" s="50">
        <v>8.035714285714286</v>
      </c>
      <c r="BF46" s="49">
        <v>0</v>
      </c>
      <c r="BG46" s="50">
        <v>0</v>
      </c>
      <c r="BH46" s="49">
        <v>103</v>
      </c>
      <c r="BI46" s="50">
        <v>91.96428571428571</v>
      </c>
      <c r="BJ46" s="49">
        <v>112</v>
      </c>
      <c r="BK46" s="49"/>
      <c r="BL46" s="49"/>
      <c r="BM46" s="49"/>
      <c r="BN46" s="49"/>
      <c r="BO46" s="49" t="s">
        <v>596</v>
      </c>
      <c r="BP46" s="49" t="s">
        <v>596</v>
      </c>
      <c r="BQ46" s="98" t="s">
        <v>963</v>
      </c>
      <c r="BR46" s="98" t="s">
        <v>969</v>
      </c>
      <c r="BS46" s="98" t="s">
        <v>979</v>
      </c>
      <c r="BT46" s="98" t="s">
        <v>985</v>
      </c>
      <c r="BU46" s="2"/>
      <c r="BV46" s="3"/>
      <c r="BW46" s="3"/>
      <c r="BX46" s="3"/>
      <c r="BY46" s="3"/>
    </row>
    <row r="47" spans="1:77" ht="15">
      <c r="A47" s="65" t="s">
        <v>579</v>
      </c>
      <c r="B47" s="66"/>
      <c r="C47" s="66"/>
      <c r="D47" s="67">
        <v>100</v>
      </c>
      <c r="E47" s="103"/>
      <c r="F47" s="89" t="str">
        <f>HYPERLINK("https://pbs.twimg.com/profile_images/1260365561910812672/BIg_dVBW_normal.jpg")</f>
        <v>https://pbs.twimg.com/profile_images/1260365561910812672/BIg_dVBW_normal.jpg</v>
      </c>
      <c r="G47" s="104"/>
      <c r="H47" s="70" t="s">
        <v>579</v>
      </c>
      <c r="I47" s="71"/>
      <c r="J47" s="105"/>
      <c r="K47" s="70" t="s">
        <v>870</v>
      </c>
      <c r="L47" s="106">
        <v>1</v>
      </c>
      <c r="M47" s="75">
        <v>9723.5166015625</v>
      </c>
      <c r="N47" s="75">
        <v>7755.7197265625</v>
      </c>
      <c r="O47" s="76"/>
      <c r="P47" s="77"/>
      <c r="Q47" s="77"/>
      <c r="R47" s="107"/>
      <c r="S47" s="49">
        <v>2</v>
      </c>
      <c r="T47" s="49">
        <v>0</v>
      </c>
      <c r="U47" s="50">
        <v>0</v>
      </c>
      <c r="V47" s="50">
        <v>0.510638</v>
      </c>
      <c r="W47" s="50">
        <v>0.070001</v>
      </c>
      <c r="X47" s="50">
        <v>0.018398</v>
      </c>
      <c r="Y47" s="50">
        <v>0.5</v>
      </c>
      <c r="Z47" s="50">
        <v>0</v>
      </c>
      <c r="AA47" s="72">
        <v>47</v>
      </c>
      <c r="AB47" s="72"/>
      <c r="AC47" s="73"/>
      <c r="AD47" s="80" t="s">
        <v>749</v>
      </c>
      <c r="AE47" s="85" t="s">
        <v>788</v>
      </c>
      <c r="AF47" s="80">
        <v>1731</v>
      </c>
      <c r="AG47" s="80">
        <v>60819</v>
      </c>
      <c r="AH47" s="80">
        <v>24653</v>
      </c>
      <c r="AI47" s="80">
        <v>13365</v>
      </c>
      <c r="AJ47" s="80"/>
      <c r="AK47" s="80" t="s">
        <v>819</v>
      </c>
      <c r="AL47" s="80" t="s">
        <v>310</v>
      </c>
      <c r="AM47" s="83" t="str">
        <f>HYPERLINK("https://t.co/wQGvUHOTGT")</f>
        <v>https://t.co/wQGvUHOTGT</v>
      </c>
      <c r="AN47" s="80"/>
      <c r="AO47" s="82">
        <v>39853.37769675926</v>
      </c>
      <c r="AP47" s="83" t="str">
        <f>HYPERLINK("https://pbs.twimg.com/profile_banners/20424235/1603161228")</f>
        <v>https://pbs.twimg.com/profile_banners/20424235/1603161228</v>
      </c>
      <c r="AQ47" s="80" t="b">
        <v>0</v>
      </c>
      <c r="AR47" s="80" t="b">
        <v>0</v>
      </c>
      <c r="AS47" s="80" t="b">
        <v>1</v>
      </c>
      <c r="AT47" s="80"/>
      <c r="AU47" s="80">
        <v>565</v>
      </c>
      <c r="AV47" s="83" t="str">
        <f>HYPERLINK("https://abs.twimg.com/images/themes/theme5/bg.gif")</f>
        <v>https://abs.twimg.com/images/themes/theme5/bg.gif</v>
      </c>
      <c r="AW47" s="80" t="b">
        <v>1</v>
      </c>
      <c r="AX47" s="80" t="s">
        <v>315</v>
      </c>
      <c r="AY47" s="83" t="str">
        <f>HYPERLINK("https://twitter.com/nzgreens")</f>
        <v>https://twitter.com/nzgreens</v>
      </c>
      <c r="AZ47" s="80" t="s">
        <v>65</v>
      </c>
      <c r="BA47" s="79"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521</v>
      </c>
      <c r="B48" s="66"/>
      <c r="C48" s="66"/>
      <c r="D48" s="67">
        <v>100</v>
      </c>
      <c r="E48" s="103"/>
      <c r="F48" s="89" t="str">
        <f>HYPERLINK("https://pbs.twimg.com/profile_images/839947194245398528/ZojtkkNi_normal.jpg")</f>
        <v>https://pbs.twimg.com/profile_images/839947194245398528/ZojtkkNi_normal.jpg</v>
      </c>
      <c r="G48" s="104"/>
      <c r="H48" s="70" t="s">
        <v>521</v>
      </c>
      <c r="I48" s="71"/>
      <c r="J48" s="105"/>
      <c r="K48" s="70" t="s">
        <v>535</v>
      </c>
      <c r="L48" s="106">
        <v>1</v>
      </c>
      <c r="M48" s="75">
        <v>8860.6552734375</v>
      </c>
      <c r="N48" s="75">
        <v>9242.06640625</v>
      </c>
      <c r="O48" s="76"/>
      <c r="P48" s="77"/>
      <c r="Q48" s="77"/>
      <c r="R48" s="107"/>
      <c r="S48" s="49">
        <v>2</v>
      </c>
      <c r="T48" s="49">
        <v>0</v>
      </c>
      <c r="U48" s="50">
        <v>0</v>
      </c>
      <c r="V48" s="50">
        <v>0.510638</v>
      </c>
      <c r="W48" s="50">
        <v>0.070001</v>
      </c>
      <c r="X48" s="50">
        <v>0.018398</v>
      </c>
      <c r="Y48" s="50">
        <v>0.5</v>
      </c>
      <c r="Z48" s="50">
        <v>0</v>
      </c>
      <c r="AA48" s="72">
        <v>48</v>
      </c>
      <c r="AB48" s="72"/>
      <c r="AC48" s="73"/>
      <c r="AD48" s="80" t="s">
        <v>527</v>
      </c>
      <c r="AE48" s="85" t="s">
        <v>529</v>
      </c>
      <c r="AF48" s="80">
        <v>5595</v>
      </c>
      <c r="AG48" s="80">
        <v>91611</v>
      </c>
      <c r="AH48" s="80">
        <v>13459</v>
      </c>
      <c r="AI48" s="80">
        <v>1367</v>
      </c>
      <c r="AJ48" s="80"/>
      <c r="AK48" s="80" t="s">
        <v>532</v>
      </c>
      <c r="AL48" s="80" t="s">
        <v>273</v>
      </c>
      <c r="AM48" s="83" t="str">
        <f>HYPERLINK("https://t.co/XK0vnXQ2oU")</f>
        <v>https://t.co/XK0vnXQ2oU</v>
      </c>
      <c r="AN48" s="80"/>
      <c r="AO48" s="82">
        <v>39646.41321759259</v>
      </c>
      <c r="AP48" s="83" t="str">
        <f>HYPERLINK("https://pbs.twimg.com/profile_banners/15466126/1597207901")</f>
        <v>https://pbs.twimg.com/profile_banners/15466126/1597207901</v>
      </c>
      <c r="AQ48" s="80" t="b">
        <v>0</v>
      </c>
      <c r="AR48" s="80" t="b">
        <v>0</v>
      </c>
      <c r="AS48" s="80" t="b">
        <v>1</v>
      </c>
      <c r="AT48" s="80"/>
      <c r="AU48" s="80">
        <v>414</v>
      </c>
      <c r="AV48" s="83" t="str">
        <f>HYPERLINK("https://abs.twimg.com/images/themes/theme7/bg.gif")</f>
        <v>https://abs.twimg.com/images/themes/theme7/bg.gif</v>
      </c>
      <c r="AW48" s="80" t="b">
        <v>1</v>
      </c>
      <c r="AX48" s="80" t="s">
        <v>315</v>
      </c>
      <c r="AY48" s="83" t="str">
        <f>HYPERLINK("https://twitter.com/nzlabour")</f>
        <v>https://twitter.com/nzlabour</v>
      </c>
      <c r="AZ48" s="80" t="s">
        <v>65</v>
      </c>
      <c r="BA48" s="79"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563</v>
      </c>
      <c r="B49" s="66"/>
      <c r="C49" s="66"/>
      <c r="D49" s="67">
        <v>1000</v>
      </c>
      <c r="E49" s="103"/>
      <c r="F49" s="89" t="str">
        <f>HYPERLINK("https://pbs.twimg.com/profile_images/508785422617440256/-sHWScrw_normal.png")</f>
        <v>https://pbs.twimg.com/profile_images/508785422617440256/-sHWScrw_normal.png</v>
      </c>
      <c r="G49" s="104"/>
      <c r="H49" s="70" t="s">
        <v>563</v>
      </c>
      <c r="I49" s="71"/>
      <c r="J49" s="105"/>
      <c r="K49" s="70" t="s">
        <v>871</v>
      </c>
      <c r="L49" s="106">
        <v>994.278474544048</v>
      </c>
      <c r="M49" s="75">
        <v>9114.734375</v>
      </c>
      <c r="N49" s="75">
        <v>6775.0234375</v>
      </c>
      <c r="O49" s="76"/>
      <c r="P49" s="77"/>
      <c r="Q49" s="77"/>
      <c r="R49" s="107"/>
      <c r="S49" s="49">
        <v>0</v>
      </c>
      <c r="T49" s="49">
        <v>5</v>
      </c>
      <c r="U49" s="50">
        <v>187</v>
      </c>
      <c r="V49" s="50">
        <v>0.527473</v>
      </c>
      <c r="W49" s="50">
        <v>0.078328</v>
      </c>
      <c r="X49" s="50">
        <v>0.02582</v>
      </c>
      <c r="Y49" s="50">
        <v>0.1</v>
      </c>
      <c r="Z49" s="50">
        <v>0</v>
      </c>
      <c r="AA49" s="72">
        <v>49</v>
      </c>
      <c r="AB49" s="72"/>
      <c r="AC49" s="73"/>
      <c r="AD49" s="80" t="s">
        <v>750</v>
      </c>
      <c r="AE49" s="85" t="s">
        <v>789</v>
      </c>
      <c r="AF49" s="80">
        <v>152</v>
      </c>
      <c r="AG49" s="80">
        <v>73</v>
      </c>
      <c r="AH49" s="80">
        <v>630</v>
      </c>
      <c r="AI49" s="80">
        <v>750</v>
      </c>
      <c r="AJ49" s="80"/>
      <c r="AK49" s="80" t="s">
        <v>820</v>
      </c>
      <c r="AL49" s="80" t="s">
        <v>273</v>
      </c>
      <c r="AM49" s="83" t="str">
        <f>HYPERLINK("https://t.co/0A3Bvno2pt")</f>
        <v>https://t.co/0A3Bvno2pt</v>
      </c>
      <c r="AN49" s="80"/>
      <c r="AO49" s="82">
        <v>41840.983773148146</v>
      </c>
      <c r="AP49" s="80"/>
      <c r="AQ49" s="80" t="b">
        <v>1</v>
      </c>
      <c r="AR49" s="80" t="b">
        <v>0</v>
      </c>
      <c r="AS49" s="80" t="b">
        <v>0</v>
      </c>
      <c r="AT49" s="80"/>
      <c r="AU49" s="80">
        <v>1</v>
      </c>
      <c r="AV49" s="83" t="str">
        <f>HYPERLINK("https://abs.twimg.com/images/themes/theme1/bg.png")</f>
        <v>https://abs.twimg.com/images/themes/theme1/bg.png</v>
      </c>
      <c r="AW49" s="80" t="b">
        <v>0</v>
      </c>
      <c r="AX49" s="80" t="s">
        <v>315</v>
      </c>
      <c r="AY49" s="83" t="str">
        <f>HYPERLINK("https://twitter.com/smartkiwis")</f>
        <v>https://twitter.com/smartkiwis</v>
      </c>
      <c r="AZ49" s="80" t="s">
        <v>66</v>
      </c>
      <c r="BA49" s="79" t="str">
        <f>REPLACE(INDEX(GroupVertices[Group],MATCH(Vertices[[#This Row],[Vertex]],GroupVertices[Vertex],0)),1,1,"")</f>
        <v>3</v>
      </c>
      <c r="BB49" s="49">
        <v>1</v>
      </c>
      <c r="BC49" s="50">
        <v>4.166666666666667</v>
      </c>
      <c r="BD49" s="49">
        <v>1</v>
      </c>
      <c r="BE49" s="50">
        <v>4.166666666666667</v>
      </c>
      <c r="BF49" s="49">
        <v>0</v>
      </c>
      <c r="BG49" s="50">
        <v>0</v>
      </c>
      <c r="BH49" s="49">
        <v>22</v>
      </c>
      <c r="BI49" s="50">
        <v>91.66666666666667</v>
      </c>
      <c r="BJ49" s="49">
        <v>24</v>
      </c>
      <c r="BK49" s="49" t="s">
        <v>908</v>
      </c>
      <c r="BL49" s="49" t="s">
        <v>908</v>
      </c>
      <c r="BM49" s="49" t="s">
        <v>595</v>
      </c>
      <c r="BN49" s="49" t="s">
        <v>595</v>
      </c>
      <c r="BO49" s="49" t="s">
        <v>600</v>
      </c>
      <c r="BP49" s="49" t="s">
        <v>600</v>
      </c>
      <c r="BQ49" s="98" t="s">
        <v>964</v>
      </c>
      <c r="BR49" s="98" t="s">
        <v>964</v>
      </c>
      <c r="BS49" s="98" t="s">
        <v>980</v>
      </c>
      <c r="BT49" s="98" t="s">
        <v>980</v>
      </c>
      <c r="BU49" s="2"/>
      <c r="BV49" s="3"/>
      <c r="BW49" s="3"/>
      <c r="BX49" s="3"/>
      <c r="BY49" s="3"/>
    </row>
    <row r="50" spans="1:77" ht="15">
      <c r="A50" s="65" t="s">
        <v>257</v>
      </c>
      <c r="B50" s="66"/>
      <c r="C50" s="66"/>
      <c r="D50" s="67">
        <v>100</v>
      </c>
      <c r="E50" s="103"/>
      <c r="F50" s="89" t="str">
        <f>HYPERLINK("https://pbs.twimg.com/profile_images/1516018278598324231/Xf31aDY6_normal.jpg")</f>
        <v>https://pbs.twimg.com/profile_images/1516018278598324231/Xf31aDY6_normal.jpg</v>
      </c>
      <c r="G50" s="104"/>
      <c r="H50" s="70" t="s">
        <v>257</v>
      </c>
      <c r="I50" s="71"/>
      <c r="J50" s="105"/>
      <c r="K50" s="70" t="s">
        <v>316</v>
      </c>
      <c r="L50" s="106">
        <v>1</v>
      </c>
      <c r="M50" s="75">
        <v>9368.8134765625</v>
      </c>
      <c r="N50" s="75">
        <v>4018.289794921875</v>
      </c>
      <c r="O50" s="76"/>
      <c r="P50" s="77"/>
      <c r="Q50" s="77"/>
      <c r="R50" s="107"/>
      <c r="S50" s="49">
        <v>1</v>
      </c>
      <c r="T50" s="49">
        <v>0</v>
      </c>
      <c r="U50" s="50">
        <v>0</v>
      </c>
      <c r="V50" s="50">
        <v>0.347826</v>
      </c>
      <c r="W50" s="50">
        <v>0.008327</v>
      </c>
      <c r="X50" s="50">
        <v>0.018122</v>
      </c>
      <c r="Y50" s="50">
        <v>0</v>
      </c>
      <c r="Z50" s="50">
        <v>0</v>
      </c>
      <c r="AA50" s="72">
        <v>50</v>
      </c>
      <c r="AB50" s="72"/>
      <c r="AC50" s="73"/>
      <c r="AD50" s="80" t="s">
        <v>298</v>
      </c>
      <c r="AE50" s="85" t="s">
        <v>302</v>
      </c>
      <c r="AF50" s="80">
        <v>3408</v>
      </c>
      <c r="AG50" s="80">
        <v>59924</v>
      </c>
      <c r="AH50" s="80">
        <v>11422</v>
      </c>
      <c r="AI50" s="80">
        <v>35231</v>
      </c>
      <c r="AJ50" s="80"/>
      <c r="AK50" s="80" t="s">
        <v>306</v>
      </c>
      <c r="AL50" s="80" t="s">
        <v>312</v>
      </c>
      <c r="AM50" s="83" t="str">
        <f>HYPERLINK("https://t.co/sFg3BW7fyL")</f>
        <v>https://t.co/sFg3BW7fyL</v>
      </c>
      <c r="AN50" s="80"/>
      <c r="AO50" s="82">
        <v>40535.16234953704</v>
      </c>
      <c r="AP50" s="83" t="str">
        <f>HYPERLINK("https://pbs.twimg.com/profile_banners/229711860/1636362461")</f>
        <v>https://pbs.twimg.com/profile_banners/229711860/1636362461</v>
      </c>
      <c r="AQ50" s="80" t="b">
        <v>0</v>
      </c>
      <c r="AR50" s="80" t="b">
        <v>0</v>
      </c>
      <c r="AS50" s="80" t="b">
        <v>1</v>
      </c>
      <c r="AT50" s="80"/>
      <c r="AU50" s="80">
        <v>216</v>
      </c>
      <c r="AV50" s="83" t="str">
        <f>HYPERLINK("https://abs.twimg.com/images/themes/theme1/bg.png")</f>
        <v>https://abs.twimg.com/images/themes/theme1/bg.png</v>
      </c>
      <c r="AW50" s="80" t="b">
        <v>1</v>
      </c>
      <c r="AX50" s="80" t="s">
        <v>315</v>
      </c>
      <c r="AY50" s="83" t="str">
        <f>HYPERLINK("https://twitter.com/_chloeswarbrick")</f>
        <v>https://twitter.com/_chloeswarbrick</v>
      </c>
      <c r="AZ50" s="80" t="s">
        <v>65</v>
      </c>
      <c r="BA50" s="79"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256</v>
      </c>
      <c r="B51" s="66"/>
      <c r="C51" s="66"/>
      <c r="D51" s="67">
        <v>100</v>
      </c>
      <c r="E51" s="103"/>
      <c r="F51" s="89" t="str">
        <f>HYPERLINK("https://pbs.twimg.com/profile_images/1522474055483412480/JZUPVWAP_normal.jpg")</f>
        <v>https://pbs.twimg.com/profile_images/1522474055483412480/JZUPVWAP_normal.jpg</v>
      </c>
      <c r="G51" s="104"/>
      <c r="H51" s="70" t="s">
        <v>256</v>
      </c>
      <c r="I51" s="71"/>
      <c r="J51" s="105"/>
      <c r="K51" s="70" t="s">
        <v>872</v>
      </c>
      <c r="L51" s="106">
        <v>1</v>
      </c>
      <c r="M51" s="75">
        <v>8400.5205078125</v>
      </c>
      <c r="N51" s="75">
        <v>5794.3271484375</v>
      </c>
      <c r="O51" s="76"/>
      <c r="P51" s="77"/>
      <c r="Q51" s="77"/>
      <c r="R51" s="107"/>
      <c r="S51" s="49">
        <v>1</v>
      </c>
      <c r="T51" s="49">
        <v>0</v>
      </c>
      <c r="U51" s="50">
        <v>0</v>
      </c>
      <c r="V51" s="50">
        <v>0.347826</v>
      </c>
      <c r="W51" s="50">
        <v>0.008327</v>
      </c>
      <c r="X51" s="50">
        <v>0.018122</v>
      </c>
      <c r="Y51" s="50">
        <v>0</v>
      </c>
      <c r="Z51" s="50">
        <v>0</v>
      </c>
      <c r="AA51" s="72">
        <v>51</v>
      </c>
      <c r="AB51" s="72"/>
      <c r="AC51" s="73"/>
      <c r="AD51" s="80" t="s">
        <v>300</v>
      </c>
      <c r="AE51" s="85" t="s">
        <v>304</v>
      </c>
      <c r="AF51" s="80">
        <v>1659</v>
      </c>
      <c r="AG51" s="80">
        <v>905</v>
      </c>
      <c r="AH51" s="80">
        <v>33251</v>
      </c>
      <c r="AI51" s="80">
        <v>30182</v>
      </c>
      <c r="AJ51" s="80"/>
      <c r="AK51" s="80" t="s">
        <v>308</v>
      </c>
      <c r="AL51" s="80" t="s">
        <v>314</v>
      </c>
      <c r="AM51" s="80"/>
      <c r="AN51" s="80"/>
      <c r="AO51" s="82">
        <v>42897.52652777778</v>
      </c>
      <c r="AP51" s="83" t="str">
        <f>HYPERLINK("https://pbs.twimg.com/profile_banners/873882053871374336/1651814068")</f>
        <v>https://pbs.twimg.com/profile_banners/873882053871374336/1651814068</v>
      </c>
      <c r="AQ51" s="80" t="b">
        <v>1</v>
      </c>
      <c r="AR51" s="80" t="b">
        <v>0</v>
      </c>
      <c r="AS51" s="80" t="b">
        <v>0</v>
      </c>
      <c r="AT51" s="80"/>
      <c r="AU51" s="80">
        <v>8</v>
      </c>
      <c r="AV51" s="80"/>
      <c r="AW51" s="80" t="b">
        <v>0</v>
      </c>
      <c r="AX51" s="80" t="s">
        <v>315</v>
      </c>
      <c r="AY51" s="83" t="str">
        <f>HYPERLINK("https://twitter.com/theconsultant18")</f>
        <v>https://twitter.com/theconsultant18</v>
      </c>
      <c r="AZ51" s="80" t="s">
        <v>65</v>
      </c>
      <c r="BA51" s="79"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395</v>
      </c>
      <c r="Z2" s="54" t="s">
        <v>396</v>
      </c>
      <c r="AA2" s="54" t="s">
        <v>397</v>
      </c>
      <c r="AB2" s="54" t="s">
        <v>398</v>
      </c>
      <c r="AC2" s="54" t="s">
        <v>399</v>
      </c>
      <c r="AD2" s="54" t="s">
        <v>400</v>
      </c>
      <c r="AE2" s="54" t="s">
        <v>401</v>
      </c>
      <c r="AF2" s="54" t="s">
        <v>402</v>
      </c>
      <c r="AG2" s="54" t="s">
        <v>405</v>
      </c>
      <c r="AH2" s="13" t="s">
        <v>451</v>
      </c>
      <c r="AI2" s="13" t="s">
        <v>457</v>
      </c>
      <c r="AJ2" s="13" t="s">
        <v>463</v>
      </c>
      <c r="AK2" s="13" t="s">
        <v>469</v>
      </c>
      <c r="AL2" s="13" t="s">
        <v>475</v>
      </c>
      <c r="AM2" s="13" t="s">
        <v>486</v>
      </c>
      <c r="AN2" s="13" t="s">
        <v>487</v>
      </c>
      <c r="AO2" s="13" t="s">
        <v>493</v>
      </c>
    </row>
    <row r="3" spans="1:41" ht="15">
      <c r="A3" s="65" t="s">
        <v>321</v>
      </c>
      <c r="B3" s="66" t="s">
        <v>325</v>
      </c>
      <c r="C3" s="66" t="s">
        <v>56</v>
      </c>
      <c r="D3" s="14"/>
      <c r="E3" s="14"/>
      <c r="F3" s="15" t="s">
        <v>986</v>
      </c>
      <c r="G3" s="64"/>
      <c r="H3" s="64"/>
      <c r="I3" s="78">
        <v>3</v>
      </c>
      <c r="J3" s="51"/>
      <c r="K3" s="49">
        <v>23</v>
      </c>
      <c r="L3" s="49">
        <v>26</v>
      </c>
      <c r="M3" s="49">
        <v>26</v>
      </c>
      <c r="N3" s="49">
        <v>52</v>
      </c>
      <c r="O3" s="49">
        <v>0</v>
      </c>
      <c r="P3" s="50">
        <v>0</v>
      </c>
      <c r="Q3" s="50">
        <v>0</v>
      </c>
      <c r="R3" s="49">
        <v>1</v>
      </c>
      <c r="S3" s="49">
        <v>0</v>
      </c>
      <c r="T3" s="49">
        <v>23</v>
      </c>
      <c r="U3" s="49">
        <v>52</v>
      </c>
      <c r="V3" s="49">
        <v>3</v>
      </c>
      <c r="W3" s="50">
        <v>1.844991</v>
      </c>
      <c r="X3" s="50">
        <v>0.07707509881422925</v>
      </c>
      <c r="Y3" s="49">
        <v>0</v>
      </c>
      <c r="Z3" s="50">
        <v>0</v>
      </c>
      <c r="AA3" s="49">
        <v>118</v>
      </c>
      <c r="AB3" s="50">
        <v>8.309859154929578</v>
      </c>
      <c r="AC3" s="49">
        <v>0</v>
      </c>
      <c r="AD3" s="50">
        <v>0</v>
      </c>
      <c r="AE3" s="49">
        <v>1302</v>
      </c>
      <c r="AF3" s="50">
        <v>91.69014084507042</v>
      </c>
      <c r="AG3" s="49">
        <v>1420</v>
      </c>
      <c r="AH3" s="79"/>
      <c r="AI3" s="79"/>
      <c r="AJ3" s="79" t="s">
        <v>596</v>
      </c>
      <c r="AK3" s="88" t="s">
        <v>918</v>
      </c>
      <c r="AL3" s="88" t="s">
        <v>938</v>
      </c>
      <c r="AM3" s="88" t="s">
        <v>559</v>
      </c>
      <c r="AN3" s="88" t="s">
        <v>942</v>
      </c>
      <c r="AO3" s="88" t="s">
        <v>946</v>
      </c>
    </row>
    <row r="4" spans="1:41" ht="15">
      <c r="A4" s="108" t="s">
        <v>322</v>
      </c>
      <c r="B4" s="66" t="s">
        <v>326</v>
      </c>
      <c r="C4" s="66" t="s">
        <v>56</v>
      </c>
      <c r="D4" s="109"/>
      <c r="E4" s="14"/>
      <c r="F4" s="15" t="s">
        <v>987</v>
      </c>
      <c r="G4" s="64"/>
      <c r="H4" s="64"/>
      <c r="I4" s="78">
        <v>4</v>
      </c>
      <c r="J4" s="110"/>
      <c r="K4" s="49">
        <v>18</v>
      </c>
      <c r="L4" s="49">
        <v>17</v>
      </c>
      <c r="M4" s="49">
        <v>4</v>
      </c>
      <c r="N4" s="49">
        <v>21</v>
      </c>
      <c r="O4" s="49">
        <v>2</v>
      </c>
      <c r="P4" s="50">
        <v>0</v>
      </c>
      <c r="Q4" s="50">
        <v>0</v>
      </c>
      <c r="R4" s="49">
        <v>1</v>
      </c>
      <c r="S4" s="49">
        <v>0</v>
      </c>
      <c r="T4" s="49">
        <v>18</v>
      </c>
      <c r="U4" s="49">
        <v>21</v>
      </c>
      <c r="V4" s="49">
        <v>2</v>
      </c>
      <c r="W4" s="50">
        <v>1.777778</v>
      </c>
      <c r="X4" s="50">
        <v>0.058823529411764705</v>
      </c>
      <c r="Y4" s="49">
        <v>3</v>
      </c>
      <c r="Z4" s="50">
        <v>0.8955223880597015</v>
      </c>
      <c r="AA4" s="49">
        <v>17</v>
      </c>
      <c r="AB4" s="50">
        <v>5.074626865671642</v>
      </c>
      <c r="AC4" s="49">
        <v>0</v>
      </c>
      <c r="AD4" s="50">
        <v>0</v>
      </c>
      <c r="AE4" s="49">
        <v>315</v>
      </c>
      <c r="AF4" s="50">
        <v>94.02985074626865</v>
      </c>
      <c r="AG4" s="49">
        <v>335</v>
      </c>
      <c r="AH4" s="79" t="s">
        <v>912</v>
      </c>
      <c r="AI4" s="79" t="s">
        <v>913</v>
      </c>
      <c r="AJ4" s="79" t="s">
        <v>917</v>
      </c>
      <c r="AK4" s="88" t="s">
        <v>919</v>
      </c>
      <c r="AL4" s="88" t="s">
        <v>939</v>
      </c>
      <c r="AM4" s="79" t="s">
        <v>941</v>
      </c>
      <c r="AN4" s="79" t="s">
        <v>943</v>
      </c>
      <c r="AO4" s="79" t="s">
        <v>947</v>
      </c>
    </row>
    <row r="5" spans="1:41" ht="15">
      <c r="A5" s="108" t="s">
        <v>323</v>
      </c>
      <c r="B5" s="66" t="s">
        <v>327</v>
      </c>
      <c r="C5" s="66" t="s">
        <v>56</v>
      </c>
      <c r="D5" s="109"/>
      <c r="E5" s="14"/>
      <c r="F5" s="15" t="s">
        <v>988</v>
      </c>
      <c r="G5" s="64"/>
      <c r="H5" s="64"/>
      <c r="I5" s="78">
        <v>5</v>
      </c>
      <c r="J5" s="110"/>
      <c r="K5" s="49">
        <v>5</v>
      </c>
      <c r="L5" s="49">
        <v>4</v>
      </c>
      <c r="M5" s="49">
        <v>0</v>
      </c>
      <c r="N5" s="49">
        <v>4</v>
      </c>
      <c r="O5" s="49">
        <v>0</v>
      </c>
      <c r="P5" s="50">
        <v>0</v>
      </c>
      <c r="Q5" s="50">
        <v>0</v>
      </c>
      <c r="R5" s="49">
        <v>1</v>
      </c>
      <c r="S5" s="49">
        <v>0</v>
      </c>
      <c r="T5" s="49">
        <v>5</v>
      </c>
      <c r="U5" s="49">
        <v>4</v>
      </c>
      <c r="V5" s="49">
        <v>2</v>
      </c>
      <c r="W5" s="50">
        <v>1.28</v>
      </c>
      <c r="X5" s="50">
        <v>0.2</v>
      </c>
      <c r="Y5" s="49">
        <v>1</v>
      </c>
      <c r="Z5" s="50">
        <v>4.166666666666667</v>
      </c>
      <c r="AA5" s="49">
        <v>1</v>
      </c>
      <c r="AB5" s="50">
        <v>4.166666666666667</v>
      </c>
      <c r="AC5" s="49">
        <v>0</v>
      </c>
      <c r="AD5" s="50">
        <v>0</v>
      </c>
      <c r="AE5" s="49">
        <v>22</v>
      </c>
      <c r="AF5" s="50">
        <v>91.66666666666667</v>
      </c>
      <c r="AG5" s="49">
        <v>24</v>
      </c>
      <c r="AH5" s="79" t="s">
        <v>908</v>
      </c>
      <c r="AI5" s="79" t="s">
        <v>595</v>
      </c>
      <c r="AJ5" s="79" t="s">
        <v>600</v>
      </c>
      <c r="AK5" s="88" t="s">
        <v>920</v>
      </c>
      <c r="AL5" s="88" t="s">
        <v>267</v>
      </c>
      <c r="AM5" s="79"/>
      <c r="AN5" s="79" t="s">
        <v>944</v>
      </c>
      <c r="AO5" s="79" t="s">
        <v>948</v>
      </c>
    </row>
    <row r="6" spans="1:41" ht="15">
      <c r="A6" s="108" t="s">
        <v>324</v>
      </c>
      <c r="B6" s="66" t="s">
        <v>328</v>
      </c>
      <c r="C6" s="66" t="s">
        <v>56</v>
      </c>
      <c r="D6" s="111"/>
      <c r="E6" s="111"/>
      <c r="F6" s="112" t="s">
        <v>989</v>
      </c>
      <c r="G6" s="113"/>
      <c r="H6" s="113"/>
      <c r="I6" s="114">
        <v>6</v>
      </c>
      <c r="J6" s="114"/>
      <c r="K6" s="49">
        <v>3</v>
      </c>
      <c r="L6" s="49">
        <v>3</v>
      </c>
      <c r="M6" s="49">
        <v>0</v>
      </c>
      <c r="N6" s="49">
        <v>3</v>
      </c>
      <c r="O6" s="49">
        <v>0</v>
      </c>
      <c r="P6" s="50">
        <v>0</v>
      </c>
      <c r="Q6" s="50">
        <v>0</v>
      </c>
      <c r="R6" s="49">
        <v>1</v>
      </c>
      <c r="S6" s="49">
        <v>0</v>
      </c>
      <c r="T6" s="49">
        <v>3</v>
      </c>
      <c r="U6" s="49">
        <v>3</v>
      </c>
      <c r="V6" s="49">
        <v>1</v>
      </c>
      <c r="W6" s="50">
        <v>0.666667</v>
      </c>
      <c r="X6" s="50">
        <v>0.5</v>
      </c>
      <c r="Y6" s="49">
        <v>0</v>
      </c>
      <c r="Z6" s="50">
        <v>0</v>
      </c>
      <c r="AA6" s="49">
        <v>9</v>
      </c>
      <c r="AB6" s="50">
        <v>10</v>
      </c>
      <c r="AC6" s="49">
        <v>0</v>
      </c>
      <c r="AD6" s="50">
        <v>0</v>
      </c>
      <c r="AE6" s="49">
        <v>81</v>
      </c>
      <c r="AF6" s="50">
        <v>90</v>
      </c>
      <c r="AG6" s="49">
        <v>90</v>
      </c>
      <c r="AH6" s="79"/>
      <c r="AI6" s="79"/>
      <c r="AJ6" s="79" t="s">
        <v>596</v>
      </c>
      <c r="AK6" s="88" t="s">
        <v>921</v>
      </c>
      <c r="AL6" s="88" t="s">
        <v>940</v>
      </c>
      <c r="AM6" s="79" t="s">
        <v>559</v>
      </c>
      <c r="AN6" s="79" t="s">
        <v>945</v>
      </c>
      <c r="AO6" s="79" t="s">
        <v>949</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321</v>
      </c>
      <c r="B2" s="88" t="s">
        <v>561</v>
      </c>
      <c r="C2" s="79">
        <f>VLOOKUP(GroupVertices[[#This Row],[Vertex]],Vertices[],MATCH("ID",Vertices[[#Headers],[Vertex]:[Top Word Pairs in Tweet by Salience]],0),FALSE)</f>
        <v>46</v>
      </c>
    </row>
    <row r="3" spans="1:3" ht="15">
      <c r="A3" s="80" t="s">
        <v>321</v>
      </c>
      <c r="B3" s="88" t="s">
        <v>562</v>
      </c>
      <c r="C3" s="79">
        <f>VLOOKUP(GroupVertices[[#This Row],[Vertex]],Vertices[],MATCH("ID",Vertices[[#Headers],[Vertex]:[Top Word Pairs in Tweet by Salience]],0),FALSE)</f>
        <v>27</v>
      </c>
    </row>
    <row r="4" spans="1:3" ht="15">
      <c r="A4" s="80" t="s">
        <v>321</v>
      </c>
      <c r="B4" s="88" t="s">
        <v>258</v>
      </c>
      <c r="C4" s="79">
        <f>VLOOKUP(GroupVertices[[#This Row],[Vertex]],Vertices[],MATCH("ID",Vertices[[#Headers],[Vertex]:[Top Word Pairs in Tweet by Salience]],0),FALSE)</f>
        <v>5</v>
      </c>
    </row>
    <row r="5" spans="1:3" ht="15">
      <c r="A5" s="80" t="s">
        <v>321</v>
      </c>
      <c r="B5" s="88" t="s">
        <v>519</v>
      </c>
      <c r="C5" s="79">
        <f>VLOOKUP(GroupVertices[[#This Row],[Vertex]],Vertices[],MATCH("ID",Vertices[[#Headers],[Vertex]:[Top Word Pairs in Tweet by Salience]],0),FALSE)</f>
        <v>4</v>
      </c>
    </row>
    <row r="6" spans="1:3" ht="15">
      <c r="A6" s="80" t="s">
        <v>321</v>
      </c>
      <c r="B6" s="88" t="s">
        <v>558</v>
      </c>
      <c r="C6" s="79">
        <f>VLOOKUP(GroupVertices[[#This Row],[Vertex]],Vertices[],MATCH("ID",Vertices[[#Headers],[Vertex]:[Top Word Pairs in Tweet by Salience]],0),FALSE)</f>
        <v>28</v>
      </c>
    </row>
    <row r="7" spans="1:3" ht="15">
      <c r="A7" s="80" t="s">
        <v>321</v>
      </c>
      <c r="B7" s="88" t="s">
        <v>557</v>
      </c>
      <c r="C7" s="79">
        <f>VLOOKUP(GroupVertices[[#This Row],[Vertex]],Vertices[],MATCH("ID",Vertices[[#Headers],[Vertex]:[Top Word Pairs in Tweet by Salience]],0),FALSE)</f>
        <v>26</v>
      </c>
    </row>
    <row r="8" spans="1:3" ht="15">
      <c r="A8" s="80" t="s">
        <v>321</v>
      </c>
      <c r="B8" s="88" t="s">
        <v>554</v>
      </c>
      <c r="C8" s="79">
        <f>VLOOKUP(GroupVertices[[#This Row],[Vertex]],Vertices[],MATCH("ID",Vertices[[#Headers],[Vertex]:[Top Word Pairs in Tweet by Salience]],0),FALSE)</f>
        <v>22</v>
      </c>
    </row>
    <row r="9" spans="1:3" ht="15">
      <c r="A9" s="80" t="s">
        <v>321</v>
      </c>
      <c r="B9" s="88" t="s">
        <v>553</v>
      </c>
      <c r="C9" s="79">
        <f>VLOOKUP(GroupVertices[[#This Row],[Vertex]],Vertices[],MATCH("ID",Vertices[[#Headers],[Vertex]:[Top Word Pairs in Tweet by Salience]],0),FALSE)</f>
        <v>21</v>
      </c>
    </row>
    <row r="10" spans="1:3" ht="15">
      <c r="A10" s="80" t="s">
        <v>321</v>
      </c>
      <c r="B10" s="88" t="s">
        <v>552</v>
      </c>
      <c r="C10" s="79">
        <f>VLOOKUP(GroupVertices[[#This Row],[Vertex]],Vertices[],MATCH("ID",Vertices[[#Headers],[Vertex]:[Top Word Pairs in Tweet by Salience]],0),FALSE)</f>
        <v>20</v>
      </c>
    </row>
    <row r="11" spans="1:3" ht="15">
      <c r="A11" s="80" t="s">
        <v>321</v>
      </c>
      <c r="B11" s="88" t="s">
        <v>551</v>
      </c>
      <c r="C11" s="79">
        <f>VLOOKUP(GroupVertices[[#This Row],[Vertex]],Vertices[],MATCH("ID",Vertices[[#Headers],[Vertex]:[Top Word Pairs in Tweet by Salience]],0),FALSE)</f>
        <v>19</v>
      </c>
    </row>
    <row r="12" spans="1:3" ht="15">
      <c r="A12" s="80" t="s">
        <v>321</v>
      </c>
      <c r="B12" s="88" t="s">
        <v>550</v>
      </c>
      <c r="C12" s="79">
        <f>VLOOKUP(GroupVertices[[#This Row],[Vertex]],Vertices[],MATCH("ID",Vertices[[#Headers],[Vertex]:[Top Word Pairs in Tweet by Salience]],0),FALSE)</f>
        <v>18</v>
      </c>
    </row>
    <row r="13" spans="1:3" ht="15">
      <c r="A13" s="80" t="s">
        <v>321</v>
      </c>
      <c r="B13" s="88" t="s">
        <v>549</v>
      </c>
      <c r="C13" s="79">
        <f>VLOOKUP(GroupVertices[[#This Row],[Vertex]],Vertices[],MATCH("ID",Vertices[[#Headers],[Vertex]:[Top Word Pairs in Tweet by Salience]],0),FALSE)</f>
        <v>17</v>
      </c>
    </row>
    <row r="14" spans="1:3" ht="15">
      <c r="A14" s="80" t="s">
        <v>321</v>
      </c>
      <c r="B14" s="88" t="s">
        <v>548</v>
      </c>
      <c r="C14" s="79">
        <f>VLOOKUP(GroupVertices[[#This Row],[Vertex]],Vertices[],MATCH("ID",Vertices[[#Headers],[Vertex]:[Top Word Pairs in Tweet by Salience]],0),FALSE)</f>
        <v>16</v>
      </c>
    </row>
    <row r="15" spans="1:3" ht="15">
      <c r="A15" s="80" t="s">
        <v>321</v>
      </c>
      <c r="B15" s="88" t="s">
        <v>547</v>
      </c>
      <c r="C15" s="79">
        <f>VLOOKUP(GroupVertices[[#This Row],[Vertex]],Vertices[],MATCH("ID",Vertices[[#Headers],[Vertex]:[Top Word Pairs in Tweet by Salience]],0),FALSE)</f>
        <v>15</v>
      </c>
    </row>
    <row r="16" spans="1:3" ht="15">
      <c r="A16" s="80" t="s">
        <v>321</v>
      </c>
      <c r="B16" s="88" t="s">
        <v>518</v>
      </c>
      <c r="C16" s="79">
        <f>VLOOKUP(GroupVertices[[#This Row],[Vertex]],Vertices[],MATCH("ID",Vertices[[#Headers],[Vertex]:[Top Word Pairs in Tweet by Salience]],0),FALSE)</f>
        <v>14</v>
      </c>
    </row>
    <row r="17" spans="1:3" ht="15">
      <c r="A17" s="80" t="s">
        <v>321</v>
      </c>
      <c r="B17" s="88" t="s">
        <v>546</v>
      </c>
      <c r="C17" s="79">
        <f>VLOOKUP(GroupVertices[[#This Row],[Vertex]],Vertices[],MATCH("ID",Vertices[[#Headers],[Vertex]:[Top Word Pairs in Tweet by Salience]],0),FALSE)</f>
        <v>13</v>
      </c>
    </row>
    <row r="18" spans="1:3" ht="15">
      <c r="A18" s="80" t="s">
        <v>321</v>
      </c>
      <c r="B18" s="88" t="s">
        <v>545</v>
      </c>
      <c r="C18" s="79">
        <f>VLOOKUP(GroupVertices[[#This Row],[Vertex]],Vertices[],MATCH("ID",Vertices[[#Headers],[Vertex]:[Top Word Pairs in Tweet by Salience]],0),FALSE)</f>
        <v>12</v>
      </c>
    </row>
    <row r="19" spans="1:3" ht="15">
      <c r="A19" s="80" t="s">
        <v>321</v>
      </c>
      <c r="B19" s="88" t="s">
        <v>544</v>
      </c>
      <c r="C19" s="79">
        <f>VLOOKUP(GroupVertices[[#This Row],[Vertex]],Vertices[],MATCH("ID",Vertices[[#Headers],[Vertex]:[Top Word Pairs in Tweet by Salience]],0),FALSE)</f>
        <v>11</v>
      </c>
    </row>
    <row r="20" spans="1:3" ht="15">
      <c r="A20" s="80" t="s">
        <v>321</v>
      </c>
      <c r="B20" s="88" t="s">
        <v>543</v>
      </c>
      <c r="C20" s="79">
        <f>VLOOKUP(GroupVertices[[#This Row],[Vertex]],Vertices[],MATCH("ID",Vertices[[#Headers],[Vertex]:[Top Word Pairs in Tweet by Salience]],0),FALSE)</f>
        <v>10</v>
      </c>
    </row>
    <row r="21" spans="1:3" ht="15">
      <c r="A21" s="80" t="s">
        <v>321</v>
      </c>
      <c r="B21" s="88" t="s">
        <v>542</v>
      </c>
      <c r="C21" s="79">
        <f>VLOOKUP(GroupVertices[[#This Row],[Vertex]],Vertices[],MATCH("ID",Vertices[[#Headers],[Vertex]:[Top Word Pairs in Tweet by Salience]],0),FALSE)</f>
        <v>9</v>
      </c>
    </row>
    <row r="22" spans="1:3" ht="15">
      <c r="A22" s="80" t="s">
        <v>321</v>
      </c>
      <c r="B22" s="88" t="s">
        <v>541</v>
      </c>
      <c r="C22" s="79">
        <f>VLOOKUP(GroupVertices[[#This Row],[Vertex]],Vertices[],MATCH("ID",Vertices[[#Headers],[Vertex]:[Top Word Pairs in Tweet by Salience]],0),FALSE)</f>
        <v>8</v>
      </c>
    </row>
    <row r="23" spans="1:3" ht="15">
      <c r="A23" s="80" t="s">
        <v>321</v>
      </c>
      <c r="B23" s="88" t="s">
        <v>540</v>
      </c>
      <c r="C23" s="79">
        <f>VLOOKUP(GroupVertices[[#This Row],[Vertex]],Vertices[],MATCH("ID",Vertices[[#Headers],[Vertex]:[Top Word Pairs in Tweet by Salience]],0),FALSE)</f>
        <v>7</v>
      </c>
    </row>
    <row r="24" spans="1:3" ht="15">
      <c r="A24" s="80" t="s">
        <v>321</v>
      </c>
      <c r="B24" s="88" t="s">
        <v>539</v>
      </c>
      <c r="C24" s="79">
        <f>VLOOKUP(GroupVertices[[#This Row],[Vertex]],Vertices[],MATCH("ID",Vertices[[#Headers],[Vertex]:[Top Word Pairs in Tweet by Salience]],0),FALSE)</f>
        <v>3</v>
      </c>
    </row>
    <row r="25" spans="1:3" ht="15">
      <c r="A25" s="80" t="s">
        <v>322</v>
      </c>
      <c r="B25" s="88" t="s">
        <v>559</v>
      </c>
      <c r="C25" s="79">
        <f>VLOOKUP(GroupVertices[[#This Row],[Vertex]],Vertices[],MATCH("ID",Vertices[[#Headers],[Vertex]:[Top Word Pairs in Tweet by Salience]],0),FALSE)</f>
        <v>6</v>
      </c>
    </row>
    <row r="26" spans="1:3" ht="15">
      <c r="A26" s="80" t="s">
        <v>322</v>
      </c>
      <c r="B26" s="88" t="s">
        <v>578</v>
      </c>
      <c r="C26" s="79">
        <f>VLOOKUP(GroupVertices[[#This Row],[Vertex]],Vertices[],MATCH("ID",Vertices[[#Headers],[Vertex]:[Top Word Pairs in Tweet by Salience]],0),FALSE)</f>
        <v>45</v>
      </c>
    </row>
    <row r="27" spans="1:3" ht="15">
      <c r="A27" s="80" t="s">
        <v>322</v>
      </c>
      <c r="B27" s="88" t="s">
        <v>560</v>
      </c>
      <c r="C27" s="79">
        <f>VLOOKUP(GroupVertices[[#This Row],[Vertex]],Vertices[],MATCH("ID",Vertices[[#Headers],[Vertex]:[Top Word Pairs in Tweet by Salience]],0),FALSE)</f>
        <v>44</v>
      </c>
    </row>
    <row r="28" spans="1:3" ht="15">
      <c r="A28" s="80" t="s">
        <v>322</v>
      </c>
      <c r="B28" s="88" t="s">
        <v>577</v>
      </c>
      <c r="C28" s="79">
        <f>VLOOKUP(GroupVertices[[#This Row],[Vertex]],Vertices[],MATCH("ID",Vertices[[#Headers],[Vertex]:[Top Word Pairs in Tweet by Salience]],0),FALSE)</f>
        <v>43</v>
      </c>
    </row>
    <row r="29" spans="1:3" ht="15">
      <c r="A29" s="80" t="s">
        <v>322</v>
      </c>
      <c r="B29" s="88" t="s">
        <v>576</v>
      </c>
      <c r="C29" s="79">
        <f>VLOOKUP(GroupVertices[[#This Row],[Vertex]],Vertices[],MATCH("ID",Vertices[[#Headers],[Vertex]:[Top Word Pairs in Tweet by Salience]],0),FALSE)</f>
        <v>42</v>
      </c>
    </row>
    <row r="30" spans="1:3" ht="15">
      <c r="A30" s="80" t="s">
        <v>322</v>
      </c>
      <c r="B30" s="88" t="s">
        <v>575</v>
      </c>
      <c r="C30" s="79">
        <f>VLOOKUP(GroupVertices[[#This Row],[Vertex]],Vertices[],MATCH("ID",Vertices[[#Headers],[Vertex]:[Top Word Pairs in Tweet by Salience]],0),FALSE)</f>
        <v>41</v>
      </c>
    </row>
    <row r="31" spans="1:3" ht="15">
      <c r="A31" s="80" t="s">
        <v>322</v>
      </c>
      <c r="B31" s="88" t="s">
        <v>574</v>
      </c>
      <c r="C31" s="79">
        <f>VLOOKUP(GroupVertices[[#This Row],[Vertex]],Vertices[],MATCH("ID",Vertices[[#Headers],[Vertex]:[Top Word Pairs in Tweet by Salience]],0),FALSE)</f>
        <v>40</v>
      </c>
    </row>
    <row r="32" spans="1:3" ht="15">
      <c r="A32" s="80" t="s">
        <v>322</v>
      </c>
      <c r="B32" s="88" t="s">
        <v>573</v>
      </c>
      <c r="C32" s="79">
        <f>VLOOKUP(GroupVertices[[#This Row],[Vertex]],Vertices[],MATCH("ID",Vertices[[#Headers],[Vertex]:[Top Word Pairs in Tweet by Salience]],0),FALSE)</f>
        <v>39</v>
      </c>
    </row>
    <row r="33" spans="1:3" ht="15">
      <c r="A33" s="80" t="s">
        <v>322</v>
      </c>
      <c r="B33" s="88" t="s">
        <v>572</v>
      </c>
      <c r="C33" s="79">
        <f>VLOOKUP(GroupVertices[[#This Row],[Vertex]],Vertices[],MATCH("ID",Vertices[[#Headers],[Vertex]:[Top Word Pairs in Tweet by Salience]],0),FALSE)</f>
        <v>38</v>
      </c>
    </row>
    <row r="34" spans="1:3" ht="15">
      <c r="A34" s="80" t="s">
        <v>322</v>
      </c>
      <c r="B34" s="88" t="s">
        <v>571</v>
      </c>
      <c r="C34" s="79">
        <f>VLOOKUP(GroupVertices[[#This Row],[Vertex]],Vertices[],MATCH("ID",Vertices[[#Headers],[Vertex]:[Top Word Pairs in Tweet by Salience]],0),FALSE)</f>
        <v>37</v>
      </c>
    </row>
    <row r="35" spans="1:3" ht="15">
      <c r="A35" s="80" t="s">
        <v>322</v>
      </c>
      <c r="B35" s="88" t="s">
        <v>570</v>
      </c>
      <c r="C35" s="79">
        <f>VLOOKUP(GroupVertices[[#This Row],[Vertex]],Vertices[],MATCH("ID",Vertices[[#Headers],[Vertex]:[Top Word Pairs in Tweet by Salience]],0),FALSE)</f>
        <v>36</v>
      </c>
    </row>
    <row r="36" spans="1:3" ht="15">
      <c r="A36" s="80" t="s">
        <v>322</v>
      </c>
      <c r="B36" s="88" t="s">
        <v>569</v>
      </c>
      <c r="C36" s="79">
        <f>VLOOKUP(GroupVertices[[#This Row],[Vertex]],Vertices[],MATCH("ID",Vertices[[#Headers],[Vertex]:[Top Word Pairs in Tweet by Salience]],0),FALSE)</f>
        <v>35</v>
      </c>
    </row>
    <row r="37" spans="1:3" ht="15">
      <c r="A37" s="80" t="s">
        <v>322</v>
      </c>
      <c r="B37" s="88" t="s">
        <v>568</v>
      </c>
      <c r="C37" s="79">
        <f>VLOOKUP(GroupVertices[[#This Row],[Vertex]],Vertices[],MATCH("ID",Vertices[[#Headers],[Vertex]:[Top Word Pairs in Tweet by Salience]],0),FALSE)</f>
        <v>34</v>
      </c>
    </row>
    <row r="38" spans="1:3" ht="15">
      <c r="A38" s="80" t="s">
        <v>322</v>
      </c>
      <c r="B38" s="88" t="s">
        <v>259</v>
      </c>
      <c r="C38" s="79">
        <f>VLOOKUP(GroupVertices[[#This Row],[Vertex]],Vertices[],MATCH("ID",Vertices[[#Headers],[Vertex]:[Top Word Pairs in Tweet by Salience]],0),FALSE)</f>
        <v>33</v>
      </c>
    </row>
    <row r="39" spans="1:3" ht="15">
      <c r="A39" s="80" t="s">
        <v>322</v>
      </c>
      <c r="B39" s="88" t="s">
        <v>567</v>
      </c>
      <c r="C39" s="79">
        <f>VLOOKUP(GroupVertices[[#This Row],[Vertex]],Vertices[],MATCH("ID",Vertices[[#Headers],[Vertex]:[Top Word Pairs in Tweet by Salience]],0),FALSE)</f>
        <v>32</v>
      </c>
    </row>
    <row r="40" spans="1:3" ht="15">
      <c r="A40" s="80" t="s">
        <v>322</v>
      </c>
      <c r="B40" s="88" t="s">
        <v>566</v>
      </c>
      <c r="C40" s="79">
        <f>VLOOKUP(GroupVertices[[#This Row],[Vertex]],Vertices[],MATCH("ID",Vertices[[#Headers],[Vertex]:[Top Word Pairs in Tweet by Salience]],0),FALSE)</f>
        <v>31</v>
      </c>
    </row>
    <row r="41" spans="1:3" ht="15">
      <c r="A41" s="80" t="s">
        <v>322</v>
      </c>
      <c r="B41" s="88" t="s">
        <v>565</v>
      </c>
      <c r="C41" s="79">
        <f>VLOOKUP(GroupVertices[[#This Row],[Vertex]],Vertices[],MATCH("ID",Vertices[[#Headers],[Vertex]:[Top Word Pairs in Tweet by Salience]],0),FALSE)</f>
        <v>30</v>
      </c>
    </row>
    <row r="42" spans="1:3" ht="15">
      <c r="A42" s="80" t="s">
        <v>322</v>
      </c>
      <c r="B42" s="88" t="s">
        <v>564</v>
      </c>
      <c r="C42" s="79">
        <f>VLOOKUP(GroupVertices[[#This Row],[Vertex]],Vertices[],MATCH("ID",Vertices[[#Headers],[Vertex]:[Top Word Pairs in Tweet by Salience]],0),FALSE)</f>
        <v>29</v>
      </c>
    </row>
    <row r="43" spans="1:3" ht="15">
      <c r="A43" s="80" t="s">
        <v>323</v>
      </c>
      <c r="B43" s="88" t="s">
        <v>563</v>
      </c>
      <c r="C43" s="79">
        <f>VLOOKUP(GroupVertices[[#This Row],[Vertex]],Vertices[],MATCH("ID",Vertices[[#Headers],[Vertex]:[Top Word Pairs in Tweet by Salience]],0),FALSE)</f>
        <v>49</v>
      </c>
    </row>
    <row r="44" spans="1:3" ht="15">
      <c r="A44" s="80" t="s">
        <v>323</v>
      </c>
      <c r="B44" s="88" t="s">
        <v>256</v>
      </c>
      <c r="C44" s="79">
        <f>VLOOKUP(GroupVertices[[#This Row],[Vertex]],Vertices[],MATCH("ID",Vertices[[#Headers],[Vertex]:[Top Word Pairs in Tweet by Salience]],0),FALSE)</f>
        <v>51</v>
      </c>
    </row>
    <row r="45" spans="1:3" ht="15">
      <c r="A45" s="80" t="s">
        <v>323</v>
      </c>
      <c r="B45" s="88" t="s">
        <v>257</v>
      </c>
      <c r="C45" s="79">
        <f>VLOOKUP(GroupVertices[[#This Row],[Vertex]],Vertices[],MATCH("ID",Vertices[[#Headers],[Vertex]:[Top Word Pairs in Tweet by Salience]],0),FALSE)</f>
        <v>50</v>
      </c>
    </row>
    <row r="46" spans="1:3" ht="15">
      <c r="A46" s="80" t="s">
        <v>323</v>
      </c>
      <c r="B46" s="88" t="s">
        <v>579</v>
      </c>
      <c r="C46" s="79">
        <f>VLOOKUP(GroupVertices[[#This Row],[Vertex]],Vertices[],MATCH("ID",Vertices[[#Headers],[Vertex]:[Top Word Pairs in Tweet by Salience]],0),FALSE)</f>
        <v>47</v>
      </c>
    </row>
    <row r="47" spans="1:3" ht="15">
      <c r="A47" s="80" t="s">
        <v>323</v>
      </c>
      <c r="B47" s="88" t="s">
        <v>521</v>
      </c>
      <c r="C47" s="79">
        <f>VLOOKUP(GroupVertices[[#This Row],[Vertex]],Vertices[],MATCH("ID",Vertices[[#Headers],[Vertex]:[Top Word Pairs in Tweet by Salience]],0),FALSE)</f>
        <v>48</v>
      </c>
    </row>
    <row r="48" spans="1:3" ht="15">
      <c r="A48" s="80" t="s">
        <v>324</v>
      </c>
      <c r="B48" s="88" t="s">
        <v>556</v>
      </c>
      <c r="C48" s="79">
        <f>VLOOKUP(GroupVertices[[#This Row],[Vertex]],Vertices[],MATCH("ID",Vertices[[#Headers],[Vertex]:[Top Word Pairs in Tweet by Salience]],0),FALSE)</f>
        <v>25</v>
      </c>
    </row>
    <row r="49" spans="1:3" ht="15">
      <c r="A49" s="80" t="s">
        <v>324</v>
      </c>
      <c r="B49" s="88" t="s">
        <v>520</v>
      </c>
      <c r="C49" s="79">
        <f>VLOOKUP(GroupVertices[[#This Row],[Vertex]],Vertices[],MATCH("ID",Vertices[[#Headers],[Vertex]:[Top Word Pairs in Tweet by Salience]],0),FALSE)</f>
        <v>24</v>
      </c>
    </row>
    <row r="50" spans="1:3" ht="15">
      <c r="A50" s="80" t="s">
        <v>324</v>
      </c>
      <c r="B50" s="88" t="s">
        <v>555</v>
      </c>
      <c r="C50" s="79">
        <f>VLOOKUP(GroupVertices[[#This Row],[Vertex]],Vertices[],MATCH("ID",Vertices[[#Headers],[Vertex]:[Top Word Pairs in Tweet by Salience]],0),FALSE)</f>
        <v>23</v>
      </c>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409</v>
      </c>
      <c r="B2" s="35" t="s">
        <v>319</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45</v>
      </c>
      <c r="L2" s="38">
        <f>MIN(Vertices[Closeness Centrality])</f>
        <v>0.347826</v>
      </c>
      <c r="M2" s="39">
        <f>COUNTIF(Vertices[Closeness Centrality],"&gt;= "&amp;L2)-COUNTIF(Vertices[Closeness Centrality],"&gt;="&amp;L3)</f>
        <v>2</v>
      </c>
      <c r="N2" s="38">
        <f>MIN(Vertices[Eigenvector Centrality])</f>
        <v>0.008327</v>
      </c>
      <c r="O2" s="39">
        <f>COUNTIF(Vertices[Eigenvector Centrality],"&gt;= "&amp;N2)-COUNTIF(Vertices[Eigenvector Centrality],"&gt;="&amp;N3)</f>
        <v>2</v>
      </c>
      <c r="P2" s="38">
        <f>MIN(Vertices[PageRank])</f>
        <v>0.017624</v>
      </c>
      <c r="Q2" s="39">
        <f>COUNTIF(Vertices[PageRank],"&gt;= "&amp;P2)-COUNTIF(Vertices[PageRank],"&gt;="&amp;P3)</f>
        <v>43</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7"/>
      <c r="B3" s="97"/>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19</v>
      </c>
      <c r="H3" s="40">
        <f aca="true" t="shared" si="3" ref="H3:H35">H2+($H$36-$H$2)/BinDivisor</f>
        <v>0.7058823529411765</v>
      </c>
      <c r="I3" s="41">
        <f>COUNTIF(Vertices[Out-Degree],"&gt;= "&amp;H3)-COUNTIF(Vertices[Out-Degree],"&gt;="&amp;H4)</f>
        <v>2</v>
      </c>
      <c r="J3" s="40">
        <f aca="true" t="shared" si="4" ref="J3:J35">J2+($J$36-$J$2)/BinDivisor</f>
        <v>55.361111117647056</v>
      </c>
      <c r="K3" s="41">
        <f>COUNTIF(Vertices[Betweenness Centrality],"&gt;= "&amp;J3)-COUNTIF(Vertices[Betweenness Centrality],"&gt;="&amp;J4)</f>
        <v>1</v>
      </c>
      <c r="L3" s="40">
        <f aca="true" t="shared" si="5" ref="L3:L35">L2+($L$36-$L$2)/BinDivisor</f>
        <v>0.36583111764705883</v>
      </c>
      <c r="M3" s="41">
        <f>COUNTIF(Vertices[Closeness Centrality],"&gt;= "&amp;L3)-COUNTIF(Vertices[Closeness Centrality],"&gt;="&amp;L4)</f>
        <v>0</v>
      </c>
      <c r="N3" s="40">
        <f aca="true" t="shared" si="6" ref="N3:N35">N2+($N$36-$N$2)/BinDivisor</f>
        <v>0.025144882352941177</v>
      </c>
      <c r="O3" s="41">
        <f>COUNTIF(Vertices[Eigenvector Centrality],"&gt;= "&amp;N3)-COUNTIF(Vertices[Eigenvector Centrality],"&gt;="&amp;N4)</f>
        <v>0</v>
      </c>
      <c r="P3" s="40">
        <f aca="true" t="shared" si="7" ref="P3:P35">P2+($P$36-$P$2)/BinDivisor</f>
        <v>0.019656852941176473</v>
      </c>
      <c r="Q3" s="41">
        <f>COUNTIF(Vertices[PageRank],"&gt;= "&amp;P3)-COUNTIF(Vertices[PageRank],"&gt;="&amp;P4)</f>
        <v>2</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49</v>
      </c>
      <c r="D4" s="33">
        <f t="shared" si="1"/>
        <v>0</v>
      </c>
      <c r="E4" s="3">
        <f>COUNTIF(Vertices[Degree],"&gt;= "&amp;D4)-COUNTIF(Vertices[Degree],"&gt;="&amp;D5)</f>
        <v>0</v>
      </c>
      <c r="F4" s="38">
        <f t="shared" si="2"/>
        <v>1.4705882352941178</v>
      </c>
      <c r="G4" s="39">
        <f>COUNTIF(Vertices[In-Degree],"&gt;= "&amp;F4)-COUNTIF(Vertices[In-Degree],"&gt;="&amp;F5)</f>
        <v>3</v>
      </c>
      <c r="H4" s="38">
        <f t="shared" si="3"/>
        <v>1.411764705882353</v>
      </c>
      <c r="I4" s="39">
        <f>COUNTIF(Vertices[Out-Degree],"&gt;= "&amp;H4)-COUNTIF(Vertices[Out-Degree],"&gt;="&amp;H5)</f>
        <v>4</v>
      </c>
      <c r="J4" s="38">
        <f t="shared" si="4"/>
        <v>110.72222223529411</v>
      </c>
      <c r="K4" s="39">
        <f>COUNTIF(Vertices[Betweenness Centrality],"&gt;= "&amp;J4)-COUNTIF(Vertices[Betweenness Centrality],"&gt;="&amp;J5)</f>
        <v>1</v>
      </c>
      <c r="L4" s="38">
        <f t="shared" si="5"/>
        <v>0.38383623529411764</v>
      </c>
      <c r="M4" s="39">
        <f>COUNTIF(Vertices[Closeness Centrality],"&gt;= "&amp;L4)-COUNTIF(Vertices[Closeness Centrality],"&gt;="&amp;L5)</f>
        <v>0</v>
      </c>
      <c r="N4" s="38">
        <f t="shared" si="6"/>
        <v>0.04196276470588235</v>
      </c>
      <c r="O4" s="39">
        <f>COUNTIF(Vertices[Eigenvector Centrality],"&gt;= "&amp;N4)-COUNTIF(Vertices[Eigenvector Centrality],"&gt;="&amp;N5)</f>
        <v>0</v>
      </c>
      <c r="P4" s="38">
        <f t="shared" si="7"/>
        <v>0.021689705882352944</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97"/>
      <c r="B5" s="97"/>
      <c r="D5" s="33">
        <f t="shared" si="1"/>
        <v>0</v>
      </c>
      <c r="E5" s="3">
        <f>COUNTIF(Vertices[Degree],"&gt;= "&amp;D5)-COUNTIF(Vertices[Degree],"&gt;="&amp;D6)</f>
        <v>0</v>
      </c>
      <c r="F5" s="40">
        <f t="shared" si="2"/>
        <v>2.2058823529411766</v>
      </c>
      <c r="G5" s="41">
        <f>COUNTIF(Vertices[In-Degree],"&gt;= "&amp;F5)-COUNTIF(Vertices[In-Degree],"&gt;="&amp;F6)</f>
        <v>0</v>
      </c>
      <c r="H5" s="40">
        <f t="shared" si="3"/>
        <v>2.1176470588235294</v>
      </c>
      <c r="I5" s="41">
        <f>COUNTIF(Vertices[Out-Degree],"&gt;= "&amp;H5)-COUNTIF(Vertices[Out-Degree],"&gt;="&amp;H6)</f>
        <v>0</v>
      </c>
      <c r="J5" s="40">
        <f t="shared" si="4"/>
        <v>166.08333335294117</v>
      </c>
      <c r="K5" s="41">
        <f>COUNTIF(Vertices[Betweenness Centrality],"&gt;= "&amp;J5)-COUNTIF(Vertices[Betweenness Centrality],"&gt;="&amp;J6)</f>
        <v>1</v>
      </c>
      <c r="L5" s="40">
        <f t="shared" si="5"/>
        <v>0.40184135294117646</v>
      </c>
      <c r="M5" s="41">
        <f>COUNTIF(Vertices[Closeness Centrality],"&gt;= "&amp;L5)-COUNTIF(Vertices[Closeness Centrality],"&gt;="&amp;L6)</f>
        <v>0</v>
      </c>
      <c r="N5" s="40">
        <f t="shared" si="6"/>
        <v>0.05878064705882353</v>
      </c>
      <c r="O5" s="41">
        <f>COUNTIF(Vertices[Eigenvector Centrality],"&gt;= "&amp;N5)-COUNTIF(Vertices[Eigenvector Centrality],"&gt;="&amp;N6)</f>
        <v>19</v>
      </c>
      <c r="P5" s="40">
        <f t="shared" si="7"/>
        <v>0.023722558823529416</v>
      </c>
      <c r="Q5" s="41">
        <f>COUNTIF(Vertices[PageRank],"&gt;= "&amp;P5)-COUNTIF(Vertices[PageRank],"&gt;="&amp;P6)</f>
        <v>0</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65</v>
      </c>
      <c r="D6" s="33">
        <f t="shared" si="1"/>
        <v>0</v>
      </c>
      <c r="E6" s="3">
        <f>COUNTIF(Vertices[Degree],"&gt;= "&amp;D6)-COUNTIF(Vertices[Degree],"&gt;="&amp;D7)</f>
        <v>0</v>
      </c>
      <c r="F6" s="38">
        <f t="shared" si="2"/>
        <v>2.9411764705882355</v>
      </c>
      <c r="G6" s="39">
        <f>COUNTIF(Vertices[In-Degree],"&gt;= "&amp;F6)-COUNTIF(Vertices[In-Degree],"&gt;="&amp;F7)</f>
        <v>1</v>
      </c>
      <c r="H6" s="38">
        <f t="shared" si="3"/>
        <v>2.823529411764706</v>
      </c>
      <c r="I6" s="39">
        <f>COUNTIF(Vertices[Out-Degree],"&gt;= "&amp;H6)-COUNTIF(Vertices[Out-Degree],"&gt;="&amp;H7)</f>
        <v>14</v>
      </c>
      <c r="J6" s="38">
        <f t="shared" si="4"/>
        <v>221.44444447058822</v>
      </c>
      <c r="K6" s="39">
        <f>COUNTIF(Vertices[Betweenness Centrality],"&gt;= "&amp;J6)-COUNTIF(Vertices[Betweenness Centrality],"&gt;="&amp;J7)</f>
        <v>0</v>
      </c>
      <c r="L6" s="38">
        <f t="shared" si="5"/>
        <v>0.41984647058823527</v>
      </c>
      <c r="M6" s="39">
        <f>COUNTIF(Vertices[Closeness Centrality],"&gt;= "&amp;L6)-COUNTIF(Vertices[Closeness Centrality],"&gt;="&amp;L7)</f>
        <v>0</v>
      </c>
      <c r="N6" s="38">
        <f t="shared" si="6"/>
        <v>0.0755985294117647</v>
      </c>
      <c r="O6" s="39">
        <f>COUNTIF(Vertices[Eigenvector Centrality],"&gt;= "&amp;N6)-COUNTIF(Vertices[Eigenvector Centrality],"&gt;="&amp;N7)</f>
        <v>3</v>
      </c>
      <c r="P6" s="38">
        <f t="shared" si="7"/>
        <v>0.025755411764705888</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74</v>
      </c>
      <c r="D7" s="33">
        <f t="shared" si="1"/>
        <v>0</v>
      </c>
      <c r="E7" s="3">
        <f>COUNTIF(Vertices[Degree],"&gt;= "&amp;D7)-COUNTIF(Vertices[Degree],"&gt;="&amp;D8)</f>
        <v>0</v>
      </c>
      <c r="F7" s="40">
        <f t="shared" si="2"/>
        <v>3.6764705882352944</v>
      </c>
      <c r="G7" s="41">
        <f>COUNTIF(Vertices[In-Degree],"&gt;= "&amp;F7)-COUNTIF(Vertices[In-Degree],"&gt;="&amp;F8)</f>
        <v>1</v>
      </c>
      <c r="H7" s="40">
        <f t="shared" si="3"/>
        <v>3.5294117647058827</v>
      </c>
      <c r="I7" s="41">
        <f>COUNTIF(Vertices[Out-Degree],"&gt;= "&amp;H7)-COUNTIF(Vertices[Out-Degree],"&gt;="&amp;H8)</f>
        <v>4</v>
      </c>
      <c r="J7" s="40">
        <f t="shared" si="4"/>
        <v>276.8055555882353</v>
      </c>
      <c r="K7" s="41">
        <f>COUNTIF(Vertices[Betweenness Centrality],"&gt;= "&amp;J7)-COUNTIF(Vertices[Betweenness Centrality],"&gt;="&amp;J8)</f>
        <v>0</v>
      </c>
      <c r="L7" s="40">
        <f t="shared" si="5"/>
        <v>0.4378515882352941</v>
      </c>
      <c r="M7" s="41">
        <f>COUNTIF(Vertices[Closeness Centrality],"&gt;= "&amp;L7)-COUNTIF(Vertices[Closeness Centrality],"&gt;="&amp;L8)</f>
        <v>0</v>
      </c>
      <c r="N7" s="40">
        <f t="shared" si="6"/>
        <v>0.09241641176470589</v>
      </c>
      <c r="O7" s="41">
        <f>COUNTIF(Vertices[Eigenvector Centrality],"&gt;= "&amp;N7)-COUNTIF(Vertices[Eigenvector Centrality],"&gt;="&amp;N8)</f>
        <v>5</v>
      </c>
      <c r="P7" s="40">
        <f t="shared" si="7"/>
        <v>0.02778826470588236</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139</v>
      </c>
      <c r="D8" s="33">
        <f t="shared" si="1"/>
        <v>0</v>
      </c>
      <c r="E8" s="3">
        <f>COUNTIF(Vertices[Degree],"&gt;= "&amp;D8)-COUNTIF(Vertices[Degree],"&gt;="&amp;D9)</f>
        <v>0</v>
      </c>
      <c r="F8" s="38">
        <f t="shared" si="2"/>
        <v>4.411764705882353</v>
      </c>
      <c r="G8" s="39">
        <f>COUNTIF(Vertices[In-Degree],"&gt;= "&amp;F8)-COUNTIF(Vertices[In-Degree],"&gt;="&amp;F9)</f>
        <v>0</v>
      </c>
      <c r="H8" s="38">
        <f t="shared" si="3"/>
        <v>4.235294117647059</v>
      </c>
      <c r="I8" s="39">
        <f>COUNTIF(Vertices[Out-Degree],"&gt;= "&amp;H8)-COUNTIF(Vertices[Out-Degree],"&gt;="&amp;H9)</f>
        <v>0</v>
      </c>
      <c r="J8" s="38">
        <f t="shared" si="4"/>
        <v>332.16666670588234</v>
      </c>
      <c r="K8" s="39">
        <f>COUNTIF(Vertices[Betweenness Centrality],"&gt;= "&amp;J8)-COUNTIF(Vertices[Betweenness Centrality],"&gt;="&amp;J9)</f>
        <v>0</v>
      </c>
      <c r="L8" s="38">
        <f t="shared" si="5"/>
        <v>0.4558567058823529</v>
      </c>
      <c r="M8" s="39">
        <f>COUNTIF(Vertices[Closeness Centrality],"&gt;= "&amp;L8)-COUNTIF(Vertices[Closeness Centrality],"&gt;="&amp;L9)</f>
        <v>0</v>
      </c>
      <c r="N8" s="38">
        <f t="shared" si="6"/>
        <v>0.10923429411764707</v>
      </c>
      <c r="O8" s="39">
        <f>COUNTIF(Vertices[Eigenvector Centrality],"&gt;= "&amp;N8)-COUNTIF(Vertices[Eigenvector Centrality],"&gt;="&amp;N9)</f>
        <v>0</v>
      </c>
      <c r="P8" s="38">
        <f t="shared" si="7"/>
        <v>0.02982111764705883</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97"/>
      <c r="B9" s="97"/>
      <c r="D9" s="33">
        <f t="shared" si="1"/>
        <v>0</v>
      </c>
      <c r="E9" s="3">
        <f>COUNTIF(Vertices[Degree],"&gt;= "&amp;D9)-COUNTIF(Vertices[Degree],"&gt;="&amp;D10)</f>
        <v>0</v>
      </c>
      <c r="F9" s="40">
        <f t="shared" si="2"/>
        <v>5.147058823529412</v>
      </c>
      <c r="G9" s="41">
        <f>COUNTIF(Vertices[In-Degree],"&gt;= "&amp;F9)-COUNTIF(Vertices[In-Degree],"&gt;="&amp;F10)</f>
        <v>0</v>
      </c>
      <c r="H9" s="40">
        <f t="shared" si="3"/>
        <v>4.9411764705882355</v>
      </c>
      <c r="I9" s="41">
        <f>COUNTIF(Vertices[Out-Degree],"&gt;= "&amp;H9)-COUNTIF(Vertices[Out-Degree],"&gt;="&amp;H10)</f>
        <v>1</v>
      </c>
      <c r="J9" s="40">
        <f t="shared" si="4"/>
        <v>387.5277778235294</v>
      </c>
      <c r="K9" s="41">
        <f>COUNTIF(Vertices[Betweenness Centrality],"&gt;= "&amp;J9)-COUNTIF(Vertices[Betweenness Centrality],"&gt;="&amp;J10)</f>
        <v>0</v>
      </c>
      <c r="L9" s="40">
        <f t="shared" si="5"/>
        <v>0.4738618235294117</v>
      </c>
      <c r="M9" s="41">
        <f>COUNTIF(Vertices[Closeness Centrality],"&gt;= "&amp;L9)-COUNTIF(Vertices[Closeness Centrality],"&gt;="&amp;L10)</f>
        <v>0</v>
      </c>
      <c r="N9" s="40">
        <f t="shared" si="6"/>
        <v>0.12605217647058825</v>
      </c>
      <c r="O9" s="41">
        <f>COUNTIF(Vertices[Eigenvector Centrality],"&gt;= "&amp;N9)-COUNTIF(Vertices[Eigenvector Centrality],"&gt;="&amp;N10)</f>
        <v>16</v>
      </c>
      <c r="P9" s="40">
        <f t="shared" si="7"/>
        <v>0.0318539705882353</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410</v>
      </c>
      <c r="B10" s="35">
        <v>5</v>
      </c>
      <c r="D10" s="33">
        <f t="shared" si="1"/>
        <v>0</v>
      </c>
      <c r="E10" s="3">
        <f>COUNTIF(Vertices[Degree],"&gt;= "&amp;D10)-COUNTIF(Vertices[Degree],"&gt;="&amp;D11)</f>
        <v>0</v>
      </c>
      <c r="F10" s="38">
        <f t="shared" si="2"/>
        <v>5.882352941176471</v>
      </c>
      <c r="G10" s="39">
        <f>COUNTIF(Vertices[In-Degree],"&gt;= "&amp;F10)-COUNTIF(Vertices[In-Degree],"&gt;="&amp;F11)</f>
        <v>0</v>
      </c>
      <c r="H10" s="38">
        <f t="shared" si="3"/>
        <v>5.647058823529412</v>
      </c>
      <c r="I10" s="39">
        <f>COUNTIF(Vertices[Out-Degree],"&gt;= "&amp;H10)-COUNTIF(Vertices[Out-Degree],"&gt;="&amp;H11)</f>
        <v>0</v>
      </c>
      <c r="J10" s="38">
        <f t="shared" si="4"/>
        <v>442.88888894117645</v>
      </c>
      <c r="K10" s="39">
        <f>COUNTIF(Vertices[Betweenness Centrality],"&gt;= "&amp;J10)-COUNTIF(Vertices[Betweenness Centrality],"&gt;="&amp;J11)</f>
        <v>0</v>
      </c>
      <c r="L10" s="38">
        <f t="shared" si="5"/>
        <v>0.4918669411764705</v>
      </c>
      <c r="M10" s="39">
        <f>COUNTIF(Vertices[Closeness Centrality],"&gt;= "&amp;L10)-COUNTIF(Vertices[Closeness Centrality],"&gt;="&amp;L11)</f>
        <v>36</v>
      </c>
      <c r="N10" s="38">
        <f t="shared" si="6"/>
        <v>0.14287005882352943</v>
      </c>
      <c r="O10" s="39">
        <f>COUNTIF(Vertices[Eigenvector Centrality],"&gt;= "&amp;N10)-COUNTIF(Vertices[Eigenvector Centrality],"&gt;="&amp;N11)</f>
        <v>1</v>
      </c>
      <c r="P10" s="38">
        <f t="shared" si="7"/>
        <v>0.033886823529411775</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97"/>
      <c r="B11" s="97"/>
      <c r="D11" s="33">
        <f t="shared" si="1"/>
        <v>0</v>
      </c>
      <c r="E11" s="3">
        <f>COUNTIF(Vertices[Degree],"&gt;= "&amp;D11)-COUNTIF(Vertices[Degree],"&gt;="&amp;D12)</f>
        <v>0</v>
      </c>
      <c r="F11" s="40">
        <f t="shared" si="2"/>
        <v>6.61764705882353</v>
      </c>
      <c r="G11" s="41">
        <f>COUNTIF(Vertices[In-Degree],"&gt;= "&amp;F11)-COUNTIF(Vertices[In-Degree],"&gt;="&amp;F12)</f>
        <v>0</v>
      </c>
      <c r="H11" s="40">
        <f t="shared" si="3"/>
        <v>6.352941176470589</v>
      </c>
      <c r="I11" s="41">
        <f>COUNTIF(Vertices[Out-Degree],"&gt;= "&amp;H11)-COUNTIF(Vertices[Out-Degree],"&gt;="&amp;H12)</f>
        <v>0</v>
      </c>
      <c r="J11" s="40">
        <f t="shared" si="4"/>
        <v>498.2500000588235</v>
      </c>
      <c r="K11" s="41">
        <f>COUNTIF(Vertices[Betweenness Centrality],"&gt;= "&amp;J11)-COUNTIF(Vertices[Betweenness Centrality],"&gt;="&amp;J12)</f>
        <v>0</v>
      </c>
      <c r="L11" s="40">
        <f t="shared" si="5"/>
        <v>0.5098720588235294</v>
      </c>
      <c r="M11" s="41">
        <f>COUNTIF(Vertices[Closeness Centrality],"&gt;= "&amp;L11)-COUNTIF(Vertices[Closeness Centrality],"&gt;="&amp;L12)</f>
        <v>8</v>
      </c>
      <c r="N11" s="40">
        <f t="shared" si="6"/>
        <v>0.15968794117647062</v>
      </c>
      <c r="O11" s="41">
        <f>COUNTIF(Vertices[Eigenvector Centrality],"&gt;= "&amp;N11)-COUNTIF(Vertices[Eigenvector Centrality],"&gt;="&amp;N12)</f>
        <v>0</v>
      </c>
      <c r="P11" s="40">
        <f t="shared" si="7"/>
        <v>0.03591967647058825</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261</v>
      </c>
      <c r="B12" s="35">
        <v>30</v>
      </c>
      <c r="D12" s="33">
        <f t="shared" si="1"/>
        <v>0</v>
      </c>
      <c r="E12" s="3">
        <f>COUNTIF(Vertices[Degree],"&gt;= "&amp;D12)-COUNTIF(Vertices[Degree],"&gt;="&amp;D13)</f>
        <v>0</v>
      </c>
      <c r="F12" s="38">
        <f t="shared" si="2"/>
        <v>7.352941176470589</v>
      </c>
      <c r="G12" s="39">
        <f>COUNTIF(Vertices[In-Degree],"&gt;= "&amp;F12)-COUNTIF(Vertices[In-Degree],"&gt;="&amp;F13)</f>
        <v>0</v>
      </c>
      <c r="H12" s="38">
        <f t="shared" si="3"/>
        <v>7.058823529411765</v>
      </c>
      <c r="I12" s="39">
        <f>COUNTIF(Vertices[Out-Degree],"&gt;= "&amp;H12)-COUNTIF(Vertices[Out-Degree],"&gt;="&amp;H13)</f>
        <v>0</v>
      </c>
      <c r="J12" s="38">
        <f t="shared" si="4"/>
        <v>553.6111111764706</v>
      </c>
      <c r="K12" s="39">
        <f>COUNTIF(Vertices[Betweenness Centrality],"&gt;= "&amp;J12)-COUNTIF(Vertices[Betweenness Centrality],"&gt;="&amp;J13)</f>
        <v>0</v>
      </c>
      <c r="L12" s="38">
        <f t="shared" si="5"/>
        <v>0.5278771764705882</v>
      </c>
      <c r="M12" s="39">
        <f>COUNTIF(Vertices[Closeness Centrality],"&gt;= "&amp;L12)-COUNTIF(Vertices[Closeness Centrality],"&gt;="&amp;L13)</f>
        <v>0</v>
      </c>
      <c r="N12" s="38">
        <f t="shared" si="6"/>
        <v>0.1765058235294118</v>
      </c>
      <c r="O12" s="39">
        <f>COUNTIF(Vertices[Eigenvector Centrality],"&gt;= "&amp;N12)-COUNTIF(Vertices[Eigenvector Centrality],"&gt;="&amp;N13)</f>
        <v>0</v>
      </c>
      <c r="P12" s="38">
        <f t="shared" si="7"/>
        <v>0.03795252941176472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262</v>
      </c>
      <c r="B13" s="35">
        <v>13</v>
      </c>
      <c r="D13" s="33">
        <f t="shared" si="1"/>
        <v>0</v>
      </c>
      <c r="E13" s="3">
        <f>COUNTIF(Vertices[Degree],"&gt;= "&amp;D13)-COUNTIF(Vertices[Degree],"&gt;="&amp;D14)</f>
        <v>0</v>
      </c>
      <c r="F13" s="40">
        <f t="shared" si="2"/>
        <v>8.088235294117649</v>
      </c>
      <c r="G13" s="41">
        <f>COUNTIF(Vertices[In-Degree],"&gt;= "&amp;F13)-COUNTIF(Vertices[In-Degree],"&gt;="&amp;F14)</f>
        <v>0</v>
      </c>
      <c r="H13" s="40">
        <f t="shared" si="3"/>
        <v>7.764705882352942</v>
      </c>
      <c r="I13" s="41">
        <f>COUNTIF(Vertices[Out-Degree],"&gt;= "&amp;H13)-COUNTIF(Vertices[Out-Degree],"&gt;="&amp;H14)</f>
        <v>0</v>
      </c>
      <c r="J13" s="40">
        <f t="shared" si="4"/>
        <v>608.9722222941176</v>
      </c>
      <c r="K13" s="41">
        <f>COUNTIF(Vertices[Betweenness Centrality],"&gt;= "&amp;J13)-COUNTIF(Vertices[Betweenness Centrality],"&gt;="&amp;J14)</f>
        <v>0</v>
      </c>
      <c r="L13" s="40">
        <f t="shared" si="5"/>
        <v>0.545882294117647</v>
      </c>
      <c r="M13" s="41">
        <f>COUNTIF(Vertices[Closeness Centrality],"&gt;= "&amp;L13)-COUNTIF(Vertices[Closeness Centrality],"&gt;="&amp;L14)</f>
        <v>0</v>
      </c>
      <c r="N13" s="40">
        <f t="shared" si="6"/>
        <v>0.19332370588235298</v>
      </c>
      <c r="O13" s="41">
        <f>COUNTIF(Vertices[Eigenvector Centrality],"&gt;= "&amp;N13)-COUNTIF(Vertices[Eigenvector Centrality],"&gt;="&amp;N14)</f>
        <v>0</v>
      </c>
      <c r="P13" s="40">
        <f t="shared" si="7"/>
        <v>0.03998538235294119</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263</v>
      </c>
      <c r="B14" s="35">
        <v>41</v>
      </c>
      <c r="D14" s="33">
        <f t="shared" si="1"/>
        <v>0</v>
      </c>
      <c r="E14" s="3">
        <f>COUNTIF(Vertices[Degree],"&gt;= "&amp;D14)-COUNTIF(Vertices[Degree],"&gt;="&amp;D15)</f>
        <v>0</v>
      </c>
      <c r="F14" s="38">
        <f t="shared" si="2"/>
        <v>8.823529411764707</v>
      </c>
      <c r="G14" s="39">
        <f>COUNTIF(Vertices[In-Degree],"&gt;= "&amp;F14)-COUNTIF(Vertices[In-Degree],"&gt;="&amp;F15)</f>
        <v>0</v>
      </c>
      <c r="H14" s="38">
        <f t="shared" si="3"/>
        <v>8.470588235294118</v>
      </c>
      <c r="I14" s="39">
        <f>COUNTIF(Vertices[Out-Degree],"&gt;= "&amp;H14)-COUNTIF(Vertices[Out-Degree],"&gt;="&amp;H15)</f>
        <v>0</v>
      </c>
      <c r="J14" s="38">
        <f t="shared" si="4"/>
        <v>664.3333334117647</v>
      </c>
      <c r="K14" s="39">
        <f>COUNTIF(Vertices[Betweenness Centrality],"&gt;= "&amp;J14)-COUNTIF(Vertices[Betweenness Centrality],"&gt;="&amp;J15)</f>
        <v>0</v>
      </c>
      <c r="L14" s="38">
        <f t="shared" si="5"/>
        <v>0.5638874117647058</v>
      </c>
      <c r="M14" s="39">
        <f>COUNTIF(Vertices[Closeness Centrality],"&gt;= "&amp;L14)-COUNTIF(Vertices[Closeness Centrality],"&gt;="&amp;L15)</f>
        <v>0</v>
      </c>
      <c r="N14" s="38">
        <f t="shared" si="6"/>
        <v>0.21014158823529416</v>
      </c>
      <c r="O14" s="39">
        <f>COUNTIF(Vertices[Eigenvector Centrality],"&gt;= "&amp;N14)-COUNTIF(Vertices[Eigenvector Centrality],"&gt;="&amp;N15)</f>
        <v>0</v>
      </c>
      <c r="P14" s="38">
        <f t="shared" si="7"/>
        <v>0.04201823529411766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264</v>
      </c>
      <c r="B15" s="35">
        <v>54</v>
      </c>
      <c r="D15" s="33">
        <f t="shared" si="1"/>
        <v>0</v>
      </c>
      <c r="E15" s="3">
        <f>COUNTIF(Vertices[Degree],"&gt;= "&amp;D15)-COUNTIF(Vertices[Degree],"&gt;="&amp;D16)</f>
        <v>0</v>
      </c>
      <c r="F15" s="40">
        <f t="shared" si="2"/>
        <v>9.558823529411764</v>
      </c>
      <c r="G15" s="41">
        <f>COUNTIF(Vertices[In-Degree],"&gt;= "&amp;F15)-COUNTIF(Vertices[In-Degree],"&gt;="&amp;F16)</f>
        <v>0</v>
      </c>
      <c r="H15" s="40">
        <f t="shared" si="3"/>
        <v>9.176470588235293</v>
      </c>
      <c r="I15" s="41">
        <f>COUNTIF(Vertices[Out-Degree],"&gt;= "&amp;H15)-COUNTIF(Vertices[Out-Degree],"&gt;="&amp;H16)</f>
        <v>0</v>
      </c>
      <c r="J15" s="40">
        <f t="shared" si="4"/>
        <v>719.6944445294117</v>
      </c>
      <c r="K15" s="41">
        <f>COUNTIF(Vertices[Betweenness Centrality],"&gt;= "&amp;J15)-COUNTIF(Vertices[Betweenness Centrality],"&gt;="&amp;J16)</f>
        <v>0</v>
      </c>
      <c r="L15" s="40">
        <f t="shared" si="5"/>
        <v>0.5818925294117646</v>
      </c>
      <c r="M15" s="41">
        <f>COUNTIF(Vertices[Closeness Centrality],"&gt;= "&amp;L15)-COUNTIF(Vertices[Closeness Centrality],"&gt;="&amp;L16)</f>
        <v>0</v>
      </c>
      <c r="N15" s="40">
        <f t="shared" si="6"/>
        <v>0.22695947058823535</v>
      </c>
      <c r="O15" s="41">
        <f>COUNTIF(Vertices[Eigenvector Centrality],"&gt;= "&amp;N15)-COUNTIF(Vertices[Eigenvector Centrality],"&gt;="&amp;N16)</f>
        <v>0</v>
      </c>
      <c r="P15" s="40">
        <f t="shared" si="7"/>
        <v>0.044051088235294134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218</v>
      </c>
      <c r="B16" s="35">
        <v>1</v>
      </c>
      <c r="D16" s="33">
        <f t="shared" si="1"/>
        <v>0</v>
      </c>
      <c r="E16" s="3">
        <f>COUNTIF(Vertices[Degree],"&gt;= "&amp;D16)-COUNTIF(Vertices[Degree],"&gt;="&amp;D17)</f>
        <v>0</v>
      </c>
      <c r="F16" s="38">
        <f t="shared" si="2"/>
        <v>10.294117647058822</v>
      </c>
      <c r="G16" s="39">
        <f>COUNTIF(Vertices[In-Degree],"&gt;= "&amp;F16)-COUNTIF(Vertices[In-Degree],"&gt;="&amp;F17)</f>
        <v>0</v>
      </c>
      <c r="H16" s="38">
        <f t="shared" si="3"/>
        <v>9.88235294117647</v>
      </c>
      <c r="I16" s="39">
        <f>COUNTIF(Vertices[Out-Degree],"&gt;= "&amp;H16)-COUNTIF(Vertices[Out-Degree],"&gt;="&amp;H17)</f>
        <v>0</v>
      </c>
      <c r="J16" s="38">
        <f t="shared" si="4"/>
        <v>775.0555556470588</v>
      </c>
      <c r="K16" s="39">
        <f>COUNTIF(Vertices[Betweenness Centrality],"&gt;= "&amp;J16)-COUNTIF(Vertices[Betweenness Centrality],"&gt;="&amp;J17)</f>
        <v>0</v>
      </c>
      <c r="L16" s="38">
        <f t="shared" si="5"/>
        <v>0.5998976470588234</v>
      </c>
      <c r="M16" s="39">
        <f>COUNTIF(Vertices[Closeness Centrality],"&gt;= "&amp;L16)-COUNTIF(Vertices[Closeness Centrality],"&gt;="&amp;L17)</f>
        <v>1</v>
      </c>
      <c r="N16" s="38">
        <f t="shared" si="6"/>
        <v>0.24377735294117653</v>
      </c>
      <c r="O16" s="39">
        <f>COUNTIF(Vertices[Eigenvector Centrality],"&gt;= "&amp;N16)-COUNTIF(Vertices[Eigenvector Centrality],"&gt;="&amp;N17)</f>
        <v>0</v>
      </c>
      <c r="P16" s="38">
        <f t="shared" si="7"/>
        <v>0.046083941176470605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7"/>
      <c r="B17" s="97"/>
      <c r="D17" s="33">
        <f t="shared" si="1"/>
        <v>0</v>
      </c>
      <c r="E17" s="3">
        <f>COUNTIF(Vertices[Degree],"&gt;= "&amp;D17)-COUNTIF(Vertices[Degree],"&gt;="&amp;D18)</f>
        <v>0</v>
      </c>
      <c r="F17" s="40">
        <f t="shared" si="2"/>
        <v>11.02941176470588</v>
      </c>
      <c r="G17" s="41">
        <f>COUNTIF(Vertices[In-Degree],"&gt;= "&amp;F17)-COUNTIF(Vertices[In-Degree],"&gt;="&amp;F18)</f>
        <v>0</v>
      </c>
      <c r="H17" s="40">
        <f t="shared" si="3"/>
        <v>10.588235294117645</v>
      </c>
      <c r="I17" s="41">
        <f>COUNTIF(Vertices[Out-Degree],"&gt;= "&amp;H17)-COUNTIF(Vertices[Out-Degree],"&gt;="&amp;H18)</f>
        <v>0</v>
      </c>
      <c r="J17" s="40">
        <f t="shared" si="4"/>
        <v>830.4166667647058</v>
      </c>
      <c r="K17" s="41">
        <f>COUNTIF(Vertices[Betweenness Centrality],"&gt;= "&amp;J17)-COUNTIF(Vertices[Betweenness Centrality],"&gt;="&amp;J18)</f>
        <v>0</v>
      </c>
      <c r="L17" s="40">
        <f t="shared" si="5"/>
        <v>0.6179027647058822</v>
      </c>
      <c r="M17" s="41">
        <f>COUNTIF(Vertices[Closeness Centrality],"&gt;= "&amp;L17)-COUNTIF(Vertices[Closeness Centrality],"&gt;="&amp;L18)</f>
        <v>1</v>
      </c>
      <c r="N17" s="40">
        <f t="shared" si="6"/>
        <v>0.2605952352941177</v>
      </c>
      <c r="O17" s="41">
        <f>COUNTIF(Vertices[Eigenvector Centrality],"&gt;= "&amp;N17)-COUNTIF(Vertices[Eigenvector Centrality],"&gt;="&amp;N18)</f>
        <v>0</v>
      </c>
      <c r="P17" s="40">
        <f t="shared" si="7"/>
        <v>0.04811679411764708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11.764705882352938</v>
      </c>
      <c r="G18" s="39">
        <f>COUNTIF(Vertices[In-Degree],"&gt;= "&amp;F18)-COUNTIF(Vertices[In-Degree],"&gt;="&amp;F19)</f>
        <v>0</v>
      </c>
      <c r="H18" s="38">
        <f t="shared" si="3"/>
        <v>11.29411764705882</v>
      </c>
      <c r="I18" s="39">
        <f>COUNTIF(Vertices[Out-Degree],"&gt;= "&amp;H18)-COUNTIF(Vertices[Out-Degree],"&gt;="&amp;H19)</f>
        <v>0</v>
      </c>
      <c r="J18" s="38">
        <f t="shared" si="4"/>
        <v>885.7777778823529</v>
      </c>
      <c r="K18" s="39">
        <f>COUNTIF(Vertices[Betweenness Centrality],"&gt;= "&amp;J18)-COUNTIF(Vertices[Betweenness Centrality],"&gt;="&amp;J19)</f>
        <v>0</v>
      </c>
      <c r="L18" s="38">
        <f t="shared" si="5"/>
        <v>0.635907882352941</v>
      </c>
      <c r="M18" s="39">
        <f>COUNTIF(Vertices[Closeness Centrality],"&gt;= "&amp;L18)-COUNTIF(Vertices[Closeness Centrality],"&gt;="&amp;L19)</f>
        <v>0</v>
      </c>
      <c r="N18" s="38">
        <f t="shared" si="6"/>
        <v>0.2774131176470589</v>
      </c>
      <c r="O18" s="39">
        <f>COUNTIF(Vertices[Eigenvector Centrality],"&gt;= "&amp;N18)-COUNTIF(Vertices[Eigenvector Centrality],"&gt;="&amp;N19)</f>
        <v>0</v>
      </c>
      <c r="P18" s="38">
        <f t="shared" si="7"/>
        <v>0.05014964705882355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97"/>
      <c r="B19" s="97"/>
      <c r="D19" s="33">
        <f t="shared" si="1"/>
        <v>0</v>
      </c>
      <c r="E19" s="3">
        <f>COUNTIF(Vertices[Degree],"&gt;= "&amp;D19)-COUNTIF(Vertices[Degree],"&gt;="&amp;D20)</f>
        <v>0</v>
      </c>
      <c r="F19" s="40">
        <f t="shared" si="2"/>
        <v>12.499999999999996</v>
      </c>
      <c r="G19" s="41">
        <f>COUNTIF(Vertices[In-Degree],"&gt;= "&amp;F19)-COUNTIF(Vertices[In-Degree],"&gt;="&amp;F20)</f>
        <v>0</v>
      </c>
      <c r="H19" s="40">
        <f t="shared" si="3"/>
        <v>11.999999999999996</v>
      </c>
      <c r="I19" s="41">
        <f>COUNTIF(Vertices[Out-Degree],"&gt;= "&amp;H19)-COUNTIF(Vertices[Out-Degree],"&gt;="&amp;H20)</f>
        <v>0</v>
      </c>
      <c r="J19" s="40">
        <f t="shared" si="4"/>
        <v>941.138889</v>
      </c>
      <c r="K19" s="41">
        <f>COUNTIF(Vertices[Betweenness Centrality],"&gt;= "&amp;J19)-COUNTIF(Vertices[Betweenness Centrality],"&gt;="&amp;J20)</f>
        <v>0</v>
      </c>
      <c r="L19" s="40">
        <f t="shared" si="5"/>
        <v>0.6539129999999999</v>
      </c>
      <c r="M19" s="41">
        <f>COUNTIF(Vertices[Closeness Centrality],"&gt;= "&amp;L19)-COUNTIF(Vertices[Closeness Centrality],"&gt;="&amp;L20)</f>
        <v>0</v>
      </c>
      <c r="N19" s="40">
        <f t="shared" si="6"/>
        <v>0.2942310000000001</v>
      </c>
      <c r="O19" s="41">
        <f>COUNTIF(Vertices[Eigenvector Centrality],"&gt;= "&amp;N19)-COUNTIF(Vertices[Eigenvector Centrality],"&gt;="&amp;N20)</f>
        <v>1</v>
      </c>
      <c r="P19" s="40">
        <f t="shared" si="7"/>
        <v>0.05218250000000002</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0.010526315789473684</v>
      </c>
      <c r="D20" s="33">
        <f t="shared" si="1"/>
        <v>0</v>
      </c>
      <c r="E20" s="3">
        <f>COUNTIF(Vertices[Degree],"&gt;= "&amp;D20)-COUNTIF(Vertices[Degree],"&gt;="&amp;D21)</f>
        <v>0</v>
      </c>
      <c r="F20" s="38">
        <f t="shared" si="2"/>
        <v>13.235294117647054</v>
      </c>
      <c r="G20" s="39">
        <f>COUNTIF(Vertices[In-Degree],"&gt;= "&amp;F20)-COUNTIF(Vertices[In-Degree],"&gt;="&amp;F21)</f>
        <v>0</v>
      </c>
      <c r="H20" s="38">
        <f t="shared" si="3"/>
        <v>12.705882352941172</v>
      </c>
      <c r="I20" s="39">
        <f>COUNTIF(Vertices[Out-Degree],"&gt;= "&amp;H20)-COUNTIF(Vertices[Out-Degree],"&gt;="&amp;H21)</f>
        <v>0</v>
      </c>
      <c r="J20" s="38">
        <f t="shared" si="4"/>
        <v>996.500000117647</v>
      </c>
      <c r="K20" s="39">
        <f>COUNTIF(Vertices[Betweenness Centrality],"&gt;= "&amp;J20)-COUNTIF(Vertices[Betweenness Centrality],"&gt;="&amp;J21)</f>
        <v>0</v>
      </c>
      <c r="L20" s="38">
        <f t="shared" si="5"/>
        <v>0.6719181176470587</v>
      </c>
      <c r="M20" s="39">
        <f>COUNTIF(Vertices[Closeness Centrality],"&gt;= "&amp;L20)-COUNTIF(Vertices[Closeness Centrality],"&gt;="&amp;L21)</f>
        <v>0</v>
      </c>
      <c r="N20" s="38">
        <f t="shared" si="6"/>
        <v>0.31104888235294126</v>
      </c>
      <c r="O20" s="39">
        <f>COUNTIF(Vertices[Eigenvector Centrality],"&gt;= "&amp;N20)-COUNTIF(Vertices[Eigenvector Centrality],"&gt;="&amp;N21)</f>
        <v>0</v>
      </c>
      <c r="P20" s="38">
        <f t="shared" si="7"/>
        <v>0.05421535294117649</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0.020833333333333332</v>
      </c>
      <c r="D21" s="33">
        <f t="shared" si="1"/>
        <v>0</v>
      </c>
      <c r="E21" s="3">
        <f>COUNTIF(Vertices[Degree],"&gt;= "&amp;D21)-COUNTIF(Vertices[Degree],"&gt;="&amp;D22)</f>
        <v>0</v>
      </c>
      <c r="F21" s="40">
        <f t="shared" si="2"/>
        <v>13.970588235294112</v>
      </c>
      <c r="G21" s="41">
        <f>COUNTIF(Vertices[In-Degree],"&gt;= "&amp;F21)-COUNTIF(Vertices[In-Degree],"&gt;="&amp;F22)</f>
        <v>0</v>
      </c>
      <c r="H21" s="40">
        <f t="shared" si="3"/>
        <v>13.411764705882348</v>
      </c>
      <c r="I21" s="41">
        <f>COUNTIF(Vertices[Out-Degree],"&gt;= "&amp;H21)-COUNTIF(Vertices[Out-Degree],"&gt;="&amp;H22)</f>
        <v>0</v>
      </c>
      <c r="J21" s="40">
        <f t="shared" si="4"/>
        <v>1051.8611112352942</v>
      </c>
      <c r="K21" s="41">
        <f>COUNTIF(Vertices[Betweenness Centrality],"&gt;= "&amp;J21)-COUNTIF(Vertices[Betweenness Centrality],"&gt;="&amp;J22)</f>
        <v>0</v>
      </c>
      <c r="L21" s="40">
        <f t="shared" si="5"/>
        <v>0.6899232352941175</v>
      </c>
      <c r="M21" s="41">
        <f>COUNTIF(Vertices[Closeness Centrality],"&gt;= "&amp;L21)-COUNTIF(Vertices[Closeness Centrality],"&gt;="&amp;L22)</f>
        <v>0</v>
      </c>
      <c r="N21" s="40">
        <f t="shared" si="6"/>
        <v>0.32786676470588244</v>
      </c>
      <c r="O21" s="41">
        <f>COUNTIF(Vertices[Eigenvector Centrality],"&gt;= "&amp;N21)-COUNTIF(Vertices[Eigenvector Centrality],"&gt;="&amp;N22)</f>
        <v>0</v>
      </c>
      <c r="P21" s="40">
        <f t="shared" si="7"/>
        <v>0.056248205882352964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97"/>
      <c r="B22" s="97"/>
      <c r="D22" s="33">
        <f t="shared" si="1"/>
        <v>0</v>
      </c>
      <c r="E22" s="3">
        <f>COUNTIF(Vertices[Degree],"&gt;= "&amp;D22)-COUNTIF(Vertices[Degree],"&gt;="&amp;D23)</f>
        <v>0</v>
      </c>
      <c r="F22" s="38">
        <f t="shared" si="2"/>
        <v>14.70588235294117</v>
      </c>
      <c r="G22" s="39">
        <f>COUNTIF(Vertices[In-Degree],"&gt;= "&amp;F22)-COUNTIF(Vertices[In-Degree],"&gt;="&amp;F23)</f>
        <v>0</v>
      </c>
      <c r="H22" s="38">
        <f t="shared" si="3"/>
        <v>14.117647058823524</v>
      </c>
      <c r="I22" s="39">
        <f>COUNTIF(Vertices[Out-Degree],"&gt;= "&amp;H22)-COUNTIF(Vertices[Out-Degree],"&gt;="&amp;H23)</f>
        <v>0</v>
      </c>
      <c r="J22" s="38">
        <f t="shared" si="4"/>
        <v>1107.2222223529411</v>
      </c>
      <c r="K22" s="39">
        <f>COUNTIF(Vertices[Betweenness Centrality],"&gt;= "&amp;J22)-COUNTIF(Vertices[Betweenness Centrality],"&gt;="&amp;J23)</f>
        <v>0</v>
      </c>
      <c r="L22" s="38">
        <f t="shared" si="5"/>
        <v>0.7079283529411763</v>
      </c>
      <c r="M22" s="39">
        <f>COUNTIF(Vertices[Closeness Centrality],"&gt;= "&amp;L22)-COUNTIF(Vertices[Closeness Centrality],"&gt;="&amp;L23)</f>
        <v>0</v>
      </c>
      <c r="N22" s="38">
        <f t="shared" si="6"/>
        <v>0.3446846470588236</v>
      </c>
      <c r="O22" s="39">
        <f>COUNTIF(Vertices[Eigenvector Centrality],"&gt;= "&amp;N22)-COUNTIF(Vertices[Eigenvector Centrality],"&gt;="&amp;N23)</f>
        <v>1</v>
      </c>
      <c r="P22" s="38">
        <f t="shared" si="7"/>
        <v>0.058281058823529436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15.441176470588228</v>
      </c>
      <c r="G23" s="41">
        <f>COUNTIF(Vertices[In-Degree],"&gt;= "&amp;F23)-COUNTIF(Vertices[In-Degree],"&gt;="&amp;F24)</f>
        <v>0</v>
      </c>
      <c r="H23" s="40">
        <f t="shared" si="3"/>
        <v>14.8235294117647</v>
      </c>
      <c r="I23" s="41">
        <f>COUNTIF(Vertices[Out-Degree],"&gt;= "&amp;H23)-COUNTIF(Vertices[Out-Degree],"&gt;="&amp;H24)</f>
        <v>0</v>
      </c>
      <c r="J23" s="40">
        <f t="shared" si="4"/>
        <v>1162.583333470588</v>
      </c>
      <c r="K23" s="41">
        <f>COUNTIF(Vertices[Betweenness Centrality],"&gt;= "&amp;J23)-COUNTIF(Vertices[Betweenness Centrality],"&gt;="&amp;J24)</f>
        <v>0</v>
      </c>
      <c r="L23" s="40">
        <f t="shared" si="5"/>
        <v>0.7259334705882351</v>
      </c>
      <c r="M23" s="41">
        <f>COUNTIF(Vertices[Closeness Centrality],"&gt;= "&amp;L23)-COUNTIF(Vertices[Closeness Centrality],"&gt;="&amp;L24)</f>
        <v>0</v>
      </c>
      <c r="N23" s="40">
        <f t="shared" si="6"/>
        <v>0.3615025294117648</v>
      </c>
      <c r="O23" s="41">
        <f>COUNTIF(Vertices[Eigenvector Centrality],"&gt;= "&amp;N23)-COUNTIF(Vertices[Eigenvector Centrality],"&gt;="&amp;N24)</f>
        <v>0</v>
      </c>
      <c r="P23" s="40">
        <f t="shared" si="7"/>
        <v>0.06031391176470591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16.176470588235286</v>
      </c>
      <c r="G24" s="39">
        <f>COUNTIF(Vertices[In-Degree],"&gt;= "&amp;F24)-COUNTIF(Vertices[In-Degree],"&gt;="&amp;F25)</f>
        <v>0</v>
      </c>
      <c r="H24" s="38">
        <f t="shared" si="3"/>
        <v>15.529411764705875</v>
      </c>
      <c r="I24" s="39">
        <f>COUNTIF(Vertices[Out-Degree],"&gt;= "&amp;H24)-COUNTIF(Vertices[Out-Degree],"&gt;="&amp;H25)</f>
        <v>0</v>
      </c>
      <c r="J24" s="38">
        <f t="shared" si="4"/>
        <v>1217.944444588235</v>
      </c>
      <c r="K24" s="39">
        <f>COUNTIF(Vertices[Betweenness Centrality],"&gt;= "&amp;J24)-COUNTIF(Vertices[Betweenness Centrality],"&gt;="&amp;J25)</f>
        <v>0</v>
      </c>
      <c r="L24" s="38">
        <f t="shared" si="5"/>
        <v>0.7439385882352939</v>
      </c>
      <c r="M24" s="39">
        <f>COUNTIF(Vertices[Closeness Centrality],"&gt;= "&amp;L24)-COUNTIF(Vertices[Closeness Centrality],"&gt;="&amp;L25)</f>
        <v>0</v>
      </c>
      <c r="N24" s="38">
        <f t="shared" si="6"/>
        <v>0.378320411764706</v>
      </c>
      <c r="O24" s="39">
        <f>COUNTIF(Vertices[Eigenvector Centrality],"&gt;= "&amp;N24)-COUNTIF(Vertices[Eigenvector Centrality],"&gt;="&amp;N25)</f>
        <v>0</v>
      </c>
      <c r="P24" s="38">
        <f t="shared" si="7"/>
        <v>0.06234676470588238</v>
      </c>
      <c r="Q24" s="39">
        <f>COUNTIF(Vertices[PageRank],"&gt;= "&amp;P24)-COUNTIF(Vertices[PageRank],"&gt;="&amp;P25)</f>
        <v>0</v>
      </c>
      <c r="R24" s="38">
        <f t="shared" si="8"/>
        <v>0.3235294117647059</v>
      </c>
      <c r="S24" s="44">
        <f>COUNTIF(Vertices[Clustering Coefficient],"&gt;= "&amp;R24)-COUNTIF(Vertices[Clustering Coefficient],"&gt;="&amp;R25)</f>
        <v>16</v>
      </c>
      <c r="T24" s="38" t="e">
        <f ca="1" t="shared" si="9"/>
        <v>#REF!</v>
      </c>
      <c r="U24" s="39" t="e">
        <f ca="1" t="shared" si="0"/>
        <v>#REF!</v>
      </c>
    </row>
    <row r="25" spans="1:21" ht="15">
      <c r="A25" s="35" t="s">
        <v>154</v>
      </c>
      <c r="B25" s="35">
        <v>49</v>
      </c>
      <c r="D25" s="33">
        <f t="shared" si="1"/>
        <v>0</v>
      </c>
      <c r="E25" s="3">
        <f>COUNTIF(Vertices[Degree],"&gt;= "&amp;D25)-COUNTIF(Vertices[Degree],"&gt;="&amp;D26)</f>
        <v>0</v>
      </c>
      <c r="F25" s="40">
        <f t="shared" si="2"/>
        <v>16.911764705882344</v>
      </c>
      <c r="G25" s="41">
        <f>COUNTIF(Vertices[In-Degree],"&gt;= "&amp;F25)-COUNTIF(Vertices[In-Degree],"&gt;="&amp;F26)</f>
        <v>0</v>
      </c>
      <c r="H25" s="40">
        <f t="shared" si="3"/>
        <v>16.23529411764705</v>
      </c>
      <c r="I25" s="41">
        <f>COUNTIF(Vertices[Out-Degree],"&gt;= "&amp;H25)-COUNTIF(Vertices[Out-Degree],"&gt;="&amp;H26)</f>
        <v>0</v>
      </c>
      <c r="J25" s="40">
        <f t="shared" si="4"/>
        <v>1273.305555705882</v>
      </c>
      <c r="K25" s="41">
        <f>COUNTIF(Vertices[Betweenness Centrality],"&gt;= "&amp;J25)-COUNTIF(Vertices[Betweenness Centrality],"&gt;="&amp;J26)</f>
        <v>0</v>
      </c>
      <c r="L25" s="40">
        <f t="shared" si="5"/>
        <v>0.7619437058823527</v>
      </c>
      <c r="M25" s="41">
        <f>COUNTIF(Vertices[Closeness Centrality],"&gt;= "&amp;L25)-COUNTIF(Vertices[Closeness Centrality],"&gt;="&amp;L26)</f>
        <v>0</v>
      </c>
      <c r="N25" s="40">
        <f t="shared" si="6"/>
        <v>0.39513829411764717</v>
      </c>
      <c r="O25" s="41">
        <f>COUNTIF(Vertices[Eigenvector Centrality],"&gt;= "&amp;N25)-COUNTIF(Vertices[Eigenvector Centrality],"&gt;="&amp;N26)</f>
        <v>0</v>
      </c>
      <c r="P25" s="40">
        <f t="shared" si="7"/>
        <v>0.06437961764705885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139</v>
      </c>
      <c r="D26" s="33">
        <f t="shared" si="1"/>
        <v>0</v>
      </c>
      <c r="E26" s="3">
        <f>COUNTIF(Vertices[Degree],"&gt;= "&amp;D26)-COUNTIF(Vertices[Degree],"&gt;="&amp;D27)</f>
        <v>0</v>
      </c>
      <c r="F26" s="38">
        <f t="shared" si="2"/>
        <v>17.647058823529402</v>
      </c>
      <c r="G26" s="39">
        <f>COUNTIF(Vertices[In-Degree],"&gt;= "&amp;F26)-COUNTIF(Vertices[In-Degree],"&gt;="&amp;F27)</f>
        <v>1</v>
      </c>
      <c r="H26" s="38">
        <f t="shared" si="3"/>
        <v>16.94117647058823</v>
      </c>
      <c r="I26" s="39">
        <f>COUNTIF(Vertices[Out-Degree],"&gt;= "&amp;H26)-COUNTIF(Vertices[Out-Degree],"&gt;="&amp;H27)</f>
        <v>0</v>
      </c>
      <c r="J26" s="38">
        <f t="shared" si="4"/>
        <v>1328.6666668235289</v>
      </c>
      <c r="K26" s="39">
        <f>COUNTIF(Vertices[Betweenness Centrality],"&gt;= "&amp;J26)-COUNTIF(Vertices[Betweenness Centrality],"&gt;="&amp;J27)</f>
        <v>0</v>
      </c>
      <c r="L26" s="38">
        <f t="shared" si="5"/>
        <v>0.7799488235294115</v>
      </c>
      <c r="M26" s="39">
        <f>COUNTIF(Vertices[Closeness Centrality],"&gt;= "&amp;L26)-COUNTIF(Vertices[Closeness Centrality],"&gt;="&amp;L27)</f>
        <v>0</v>
      </c>
      <c r="N26" s="38">
        <f t="shared" si="6"/>
        <v>0.41195617647058835</v>
      </c>
      <c r="O26" s="39">
        <f>COUNTIF(Vertices[Eigenvector Centrality],"&gt;= "&amp;N26)-COUNTIF(Vertices[Eigenvector Centrality],"&gt;="&amp;N27)</f>
        <v>0</v>
      </c>
      <c r="P26" s="38">
        <f t="shared" si="7"/>
        <v>0.06641247058823532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7"/>
      <c r="B27" s="97"/>
      <c r="D27" s="33">
        <f t="shared" si="1"/>
        <v>0</v>
      </c>
      <c r="E27" s="3">
        <f>COUNTIF(Vertices[Degree],"&gt;= "&amp;D27)-COUNTIF(Vertices[Degree],"&gt;="&amp;D28)</f>
        <v>0</v>
      </c>
      <c r="F27" s="40">
        <f t="shared" si="2"/>
        <v>18.38235294117646</v>
      </c>
      <c r="G27" s="41">
        <f>COUNTIF(Vertices[In-Degree],"&gt;= "&amp;F27)-COUNTIF(Vertices[In-Degree],"&gt;="&amp;F28)</f>
        <v>0</v>
      </c>
      <c r="H27" s="40">
        <f t="shared" si="3"/>
        <v>17.647058823529406</v>
      </c>
      <c r="I27" s="41">
        <f>COUNTIF(Vertices[Out-Degree],"&gt;= "&amp;H27)-COUNTIF(Vertices[Out-Degree],"&gt;="&amp;H28)</f>
        <v>0</v>
      </c>
      <c r="J27" s="40">
        <f t="shared" si="4"/>
        <v>1384.0277779411758</v>
      </c>
      <c r="K27" s="41">
        <f>COUNTIF(Vertices[Betweenness Centrality],"&gt;= "&amp;J27)-COUNTIF(Vertices[Betweenness Centrality],"&gt;="&amp;J28)</f>
        <v>0</v>
      </c>
      <c r="L27" s="40">
        <f t="shared" si="5"/>
        <v>0.7979539411764703</v>
      </c>
      <c r="M27" s="41">
        <f>COUNTIF(Vertices[Closeness Centrality],"&gt;= "&amp;L27)-COUNTIF(Vertices[Closeness Centrality],"&gt;="&amp;L28)</f>
        <v>0</v>
      </c>
      <c r="N27" s="40">
        <f t="shared" si="6"/>
        <v>0.42877405882352954</v>
      </c>
      <c r="O27" s="41">
        <f>COUNTIF(Vertices[Eigenvector Centrality],"&gt;= "&amp;N27)-COUNTIF(Vertices[Eigenvector Centrality],"&gt;="&amp;N28)</f>
        <v>0</v>
      </c>
      <c r="P27" s="40">
        <f t="shared" si="7"/>
        <v>0.0684453235294118</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19.11764705882352</v>
      </c>
      <c r="G28" s="39">
        <f>COUNTIF(Vertices[In-Degree],"&gt;= "&amp;F28)-COUNTIF(Vertices[In-Degree],"&gt;="&amp;F29)</f>
        <v>0</v>
      </c>
      <c r="H28" s="38">
        <f t="shared" si="3"/>
        <v>18.352941176470583</v>
      </c>
      <c r="I28" s="39">
        <f>COUNTIF(Vertices[Out-Degree],"&gt;= "&amp;H28)-COUNTIF(Vertices[Out-Degree],"&gt;="&amp;H29)</f>
        <v>0</v>
      </c>
      <c r="J28" s="38">
        <f t="shared" si="4"/>
        <v>1439.3888890588228</v>
      </c>
      <c r="K28" s="39">
        <f>COUNTIF(Vertices[Betweenness Centrality],"&gt;= "&amp;J28)-COUNTIF(Vertices[Betweenness Centrality],"&gt;="&amp;J29)</f>
        <v>0</v>
      </c>
      <c r="L28" s="38">
        <f t="shared" si="5"/>
        <v>0.8159590588235291</v>
      </c>
      <c r="M28" s="39">
        <f>COUNTIF(Vertices[Closeness Centrality],"&gt;= "&amp;L28)-COUNTIF(Vertices[Closeness Centrality],"&gt;="&amp;L29)</f>
        <v>0</v>
      </c>
      <c r="N28" s="38">
        <f t="shared" si="6"/>
        <v>0.4455919411764707</v>
      </c>
      <c r="O28" s="39">
        <f>COUNTIF(Vertices[Eigenvector Centrality],"&gt;= "&amp;N28)-COUNTIF(Vertices[Eigenvector Centrality],"&gt;="&amp;N29)</f>
        <v>0</v>
      </c>
      <c r="P28" s="38">
        <f t="shared" si="7"/>
        <v>0.07047817647058827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1.951687</v>
      </c>
      <c r="D29" s="33">
        <f t="shared" si="1"/>
        <v>0</v>
      </c>
      <c r="E29" s="3">
        <f>COUNTIF(Vertices[Degree],"&gt;= "&amp;D29)-COUNTIF(Vertices[Degree],"&gt;="&amp;D30)</f>
        <v>0</v>
      </c>
      <c r="F29" s="40">
        <f t="shared" si="2"/>
        <v>19.852941176470576</v>
      </c>
      <c r="G29" s="41">
        <f>COUNTIF(Vertices[In-Degree],"&gt;= "&amp;F29)-COUNTIF(Vertices[In-Degree],"&gt;="&amp;F30)</f>
        <v>0</v>
      </c>
      <c r="H29" s="40">
        <f t="shared" si="3"/>
        <v>19.05882352941176</v>
      </c>
      <c r="I29" s="41">
        <f>COUNTIF(Vertices[Out-Degree],"&gt;= "&amp;H29)-COUNTIF(Vertices[Out-Degree],"&gt;="&amp;H30)</f>
        <v>0</v>
      </c>
      <c r="J29" s="40">
        <f t="shared" si="4"/>
        <v>1494.7500001764697</v>
      </c>
      <c r="K29" s="41">
        <f>COUNTIF(Vertices[Betweenness Centrality],"&gt;= "&amp;J29)-COUNTIF(Vertices[Betweenness Centrality],"&gt;="&amp;J30)</f>
        <v>0</v>
      </c>
      <c r="L29" s="40">
        <f t="shared" si="5"/>
        <v>0.833964176470588</v>
      </c>
      <c r="M29" s="41">
        <f>COUNTIF(Vertices[Closeness Centrality],"&gt;= "&amp;L29)-COUNTIF(Vertices[Closeness Centrality],"&gt;="&amp;L30)</f>
        <v>0</v>
      </c>
      <c r="N29" s="40">
        <f t="shared" si="6"/>
        <v>0.4624098235294119</v>
      </c>
      <c r="O29" s="41">
        <f>COUNTIF(Vertices[Eigenvector Centrality],"&gt;= "&amp;N29)-COUNTIF(Vertices[Eigenvector Centrality],"&gt;="&amp;N30)</f>
        <v>0</v>
      </c>
      <c r="P29" s="40">
        <f t="shared" si="7"/>
        <v>0.07251102941176474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97"/>
      <c r="B30" s="97"/>
      <c r="D30" s="33">
        <f t="shared" si="1"/>
        <v>0</v>
      </c>
      <c r="E30" s="3">
        <f>COUNTIF(Vertices[Degree],"&gt;= "&amp;D30)-COUNTIF(Vertices[Degree],"&gt;="&amp;D31)</f>
        <v>0</v>
      </c>
      <c r="F30" s="38">
        <f t="shared" si="2"/>
        <v>20.588235294117634</v>
      </c>
      <c r="G30" s="39">
        <f>COUNTIF(Vertices[In-Degree],"&gt;= "&amp;F30)-COUNTIF(Vertices[In-Degree],"&gt;="&amp;F31)</f>
        <v>0</v>
      </c>
      <c r="H30" s="38">
        <f t="shared" si="3"/>
        <v>19.76470588235294</v>
      </c>
      <c r="I30" s="39">
        <f>COUNTIF(Vertices[Out-Degree],"&gt;= "&amp;H30)-COUNTIF(Vertices[Out-Degree],"&gt;="&amp;H31)</f>
        <v>0</v>
      </c>
      <c r="J30" s="38">
        <f t="shared" si="4"/>
        <v>1550.1111112941167</v>
      </c>
      <c r="K30" s="39">
        <f>COUNTIF(Vertices[Betweenness Centrality],"&gt;= "&amp;J30)-COUNTIF(Vertices[Betweenness Centrality],"&gt;="&amp;J31)</f>
        <v>0</v>
      </c>
      <c r="L30" s="38">
        <f t="shared" si="5"/>
        <v>0.8519692941176468</v>
      </c>
      <c r="M30" s="39">
        <f>COUNTIF(Vertices[Closeness Centrality],"&gt;= "&amp;L30)-COUNTIF(Vertices[Closeness Centrality],"&gt;="&amp;L31)</f>
        <v>0</v>
      </c>
      <c r="N30" s="38">
        <f t="shared" si="6"/>
        <v>0.4792277058823531</v>
      </c>
      <c r="O30" s="39">
        <f>COUNTIF(Vertices[Eigenvector Centrality],"&gt;= "&amp;N30)-COUNTIF(Vertices[Eigenvector Centrality],"&gt;="&amp;N31)</f>
        <v>0</v>
      </c>
      <c r="P30" s="38">
        <f t="shared" si="7"/>
        <v>0.07454388235294121</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0.04081632653061224</v>
      </c>
      <c r="D31" s="33">
        <f t="shared" si="1"/>
        <v>0</v>
      </c>
      <c r="E31" s="3">
        <f>COUNTIF(Vertices[Degree],"&gt;= "&amp;D31)-COUNTIF(Vertices[Degree],"&gt;="&amp;D32)</f>
        <v>0</v>
      </c>
      <c r="F31" s="40">
        <f t="shared" si="2"/>
        <v>21.323529411764692</v>
      </c>
      <c r="G31" s="41">
        <f>COUNTIF(Vertices[In-Degree],"&gt;= "&amp;F31)-COUNTIF(Vertices[In-Degree],"&gt;="&amp;F32)</f>
        <v>1</v>
      </c>
      <c r="H31" s="40">
        <f t="shared" si="3"/>
        <v>20.470588235294116</v>
      </c>
      <c r="I31" s="41">
        <f>COUNTIF(Vertices[Out-Degree],"&gt;= "&amp;H31)-COUNTIF(Vertices[Out-Degree],"&gt;="&amp;H32)</f>
        <v>0</v>
      </c>
      <c r="J31" s="40">
        <f t="shared" si="4"/>
        <v>1605.4722224117636</v>
      </c>
      <c r="K31" s="41">
        <f>COUNTIF(Vertices[Betweenness Centrality],"&gt;= "&amp;J31)-COUNTIF(Vertices[Betweenness Centrality],"&gt;="&amp;J32)</f>
        <v>0</v>
      </c>
      <c r="L31" s="40">
        <f t="shared" si="5"/>
        <v>0.8699744117647056</v>
      </c>
      <c r="M31" s="41">
        <f>COUNTIF(Vertices[Closeness Centrality],"&gt;= "&amp;L31)-COUNTIF(Vertices[Closeness Centrality],"&gt;="&amp;L32)</f>
        <v>0</v>
      </c>
      <c r="N31" s="40">
        <f t="shared" si="6"/>
        <v>0.49604558823529427</v>
      </c>
      <c r="O31" s="41">
        <f>COUNTIF(Vertices[Eigenvector Centrality],"&gt;= "&amp;N31)-COUNTIF(Vertices[Eigenvector Centrality],"&gt;="&amp;N32)</f>
        <v>0</v>
      </c>
      <c r="P31" s="40">
        <f t="shared" si="7"/>
        <v>0.07657673529411768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411</v>
      </c>
      <c r="B32" s="35">
        <v>0.267261</v>
      </c>
      <c r="D32" s="33">
        <f t="shared" si="1"/>
        <v>0</v>
      </c>
      <c r="E32" s="3">
        <f>COUNTIF(Vertices[Degree],"&gt;= "&amp;D32)-COUNTIF(Vertices[Degree],"&gt;="&amp;D33)</f>
        <v>0</v>
      </c>
      <c r="F32" s="38">
        <f t="shared" si="2"/>
        <v>22.05882352941175</v>
      </c>
      <c r="G32" s="39">
        <f>COUNTIF(Vertices[In-Degree],"&gt;= "&amp;F32)-COUNTIF(Vertices[In-Degree],"&gt;="&amp;F33)</f>
        <v>0</v>
      </c>
      <c r="H32" s="38">
        <f t="shared" si="3"/>
        <v>21.176470588235293</v>
      </c>
      <c r="I32" s="39">
        <f>COUNTIF(Vertices[Out-Degree],"&gt;= "&amp;H32)-COUNTIF(Vertices[Out-Degree],"&gt;="&amp;H33)</f>
        <v>0</v>
      </c>
      <c r="J32" s="38">
        <f t="shared" si="4"/>
        <v>1660.8333335294105</v>
      </c>
      <c r="K32" s="39">
        <f>COUNTIF(Vertices[Betweenness Centrality],"&gt;= "&amp;J32)-COUNTIF(Vertices[Betweenness Centrality],"&gt;="&amp;J33)</f>
        <v>0</v>
      </c>
      <c r="L32" s="38">
        <f t="shared" si="5"/>
        <v>0.8879795294117644</v>
      </c>
      <c r="M32" s="39">
        <f>COUNTIF(Vertices[Closeness Centrality],"&gt;= "&amp;L32)-COUNTIF(Vertices[Closeness Centrality],"&gt;="&amp;L33)</f>
        <v>0</v>
      </c>
      <c r="N32" s="38">
        <f t="shared" si="6"/>
        <v>0.5128634705882354</v>
      </c>
      <c r="O32" s="39">
        <f>COUNTIF(Vertices[Eigenvector Centrality],"&gt;= "&amp;N32)-COUNTIF(Vertices[Eigenvector Centrality],"&gt;="&amp;N33)</f>
        <v>0</v>
      </c>
      <c r="P32" s="38">
        <f t="shared" si="7"/>
        <v>0.07860958823529415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7"/>
      <c r="B33" s="97"/>
      <c r="D33" s="33">
        <f t="shared" si="1"/>
        <v>0</v>
      </c>
      <c r="E33" s="3">
        <f>COUNTIF(Vertices[Degree],"&gt;= "&amp;D33)-COUNTIF(Vertices[Degree],"&gt;="&amp;D34)</f>
        <v>0</v>
      </c>
      <c r="F33" s="40">
        <f t="shared" si="2"/>
        <v>22.79411764705881</v>
      </c>
      <c r="G33" s="41">
        <f>COUNTIF(Vertices[In-Degree],"&gt;= "&amp;F33)-COUNTIF(Vertices[In-Degree],"&gt;="&amp;F34)</f>
        <v>0</v>
      </c>
      <c r="H33" s="40">
        <f t="shared" si="3"/>
        <v>21.88235294117647</v>
      </c>
      <c r="I33" s="41">
        <f>COUNTIF(Vertices[Out-Degree],"&gt;= "&amp;H33)-COUNTIF(Vertices[Out-Degree],"&gt;="&amp;H34)</f>
        <v>0</v>
      </c>
      <c r="J33" s="40">
        <f t="shared" si="4"/>
        <v>1716.1944446470575</v>
      </c>
      <c r="K33" s="41">
        <f>COUNTIF(Vertices[Betweenness Centrality],"&gt;= "&amp;J33)-COUNTIF(Vertices[Betweenness Centrality],"&gt;="&amp;J34)</f>
        <v>0</v>
      </c>
      <c r="L33" s="40">
        <f t="shared" si="5"/>
        <v>0.9059846470588232</v>
      </c>
      <c r="M33" s="41">
        <f>COUNTIF(Vertices[Closeness Centrality],"&gt;= "&amp;L33)-COUNTIF(Vertices[Closeness Centrality],"&gt;="&amp;L34)</f>
        <v>0</v>
      </c>
      <c r="N33" s="40">
        <f t="shared" si="6"/>
        <v>0.5296813529411766</v>
      </c>
      <c r="O33" s="41">
        <f>COUNTIF(Vertices[Eigenvector Centrality],"&gt;= "&amp;N33)-COUNTIF(Vertices[Eigenvector Centrality],"&gt;="&amp;N34)</f>
        <v>0</v>
      </c>
      <c r="P33" s="40">
        <f t="shared" si="7"/>
        <v>0.08064244117647063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412</v>
      </c>
      <c r="B34" s="35" t="s">
        <v>427</v>
      </c>
      <c r="D34" s="33">
        <f t="shared" si="1"/>
        <v>0</v>
      </c>
      <c r="E34" s="3">
        <f>COUNTIF(Vertices[Degree],"&gt;= "&amp;D34)-COUNTIF(Vertices[Degree],"&gt;="&amp;D35)</f>
        <v>0</v>
      </c>
      <c r="F34" s="38">
        <f t="shared" si="2"/>
        <v>23.529411764705866</v>
      </c>
      <c r="G34" s="39">
        <f>COUNTIF(Vertices[In-Degree],"&gt;= "&amp;F34)-COUNTIF(Vertices[In-Degree],"&gt;="&amp;F35)</f>
        <v>0</v>
      </c>
      <c r="H34" s="38">
        <f t="shared" si="3"/>
        <v>22.58823529411765</v>
      </c>
      <c r="I34" s="39">
        <f>COUNTIF(Vertices[Out-Degree],"&gt;= "&amp;H34)-COUNTIF(Vertices[Out-Degree],"&gt;="&amp;H35)</f>
        <v>0</v>
      </c>
      <c r="J34" s="38">
        <f t="shared" si="4"/>
        <v>1771.5555557647044</v>
      </c>
      <c r="K34" s="39">
        <f>COUNTIF(Vertices[Betweenness Centrality],"&gt;= "&amp;J34)-COUNTIF(Vertices[Betweenness Centrality],"&gt;="&amp;J35)</f>
        <v>0</v>
      </c>
      <c r="L34" s="38">
        <f t="shared" si="5"/>
        <v>0.923989764705882</v>
      </c>
      <c r="M34" s="39">
        <f>COUNTIF(Vertices[Closeness Centrality],"&gt;= "&amp;L34)-COUNTIF(Vertices[Closeness Centrality],"&gt;="&amp;L35)</f>
        <v>0</v>
      </c>
      <c r="N34" s="38">
        <f t="shared" si="6"/>
        <v>0.5464992352941177</v>
      </c>
      <c r="O34" s="39">
        <f>COUNTIF(Vertices[Eigenvector Centrality],"&gt;= "&amp;N34)-COUNTIF(Vertices[Eigenvector Centrality],"&gt;="&amp;N35)</f>
        <v>0</v>
      </c>
      <c r="P34" s="38">
        <f t="shared" si="7"/>
        <v>0.0826752941176471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7"/>
      <c r="B35" s="97"/>
      <c r="D35" s="33">
        <f t="shared" si="1"/>
        <v>0</v>
      </c>
      <c r="E35" s="3">
        <f>COUNTIF(Vertices[Degree],"&gt;= "&amp;D35)-COUNTIF(Vertices[Degree],"&gt;="&amp;D36)</f>
        <v>0</v>
      </c>
      <c r="F35" s="40">
        <f t="shared" si="2"/>
        <v>24.264705882352924</v>
      </c>
      <c r="G35" s="41">
        <f>COUNTIF(Vertices[In-Degree],"&gt;= "&amp;F35)-COUNTIF(Vertices[In-Degree],"&gt;="&amp;F36)</f>
        <v>0</v>
      </c>
      <c r="H35" s="40">
        <f t="shared" si="3"/>
        <v>23.294117647058826</v>
      </c>
      <c r="I35" s="41">
        <f>COUNTIF(Vertices[Out-Degree],"&gt;= "&amp;H35)-COUNTIF(Vertices[Out-Degree],"&gt;="&amp;H36)</f>
        <v>0</v>
      </c>
      <c r="J35" s="40">
        <f t="shared" si="4"/>
        <v>1826.9166668823514</v>
      </c>
      <c r="K35" s="41">
        <f>COUNTIF(Vertices[Betweenness Centrality],"&gt;= "&amp;J35)-COUNTIF(Vertices[Betweenness Centrality],"&gt;="&amp;J36)</f>
        <v>0</v>
      </c>
      <c r="L35" s="40">
        <f t="shared" si="5"/>
        <v>0.9419948823529408</v>
      </c>
      <c r="M35" s="41">
        <f>COUNTIF(Vertices[Closeness Centrality],"&gt;= "&amp;L35)-COUNTIF(Vertices[Closeness Centrality],"&gt;="&amp;L36)</f>
        <v>0</v>
      </c>
      <c r="N35" s="40">
        <f t="shared" si="6"/>
        <v>0.5633171176470588</v>
      </c>
      <c r="O35" s="41">
        <f>COUNTIF(Vertices[Eigenvector Centrality],"&gt;= "&amp;N35)-COUNTIF(Vertices[Eigenvector Centrality],"&gt;="&amp;N36)</f>
        <v>0</v>
      </c>
      <c r="P35" s="40">
        <f t="shared" si="7"/>
        <v>0.08470814705882357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413</v>
      </c>
      <c r="B36" s="35" t="s">
        <v>994</v>
      </c>
      <c r="D36" s="33">
        <f>MAX(Vertices[Degree])</f>
        <v>0</v>
      </c>
      <c r="E36" s="3">
        <f>COUNTIF(Vertices[Degree],"&gt;= "&amp;D36)-COUNTIF(Vertices[Degree],"&gt;="&amp;#REF!)</f>
        <v>0</v>
      </c>
      <c r="F36" s="42">
        <f>MAX(Vertices[In-Degree])</f>
        <v>25</v>
      </c>
      <c r="G36" s="43">
        <f>COUNTIF(Vertices[In-Degree],"&gt;= "&amp;F36)-COUNTIF(Vertices[In-Degree],"&gt;="&amp;#REF!)</f>
        <v>1</v>
      </c>
      <c r="H36" s="42">
        <f>MAX(Vertices[Out-Degree])</f>
        <v>24</v>
      </c>
      <c r="I36" s="43">
        <f>COUNTIF(Vertices[Out-Degree],"&gt;= "&amp;H36)-COUNTIF(Vertices[Out-Degree],"&gt;="&amp;#REF!)</f>
        <v>1</v>
      </c>
      <c r="J36" s="42">
        <f>MAX(Vertices[Betweenness Centrality])</f>
        <v>1882.277778</v>
      </c>
      <c r="K36" s="43">
        <f>COUNTIF(Vertices[Betweenness Centrality],"&gt;= "&amp;J36)-COUNTIF(Vertices[Betweenness Centrality],"&gt;="&amp;#REF!)</f>
        <v>1</v>
      </c>
      <c r="L36" s="42">
        <f>MAX(Vertices[Closeness Centrality])</f>
        <v>0.96</v>
      </c>
      <c r="M36" s="43">
        <f>COUNTIF(Vertices[Closeness Centrality],"&gt;= "&amp;L36)-COUNTIF(Vertices[Closeness Centrality],"&gt;="&amp;#REF!)</f>
        <v>1</v>
      </c>
      <c r="N36" s="42">
        <f>MAX(Vertices[Eigenvector Centrality])</f>
        <v>0.580135</v>
      </c>
      <c r="O36" s="43">
        <f>COUNTIF(Vertices[Eigenvector Centrality],"&gt;= "&amp;N36)-COUNTIF(Vertices[Eigenvector Centrality],"&gt;="&amp;#REF!)</f>
        <v>1</v>
      </c>
      <c r="P36" s="42">
        <f>MAX(Vertices[PageRank])</f>
        <v>0.086741</v>
      </c>
      <c r="Q36" s="43">
        <f>COUNTIF(Vertices[PageRank],"&gt;= "&amp;P36)-COUNTIF(Vertices[PageRank],"&gt;="&amp;#REF!)</f>
        <v>1</v>
      </c>
      <c r="R36" s="42">
        <f>MAX(Vertices[Clustering Coefficient])</f>
        <v>0.5</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414</v>
      </c>
      <c r="B37" s="35" t="s">
        <v>995</v>
      </c>
    </row>
    <row r="38" spans="1:2" ht="15">
      <c r="A38" s="97"/>
      <c r="B38" s="97"/>
    </row>
    <row r="39" spans="1:2" ht="15">
      <c r="A39" s="35" t="s">
        <v>415</v>
      </c>
      <c r="B39" s="35" t="s">
        <v>515</v>
      </c>
    </row>
    <row r="40" spans="1:2" ht="15">
      <c r="A40" s="35" t="s">
        <v>416</v>
      </c>
      <c r="B40" s="35" t="s">
        <v>992</v>
      </c>
    </row>
    <row r="41" spans="1:2" ht="409.6">
      <c r="A41" s="35" t="s">
        <v>417</v>
      </c>
      <c r="B41" s="54" t="s">
        <v>993</v>
      </c>
    </row>
    <row r="42" spans="1:2" ht="15">
      <c r="A42" s="35" t="s">
        <v>418</v>
      </c>
      <c r="B42" s="35" t="s">
        <v>516</v>
      </c>
    </row>
    <row r="43" spans="1:2" ht="15">
      <c r="A43" s="35" t="s">
        <v>419</v>
      </c>
      <c r="B43" s="35" t="s">
        <v>517</v>
      </c>
    </row>
    <row r="44" spans="1:2" ht="15">
      <c r="A44" s="35" t="s">
        <v>420</v>
      </c>
      <c r="B44" s="35" t="s">
        <v>320</v>
      </c>
    </row>
    <row r="45" spans="1:2" ht="15">
      <c r="A45" s="35" t="s">
        <v>421</v>
      </c>
      <c r="B45" s="35" t="s">
        <v>320</v>
      </c>
    </row>
    <row r="46" spans="1:2" ht="15">
      <c r="A46" s="35" t="s">
        <v>422</v>
      </c>
      <c r="B46" s="35" t="s">
        <v>320</v>
      </c>
    </row>
    <row r="47" spans="1:2" ht="15">
      <c r="A47" s="35" t="s">
        <v>423</v>
      </c>
      <c r="B47" s="35"/>
    </row>
    <row r="48" spans="1:2" ht="15">
      <c r="A48" s="35" t="s">
        <v>21</v>
      </c>
      <c r="B48" s="35"/>
    </row>
    <row r="49" spans="1:2" ht="15">
      <c r="A49" s="35" t="s">
        <v>424</v>
      </c>
      <c r="B49" s="35" t="s">
        <v>34</v>
      </c>
    </row>
    <row r="50" spans="1:2" ht="15">
      <c r="A50" s="35" t="s">
        <v>425</v>
      </c>
      <c r="B50" s="35"/>
    </row>
    <row r="51" spans="1:2" ht="15">
      <c r="A51" s="35" t="s">
        <v>426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1.9795918367346939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1.9795918367346939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1882.277778</v>
      </c>
    </row>
    <row r="111" spans="1:2" ht="15">
      <c r="A111" s="34" t="s">
        <v>102</v>
      </c>
      <c r="B111" s="48">
        <f>_xlfn.IFERROR(AVERAGE(Vertices[Betweenness Centrality]),NoMetricMessage)</f>
        <v>47.63265304081637</v>
      </c>
    </row>
    <row r="112" spans="1:2" ht="15">
      <c r="A112" s="34" t="s">
        <v>103</v>
      </c>
      <c r="B112" s="48">
        <f>_xlfn.IFERROR(MEDIAN(Vertices[Betweenness Centrality]),NoMetricMessage)</f>
        <v>0</v>
      </c>
    </row>
    <row r="123" spans="1:2" ht="15">
      <c r="A123" s="34" t="s">
        <v>106</v>
      </c>
      <c r="B123" s="48">
        <f>IF(COUNT(Vertices[Closeness Centrality])&gt;0,L2,NoMetricMessage)</f>
        <v>0.347826</v>
      </c>
    </row>
    <row r="124" spans="1:2" ht="15">
      <c r="A124" s="34" t="s">
        <v>107</v>
      </c>
      <c r="B124" s="48">
        <f>IF(COUNT(Vertices[Closeness Centrality])&gt;0,L36,NoMetricMessage)</f>
        <v>0.96</v>
      </c>
    </row>
    <row r="125" spans="1:2" ht="15">
      <c r="A125" s="34" t="s">
        <v>108</v>
      </c>
      <c r="B125" s="48">
        <f>_xlfn.IFERROR(AVERAGE(Vertices[Closeness Centrality]),NoMetricMessage)</f>
        <v>0.5101281836734698</v>
      </c>
    </row>
    <row r="126" spans="1:2" ht="15">
      <c r="A126" s="34" t="s">
        <v>109</v>
      </c>
      <c r="B126" s="48">
        <f>_xlfn.IFERROR(MEDIAN(Vertices[Closeness Centrality]),NoMetricMessage)</f>
        <v>0.505263</v>
      </c>
    </row>
    <row r="137" spans="1:2" ht="15">
      <c r="A137" s="34" t="s">
        <v>112</v>
      </c>
      <c r="B137" s="48">
        <f>IF(COUNT(Vertices[Eigenvector Centrality])&gt;0,N2,NoMetricMessage)</f>
        <v>0.008327</v>
      </c>
    </row>
    <row r="138" spans="1:2" ht="15">
      <c r="A138" s="34" t="s">
        <v>113</v>
      </c>
      <c r="B138" s="48">
        <f>IF(COUNT(Vertices[Eigenvector Centrality])&gt;0,N36,NoMetricMessage)</f>
        <v>0.580135</v>
      </c>
    </row>
    <row r="139" spans="1:2" ht="15">
      <c r="A139" s="34" t="s">
        <v>114</v>
      </c>
      <c r="B139" s="48">
        <f>_xlfn.IFERROR(AVERAGE(Vertices[Eigenvector Centrality]),NoMetricMessage)</f>
        <v>0.11170577551020412</v>
      </c>
    </row>
    <row r="140" spans="1:2" ht="15">
      <c r="A140" s="34" t="s">
        <v>115</v>
      </c>
      <c r="B140" s="48">
        <f>_xlfn.IFERROR(MEDIAN(Vertices[Eigenvector Centrality]),NoMetricMessage)</f>
        <v>0.098366</v>
      </c>
    </row>
    <row r="151" spans="1:2" ht="15">
      <c r="A151" s="34" t="s">
        <v>140</v>
      </c>
      <c r="B151" s="48">
        <f>IF(COUNT(Vertices[PageRank])&gt;0,P2,NoMetricMessage)</f>
        <v>0.017624</v>
      </c>
    </row>
    <row r="152" spans="1:2" ht="15">
      <c r="A152" s="34" t="s">
        <v>141</v>
      </c>
      <c r="B152" s="48">
        <f>IF(COUNT(Vertices[PageRank])&gt;0,P36,NoMetricMessage)</f>
        <v>0.086741</v>
      </c>
    </row>
    <row r="153" spans="1:2" ht="15">
      <c r="A153" s="34" t="s">
        <v>142</v>
      </c>
      <c r="B153" s="48">
        <f>_xlfn.IFERROR(AVERAGE(Vertices[PageRank]),NoMetricMessage)</f>
        <v>0.02040818367346938</v>
      </c>
    </row>
    <row r="154" spans="1:2" ht="15">
      <c r="A154" s="34" t="s">
        <v>143</v>
      </c>
      <c r="B154" s="48">
        <f>_xlfn.IFERROR(MEDIAN(Vertices[PageRank]),NoMetricMessage)</f>
        <v>0.018147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0.2256540560888387</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319</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21</v>
      </c>
      <c r="R6" t="s">
        <v>129</v>
      </c>
    </row>
    <row r="7" spans="1:11" ht="409.6">
      <c r="A7">
        <v>2</v>
      </c>
      <c r="B7">
        <v>1</v>
      </c>
      <c r="C7">
        <v>0</v>
      </c>
      <c r="D7" t="s">
        <v>60</v>
      </c>
      <c r="E7" t="s">
        <v>60</v>
      </c>
      <c r="F7">
        <v>2</v>
      </c>
      <c r="H7" t="s">
        <v>72</v>
      </c>
      <c r="J7" t="s">
        <v>175</v>
      </c>
      <c r="K7" s="13" t="s">
        <v>176</v>
      </c>
    </row>
    <row r="8" spans="1:11" ht="409.6">
      <c r="A8"/>
      <c r="B8">
        <v>2</v>
      </c>
      <c r="C8">
        <v>2</v>
      </c>
      <c r="D8" t="s">
        <v>61</v>
      </c>
      <c r="E8" t="s">
        <v>61</v>
      </c>
      <c r="H8" t="s">
        <v>73</v>
      </c>
      <c r="J8" t="s">
        <v>177</v>
      </c>
      <c r="K8" s="13" t="s">
        <v>178</v>
      </c>
    </row>
    <row r="9" spans="1:11" ht="409.6">
      <c r="A9"/>
      <c r="B9">
        <v>3</v>
      </c>
      <c r="C9">
        <v>4</v>
      </c>
      <c r="D9" t="s">
        <v>62</v>
      </c>
      <c r="E9" t="s">
        <v>62</v>
      </c>
      <c r="H9" t="s">
        <v>74</v>
      </c>
      <c r="J9" t="s">
        <v>179</v>
      </c>
      <c r="K9" s="13" t="s">
        <v>180</v>
      </c>
    </row>
    <row r="10" spans="1:11" ht="409.6">
      <c r="A10"/>
      <c r="B10">
        <v>4</v>
      </c>
      <c r="D10" t="s">
        <v>63</v>
      </c>
      <c r="E10" t="s">
        <v>63</v>
      </c>
      <c r="H10" t="s">
        <v>75</v>
      </c>
      <c r="J10" t="s">
        <v>181</v>
      </c>
      <c r="K10" s="13" t="s">
        <v>182</v>
      </c>
    </row>
    <row r="11" spans="1:11" ht="409.6">
      <c r="A11"/>
      <c r="B11">
        <v>5</v>
      </c>
      <c r="D11" t="s">
        <v>46</v>
      </c>
      <c r="E11">
        <v>1</v>
      </c>
      <c r="H11" t="s">
        <v>76</v>
      </c>
      <c r="J11" t="s">
        <v>183</v>
      </c>
      <c r="K11" s="13" t="s">
        <v>184</v>
      </c>
    </row>
    <row r="12" spans="1:11" ht="409.6">
      <c r="A12"/>
      <c r="B12"/>
      <c r="D12" t="s">
        <v>64</v>
      </c>
      <c r="E12">
        <v>2</v>
      </c>
      <c r="H12">
        <v>0</v>
      </c>
      <c r="J12" t="s">
        <v>185</v>
      </c>
      <c r="K12" s="13" t="s">
        <v>186</v>
      </c>
    </row>
    <row r="13" spans="1:11" ht="409.6">
      <c r="A13"/>
      <c r="B13"/>
      <c r="D13">
        <v>1</v>
      </c>
      <c r="E13">
        <v>3</v>
      </c>
      <c r="H13">
        <v>1</v>
      </c>
      <c r="J13" t="s">
        <v>187</v>
      </c>
      <c r="K13" s="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15">
      <c r="D21">
        <v>9</v>
      </c>
      <c r="H21">
        <v>9</v>
      </c>
      <c r="J21" t="s">
        <v>203</v>
      </c>
      <c r="K21" t="s">
        <v>204</v>
      </c>
    </row>
    <row r="22" spans="4:11" ht="15">
      <c r="D22">
        <v>10</v>
      </c>
      <c r="J22" t="s">
        <v>205</v>
      </c>
      <c r="K22" t="s">
        <v>206</v>
      </c>
    </row>
    <row r="23" spans="4:11" ht="15">
      <c r="D23">
        <v>11</v>
      </c>
      <c r="J23" t="s">
        <v>207</v>
      </c>
      <c r="K23" t="s">
        <v>208</v>
      </c>
    </row>
    <row r="24" spans="10:11" ht="409.6">
      <c r="J24" t="s">
        <v>209</v>
      </c>
      <c r="K24" s="13" t="s">
        <v>210</v>
      </c>
    </row>
    <row r="25" spans="10:11" ht="409.6">
      <c r="J25" t="s">
        <v>211</v>
      </c>
      <c r="K25" s="13" t="s">
        <v>212</v>
      </c>
    </row>
    <row r="26" spans="10:11" ht="409.6">
      <c r="J26" t="s">
        <v>213</v>
      </c>
      <c r="K26" s="13" t="s">
        <v>996</v>
      </c>
    </row>
    <row r="27" spans="10:11" ht="15">
      <c r="J27" t="s">
        <v>214</v>
      </c>
      <c r="K27" t="s">
        <v>990</v>
      </c>
    </row>
    <row r="28" spans="10:11" ht="409.6">
      <c r="J28" t="s">
        <v>215</v>
      </c>
      <c r="K28" s="13" t="s">
        <v>991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862F1-6195-466B-83C9-B94BFC7916EB}">
  <dimension ref="A1:G20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332</v>
      </c>
      <c r="B1" s="13" t="s">
        <v>377</v>
      </c>
      <c r="C1" s="13" t="s">
        <v>381</v>
      </c>
      <c r="D1" s="13" t="s">
        <v>144</v>
      </c>
      <c r="E1" s="13" t="s">
        <v>383</v>
      </c>
      <c r="F1" s="13" t="s">
        <v>384</v>
      </c>
      <c r="G1" s="13" t="s">
        <v>385</v>
      </c>
    </row>
    <row r="2" spans="1:7" ht="15">
      <c r="A2" s="79" t="s">
        <v>333</v>
      </c>
      <c r="B2" s="79" t="s">
        <v>378</v>
      </c>
      <c r="C2" s="92"/>
      <c r="D2" s="79"/>
      <c r="E2" s="79"/>
      <c r="F2" s="79"/>
      <c r="G2" s="79"/>
    </row>
    <row r="3" spans="1:7" ht="15">
      <c r="A3" s="80" t="s">
        <v>334</v>
      </c>
      <c r="B3" s="79" t="s">
        <v>379</v>
      </c>
      <c r="C3" s="92"/>
      <c r="D3" s="79"/>
      <c r="E3" s="79"/>
      <c r="F3" s="79"/>
      <c r="G3" s="79"/>
    </row>
    <row r="4" spans="1:7" ht="15">
      <c r="A4" s="80" t="s">
        <v>335</v>
      </c>
      <c r="B4" s="79" t="s">
        <v>380</v>
      </c>
      <c r="C4" s="92"/>
      <c r="D4" s="79"/>
      <c r="E4" s="79"/>
      <c r="F4" s="79"/>
      <c r="G4" s="79"/>
    </row>
    <row r="5" spans="1:7" ht="15">
      <c r="A5" s="80" t="s">
        <v>336</v>
      </c>
      <c r="B5" s="79">
        <v>4</v>
      </c>
      <c r="C5" s="92">
        <v>0.002140181915462814</v>
      </c>
      <c r="D5" s="79"/>
      <c r="E5" s="79"/>
      <c r="F5" s="79"/>
      <c r="G5" s="79"/>
    </row>
    <row r="6" spans="1:7" ht="15">
      <c r="A6" s="80" t="s">
        <v>337</v>
      </c>
      <c r="B6" s="79">
        <v>145</v>
      </c>
      <c r="C6" s="92">
        <v>0.07758159443552702</v>
      </c>
      <c r="D6" s="79"/>
      <c r="E6" s="79"/>
      <c r="F6" s="79"/>
      <c r="G6" s="79"/>
    </row>
    <row r="7" spans="1:7" ht="15">
      <c r="A7" s="80" t="s">
        <v>338</v>
      </c>
      <c r="B7" s="79">
        <v>0</v>
      </c>
      <c r="C7" s="92">
        <v>0</v>
      </c>
      <c r="D7" s="79"/>
      <c r="E7" s="79"/>
      <c r="F7" s="79"/>
      <c r="G7" s="79"/>
    </row>
    <row r="8" spans="1:7" ht="15">
      <c r="A8" s="80" t="s">
        <v>339</v>
      </c>
      <c r="B8" s="79">
        <v>1720</v>
      </c>
      <c r="C8" s="92">
        <v>0.9202782236490101</v>
      </c>
      <c r="D8" s="79"/>
      <c r="E8" s="79"/>
      <c r="F8" s="79"/>
      <c r="G8" s="79"/>
    </row>
    <row r="9" spans="1:7" ht="15">
      <c r="A9" s="80" t="s">
        <v>340</v>
      </c>
      <c r="B9" s="79">
        <v>1869</v>
      </c>
      <c r="C9" s="92">
        <v>1</v>
      </c>
      <c r="D9" s="79"/>
      <c r="E9" s="79"/>
      <c r="F9" s="79"/>
      <c r="G9" s="79"/>
    </row>
    <row r="10" spans="1:7" ht="15">
      <c r="A10" s="85" t="s">
        <v>538</v>
      </c>
      <c r="B10" s="88">
        <v>79</v>
      </c>
      <c r="C10" s="93">
        <v>0.009700263310965313</v>
      </c>
      <c r="D10" s="88" t="s">
        <v>382</v>
      </c>
      <c r="E10" s="88" t="b">
        <v>0</v>
      </c>
      <c r="F10" s="88" t="b">
        <v>0</v>
      </c>
      <c r="G10" s="88" t="b">
        <v>0</v>
      </c>
    </row>
    <row r="11" spans="1:7" ht="15">
      <c r="A11" s="85" t="s">
        <v>874</v>
      </c>
      <c r="B11" s="88">
        <v>57</v>
      </c>
      <c r="C11" s="93">
        <v>0.007557584103172046</v>
      </c>
      <c r="D11" s="88" t="s">
        <v>382</v>
      </c>
      <c r="E11" s="88" t="b">
        <v>0</v>
      </c>
      <c r="F11" s="88" t="b">
        <v>0</v>
      </c>
      <c r="G11" s="88" t="b">
        <v>0</v>
      </c>
    </row>
    <row r="12" spans="1:7" ht="15">
      <c r="A12" s="85" t="s">
        <v>344</v>
      </c>
      <c r="B12" s="88">
        <v>54</v>
      </c>
      <c r="C12" s="93">
        <v>0.00770318847160953</v>
      </c>
      <c r="D12" s="88" t="s">
        <v>382</v>
      </c>
      <c r="E12" s="88" t="b">
        <v>0</v>
      </c>
      <c r="F12" s="88" t="b">
        <v>0</v>
      </c>
      <c r="G12" s="88" t="b">
        <v>0</v>
      </c>
    </row>
    <row r="13" spans="1:7" ht="15">
      <c r="A13" s="85" t="s">
        <v>356</v>
      </c>
      <c r="B13" s="88">
        <v>54</v>
      </c>
      <c r="C13" s="93">
        <v>0.00770318847160953</v>
      </c>
      <c r="D13" s="88" t="s">
        <v>382</v>
      </c>
      <c r="E13" s="88" t="b">
        <v>0</v>
      </c>
      <c r="F13" s="88" t="b">
        <v>0</v>
      </c>
      <c r="G13" s="88" t="b">
        <v>0</v>
      </c>
    </row>
    <row r="14" spans="1:7" ht="15">
      <c r="A14" s="85" t="s">
        <v>341</v>
      </c>
      <c r="B14" s="88">
        <v>38</v>
      </c>
      <c r="C14" s="93">
        <v>0.005038389402114697</v>
      </c>
      <c r="D14" s="88" t="s">
        <v>382</v>
      </c>
      <c r="E14" s="88" t="b">
        <v>0</v>
      </c>
      <c r="F14" s="88" t="b">
        <v>0</v>
      </c>
      <c r="G14" s="88" t="b">
        <v>0</v>
      </c>
    </row>
    <row r="15" spans="1:7" ht="15">
      <c r="A15" s="85" t="s">
        <v>875</v>
      </c>
      <c r="B15" s="88">
        <v>38</v>
      </c>
      <c r="C15" s="93">
        <v>0.005038389402114697</v>
      </c>
      <c r="D15" s="88" t="s">
        <v>382</v>
      </c>
      <c r="E15" s="88" t="b">
        <v>0</v>
      </c>
      <c r="F15" s="88" t="b">
        <v>0</v>
      </c>
      <c r="G15" s="88" t="b">
        <v>0</v>
      </c>
    </row>
    <row r="16" spans="1:7" ht="15">
      <c r="A16" s="85" t="s">
        <v>519</v>
      </c>
      <c r="B16" s="88">
        <v>37</v>
      </c>
      <c r="C16" s="93">
        <v>0.005278110619436159</v>
      </c>
      <c r="D16" s="88" t="s">
        <v>382</v>
      </c>
      <c r="E16" s="88" t="b">
        <v>0</v>
      </c>
      <c r="F16" s="88" t="b">
        <v>0</v>
      </c>
      <c r="G16" s="88" t="b">
        <v>0</v>
      </c>
    </row>
    <row r="17" spans="1:7" ht="15">
      <c r="A17" s="85" t="s">
        <v>369</v>
      </c>
      <c r="B17" s="88">
        <v>24</v>
      </c>
      <c r="C17" s="93">
        <v>0.008131456034768284</v>
      </c>
      <c r="D17" s="88" t="s">
        <v>382</v>
      </c>
      <c r="E17" s="88" t="b">
        <v>0</v>
      </c>
      <c r="F17" s="88" t="b">
        <v>0</v>
      </c>
      <c r="G17" s="88" t="b">
        <v>0</v>
      </c>
    </row>
    <row r="18" spans="1:7" ht="15">
      <c r="A18" s="85" t="s">
        <v>258</v>
      </c>
      <c r="B18" s="88">
        <v>20</v>
      </c>
      <c r="C18" s="93">
        <v>0.007495460715186575</v>
      </c>
      <c r="D18" s="88" t="s">
        <v>382</v>
      </c>
      <c r="E18" s="88" t="b">
        <v>0</v>
      </c>
      <c r="F18" s="88" t="b">
        <v>0</v>
      </c>
      <c r="G18" s="88" t="b">
        <v>0</v>
      </c>
    </row>
    <row r="19" spans="1:7" ht="15">
      <c r="A19" s="85" t="s">
        <v>362</v>
      </c>
      <c r="B19" s="88">
        <v>20</v>
      </c>
      <c r="C19" s="93">
        <v>0.007495460715186575</v>
      </c>
      <c r="D19" s="88" t="s">
        <v>382</v>
      </c>
      <c r="E19" s="88" t="b">
        <v>0</v>
      </c>
      <c r="F19" s="88" t="b">
        <v>0</v>
      </c>
      <c r="G19" s="88" t="b">
        <v>0</v>
      </c>
    </row>
    <row r="20" spans="1:7" ht="15">
      <c r="A20" s="85" t="s">
        <v>876</v>
      </c>
      <c r="B20" s="88">
        <v>20</v>
      </c>
      <c r="C20" s="93">
        <v>0.007495460715186575</v>
      </c>
      <c r="D20" s="88" t="s">
        <v>382</v>
      </c>
      <c r="E20" s="88" t="b">
        <v>0</v>
      </c>
      <c r="F20" s="88" t="b">
        <v>0</v>
      </c>
      <c r="G20" s="88" t="b">
        <v>0</v>
      </c>
    </row>
    <row r="21" spans="1:7" ht="15">
      <c r="A21" s="85" t="s">
        <v>877</v>
      </c>
      <c r="B21" s="88">
        <v>19</v>
      </c>
      <c r="C21" s="93">
        <v>0.007488412700723415</v>
      </c>
      <c r="D21" s="88" t="s">
        <v>382</v>
      </c>
      <c r="E21" s="88" t="b">
        <v>0</v>
      </c>
      <c r="F21" s="88" t="b">
        <v>1</v>
      </c>
      <c r="G21" s="88" t="b">
        <v>0</v>
      </c>
    </row>
    <row r="22" spans="1:7" ht="15">
      <c r="A22" s="85" t="s">
        <v>878</v>
      </c>
      <c r="B22" s="88">
        <v>19</v>
      </c>
      <c r="C22" s="93">
        <v>0.007488412700723415</v>
      </c>
      <c r="D22" s="88" t="s">
        <v>382</v>
      </c>
      <c r="E22" s="88" t="b">
        <v>0</v>
      </c>
      <c r="F22" s="88" t="b">
        <v>1</v>
      </c>
      <c r="G22" s="88" t="b">
        <v>0</v>
      </c>
    </row>
    <row r="23" spans="1:7" ht="15">
      <c r="A23" s="85" t="s">
        <v>879</v>
      </c>
      <c r="B23" s="88">
        <v>19</v>
      </c>
      <c r="C23" s="93">
        <v>0.007488412700723415</v>
      </c>
      <c r="D23" s="88" t="s">
        <v>382</v>
      </c>
      <c r="E23" s="88" t="b">
        <v>0</v>
      </c>
      <c r="F23" s="88" t="b">
        <v>1</v>
      </c>
      <c r="G23" s="88" t="b">
        <v>0</v>
      </c>
    </row>
    <row r="24" spans="1:7" ht="15">
      <c r="A24" s="85" t="s">
        <v>880</v>
      </c>
      <c r="B24" s="88">
        <v>19</v>
      </c>
      <c r="C24" s="93">
        <v>0.007488412700723415</v>
      </c>
      <c r="D24" s="88" t="s">
        <v>382</v>
      </c>
      <c r="E24" s="88" t="b">
        <v>0</v>
      </c>
      <c r="F24" s="88" t="b">
        <v>0</v>
      </c>
      <c r="G24" s="88" t="b">
        <v>0</v>
      </c>
    </row>
    <row r="25" spans="1:7" ht="15">
      <c r="A25" s="85" t="s">
        <v>881</v>
      </c>
      <c r="B25" s="88">
        <v>19</v>
      </c>
      <c r="C25" s="93">
        <v>0.007488412700723415</v>
      </c>
      <c r="D25" s="88" t="s">
        <v>382</v>
      </c>
      <c r="E25" s="88" t="b">
        <v>0</v>
      </c>
      <c r="F25" s="88" t="b">
        <v>1</v>
      </c>
      <c r="G25" s="88" t="b">
        <v>0</v>
      </c>
    </row>
    <row r="26" spans="1:7" ht="15">
      <c r="A26" s="85" t="s">
        <v>353</v>
      </c>
      <c r="B26" s="88">
        <v>19</v>
      </c>
      <c r="C26" s="93">
        <v>0.007488412700723415</v>
      </c>
      <c r="D26" s="88" t="s">
        <v>382</v>
      </c>
      <c r="E26" s="88" t="b">
        <v>0</v>
      </c>
      <c r="F26" s="88" t="b">
        <v>0</v>
      </c>
      <c r="G26" s="88" t="b">
        <v>0</v>
      </c>
    </row>
    <row r="27" spans="1:7" ht="15">
      <c r="A27" s="85" t="s">
        <v>372</v>
      </c>
      <c r="B27" s="88">
        <v>19</v>
      </c>
      <c r="C27" s="93">
        <v>0.007488412700723415</v>
      </c>
      <c r="D27" s="88" t="s">
        <v>382</v>
      </c>
      <c r="E27" s="88" t="b">
        <v>0</v>
      </c>
      <c r="F27" s="88" t="b">
        <v>0</v>
      </c>
      <c r="G27" s="88" t="b">
        <v>0</v>
      </c>
    </row>
    <row r="28" spans="1:7" ht="15">
      <c r="A28" s="85" t="s">
        <v>347</v>
      </c>
      <c r="B28" s="88">
        <v>19</v>
      </c>
      <c r="C28" s="93">
        <v>0.007488412700723415</v>
      </c>
      <c r="D28" s="88" t="s">
        <v>382</v>
      </c>
      <c r="E28" s="88" t="b">
        <v>0</v>
      </c>
      <c r="F28" s="88" t="b">
        <v>0</v>
      </c>
      <c r="G28" s="88" t="b">
        <v>0</v>
      </c>
    </row>
    <row r="29" spans="1:7" ht="15">
      <c r="A29" s="85" t="s">
        <v>366</v>
      </c>
      <c r="B29" s="88">
        <v>19</v>
      </c>
      <c r="C29" s="93">
        <v>0.007488412700723415</v>
      </c>
      <c r="D29" s="88" t="s">
        <v>382</v>
      </c>
      <c r="E29" s="88" t="b">
        <v>0</v>
      </c>
      <c r="F29" s="88" t="b">
        <v>0</v>
      </c>
      <c r="G29" s="88" t="b">
        <v>0</v>
      </c>
    </row>
    <row r="30" spans="1:7" ht="15">
      <c r="A30" s="85" t="s">
        <v>359</v>
      </c>
      <c r="B30" s="88">
        <v>19</v>
      </c>
      <c r="C30" s="93">
        <v>0.007488412700723415</v>
      </c>
      <c r="D30" s="88" t="s">
        <v>382</v>
      </c>
      <c r="E30" s="88" t="b">
        <v>0</v>
      </c>
      <c r="F30" s="88" t="b">
        <v>0</v>
      </c>
      <c r="G30" s="88" t="b">
        <v>0</v>
      </c>
    </row>
    <row r="31" spans="1:7" ht="15">
      <c r="A31" s="85" t="s">
        <v>882</v>
      </c>
      <c r="B31" s="88">
        <v>19</v>
      </c>
      <c r="C31" s="93">
        <v>0.007488412700723415</v>
      </c>
      <c r="D31" s="88" t="s">
        <v>382</v>
      </c>
      <c r="E31" s="88" t="b">
        <v>0</v>
      </c>
      <c r="F31" s="88" t="b">
        <v>0</v>
      </c>
      <c r="G31" s="88" t="b">
        <v>0</v>
      </c>
    </row>
    <row r="32" spans="1:7" ht="15">
      <c r="A32" s="85" t="s">
        <v>351</v>
      </c>
      <c r="B32" s="88">
        <v>19</v>
      </c>
      <c r="C32" s="93">
        <v>0.007488412700723415</v>
      </c>
      <c r="D32" s="88" t="s">
        <v>382</v>
      </c>
      <c r="E32" s="88" t="b">
        <v>0</v>
      </c>
      <c r="F32" s="88" t="b">
        <v>0</v>
      </c>
      <c r="G32" s="88" t="b">
        <v>0</v>
      </c>
    </row>
    <row r="33" spans="1:7" ht="15">
      <c r="A33" s="85" t="s">
        <v>883</v>
      </c>
      <c r="B33" s="88">
        <v>19</v>
      </c>
      <c r="C33" s="93">
        <v>0.007488412700723415</v>
      </c>
      <c r="D33" s="88" t="s">
        <v>382</v>
      </c>
      <c r="E33" s="88" t="b">
        <v>0</v>
      </c>
      <c r="F33" s="88" t="b">
        <v>0</v>
      </c>
      <c r="G33" s="88" t="b">
        <v>0</v>
      </c>
    </row>
    <row r="34" spans="1:7" ht="15">
      <c r="A34" s="85" t="s">
        <v>536</v>
      </c>
      <c r="B34" s="88">
        <v>19</v>
      </c>
      <c r="C34" s="93">
        <v>0.007488412700723415</v>
      </c>
      <c r="D34" s="88" t="s">
        <v>382</v>
      </c>
      <c r="E34" s="88" t="b">
        <v>0</v>
      </c>
      <c r="F34" s="88" t="b">
        <v>0</v>
      </c>
      <c r="G34" s="88" t="b">
        <v>0</v>
      </c>
    </row>
    <row r="35" spans="1:7" ht="15">
      <c r="A35" s="85" t="s">
        <v>884</v>
      </c>
      <c r="B35" s="88">
        <v>19</v>
      </c>
      <c r="C35" s="93">
        <v>0.007488412700723415</v>
      </c>
      <c r="D35" s="88" t="s">
        <v>382</v>
      </c>
      <c r="E35" s="88" t="b">
        <v>0</v>
      </c>
      <c r="F35" s="88" t="b">
        <v>0</v>
      </c>
      <c r="G35" s="88" t="b">
        <v>0</v>
      </c>
    </row>
    <row r="36" spans="1:7" ht="15">
      <c r="A36" s="85" t="s">
        <v>367</v>
      </c>
      <c r="B36" s="88">
        <v>19</v>
      </c>
      <c r="C36" s="93">
        <v>0.007488412700723415</v>
      </c>
      <c r="D36" s="88" t="s">
        <v>382</v>
      </c>
      <c r="E36" s="88" t="b">
        <v>0</v>
      </c>
      <c r="F36" s="88" t="b">
        <v>0</v>
      </c>
      <c r="G36" s="88" t="b">
        <v>0</v>
      </c>
    </row>
    <row r="37" spans="1:7" ht="15">
      <c r="A37" s="85" t="s">
        <v>373</v>
      </c>
      <c r="B37" s="88">
        <v>18</v>
      </c>
      <c r="C37" s="93">
        <v>0.007461496598569873</v>
      </c>
      <c r="D37" s="88" t="s">
        <v>382</v>
      </c>
      <c r="E37" s="88" t="b">
        <v>0</v>
      </c>
      <c r="F37" s="88" t="b">
        <v>0</v>
      </c>
      <c r="G37" s="88" t="b">
        <v>0</v>
      </c>
    </row>
    <row r="38" spans="1:7" ht="15">
      <c r="A38" s="85" t="s">
        <v>349</v>
      </c>
      <c r="B38" s="88">
        <v>18</v>
      </c>
      <c r="C38" s="93">
        <v>0.007461496598569873</v>
      </c>
      <c r="D38" s="88" t="s">
        <v>382</v>
      </c>
      <c r="E38" s="88" t="b">
        <v>0</v>
      </c>
      <c r="F38" s="88" t="b">
        <v>0</v>
      </c>
      <c r="G38" s="88" t="b">
        <v>0</v>
      </c>
    </row>
    <row r="39" spans="1:7" ht="15">
      <c r="A39" s="85" t="s">
        <v>365</v>
      </c>
      <c r="B39" s="88">
        <v>18</v>
      </c>
      <c r="C39" s="93">
        <v>0.007461496598569873</v>
      </c>
      <c r="D39" s="88" t="s">
        <v>382</v>
      </c>
      <c r="E39" s="88" t="b">
        <v>0</v>
      </c>
      <c r="F39" s="88" t="b">
        <v>0</v>
      </c>
      <c r="G39" s="88" t="b">
        <v>0</v>
      </c>
    </row>
    <row r="40" spans="1:7" ht="15">
      <c r="A40" s="85" t="s">
        <v>358</v>
      </c>
      <c r="B40" s="88">
        <v>18</v>
      </c>
      <c r="C40" s="93">
        <v>0.007461496598569873</v>
      </c>
      <c r="D40" s="88" t="s">
        <v>382</v>
      </c>
      <c r="E40" s="88" t="b">
        <v>0</v>
      </c>
      <c r="F40" s="88" t="b">
        <v>0</v>
      </c>
      <c r="G40" s="88" t="b">
        <v>0</v>
      </c>
    </row>
    <row r="41" spans="1:7" ht="15">
      <c r="A41" s="85" t="s">
        <v>352</v>
      </c>
      <c r="B41" s="88">
        <v>17</v>
      </c>
      <c r="C41" s="93">
        <v>0.007413607518296964</v>
      </c>
      <c r="D41" s="88" t="s">
        <v>382</v>
      </c>
      <c r="E41" s="88" t="b">
        <v>0</v>
      </c>
      <c r="F41" s="88" t="b">
        <v>1</v>
      </c>
      <c r="G41" s="88" t="b">
        <v>0</v>
      </c>
    </row>
    <row r="42" spans="1:7" ht="15">
      <c r="A42" s="85" t="s">
        <v>885</v>
      </c>
      <c r="B42" s="88">
        <v>17</v>
      </c>
      <c r="C42" s="93">
        <v>0.007413607518296964</v>
      </c>
      <c r="D42" s="88" t="s">
        <v>382</v>
      </c>
      <c r="E42" s="88" t="b">
        <v>0</v>
      </c>
      <c r="F42" s="88" t="b">
        <v>0</v>
      </c>
      <c r="G42" s="88" t="b">
        <v>0</v>
      </c>
    </row>
    <row r="43" spans="1:7" ht="15">
      <c r="A43" s="85" t="s">
        <v>886</v>
      </c>
      <c r="B43" s="88">
        <v>17</v>
      </c>
      <c r="C43" s="93">
        <v>0.007413607518296964</v>
      </c>
      <c r="D43" s="88" t="s">
        <v>382</v>
      </c>
      <c r="E43" s="88" t="b">
        <v>0</v>
      </c>
      <c r="F43" s="88" t="b">
        <v>0</v>
      </c>
      <c r="G43" s="88" t="b">
        <v>0</v>
      </c>
    </row>
    <row r="44" spans="1:7" ht="15">
      <c r="A44" s="85" t="s">
        <v>887</v>
      </c>
      <c r="B44" s="88">
        <v>17</v>
      </c>
      <c r="C44" s="93">
        <v>0.007413607518296964</v>
      </c>
      <c r="D44" s="88" t="s">
        <v>382</v>
      </c>
      <c r="E44" s="88" t="b">
        <v>0</v>
      </c>
      <c r="F44" s="88" t="b">
        <v>0</v>
      </c>
      <c r="G44" s="88" t="b">
        <v>0</v>
      </c>
    </row>
    <row r="45" spans="1:7" ht="15">
      <c r="A45" s="85" t="s">
        <v>357</v>
      </c>
      <c r="B45" s="88">
        <v>17</v>
      </c>
      <c r="C45" s="93">
        <v>0.007413607518296964</v>
      </c>
      <c r="D45" s="88" t="s">
        <v>382</v>
      </c>
      <c r="E45" s="88" t="b">
        <v>0</v>
      </c>
      <c r="F45" s="88" t="b">
        <v>0</v>
      </c>
      <c r="G45" s="88" t="b">
        <v>0</v>
      </c>
    </row>
    <row r="46" spans="1:7" ht="15">
      <c r="A46" s="85" t="s">
        <v>346</v>
      </c>
      <c r="B46" s="88">
        <v>17</v>
      </c>
      <c r="C46" s="93">
        <v>0.007413607518296964</v>
      </c>
      <c r="D46" s="88" t="s">
        <v>382</v>
      </c>
      <c r="E46" s="88" t="b">
        <v>0</v>
      </c>
      <c r="F46" s="88" t="b">
        <v>0</v>
      </c>
      <c r="G46" s="88" t="b">
        <v>0</v>
      </c>
    </row>
    <row r="47" spans="1:7" ht="15">
      <c r="A47" s="85" t="s">
        <v>363</v>
      </c>
      <c r="B47" s="88">
        <v>17</v>
      </c>
      <c r="C47" s="93">
        <v>0.007413607518296964</v>
      </c>
      <c r="D47" s="88" t="s">
        <v>382</v>
      </c>
      <c r="E47" s="88" t="b">
        <v>0</v>
      </c>
      <c r="F47" s="88" t="b">
        <v>0</v>
      </c>
      <c r="G47" s="88" t="b">
        <v>0</v>
      </c>
    </row>
    <row r="48" spans="1:7" ht="15">
      <c r="A48" s="85" t="s">
        <v>888</v>
      </c>
      <c r="B48" s="88">
        <v>17</v>
      </c>
      <c r="C48" s="93">
        <v>0.007413607518296964</v>
      </c>
      <c r="D48" s="88" t="s">
        <v>382</v>
      </c>
      <c r="E48" s="88" t="b">
        <v>0</v>
      </c>
      <c r="F48" s="88" t="b">
        <v>1</v>
      </c>
      <c r="G48" s="88" t="b">
        <v>0</v>
      </c>
    </row>
    <row r="49" spans="1:7" ht="15">
      <c r="A49" s="85" t="s">
        <v>537</v>
      </c>
      <c r="B49" s="88">
        <v>13</v>
      </c>
      <c r="C49" s="93">
        <v>0.009366593437709231</v>
      </c>
      <c r="D49" s="88" t="s">
        <v>382</v>
      </c>
      <c r="E49" s="88" t="b">
        <v>0</v>
      </c>
      <c r="F49" s="88" t="b">
        <v>0</v>
      </c>
      <c r="G49" s="88" t="b">
        <v>0</v>
      </c>
    </row>
    <row r="50" spans="1:7" ht="15">
      <c r="A50" s="85" t="s">
        <v>559</v>
      </c>
      <c r="B50" s="88">
        <v>11</v>
      </c>
      <c r="C50" s="93">
        <v>0.006603833033285994</v>
      </c>
      <c r="D50" s="88" t="s">
        <v>382</v>
      </c>
      <c r="E50" s="88" t="b">
        <v>0</v>
      </c>
      <c r="F50" s="88" t="b">
        <v>0</v>
      </c>
      <c r="G50" s="88" t="b">
        <v>0</v>
      </c>
    </row>
    <row r="51" spans="1:7" ht="15">
      <c r="A51" s="85" t="s">
        <v>889</v>
      </c>
      <c r="B51" s="88">
        <v>5</v>
      </c>
      <c r="C51" s="93">
        <v>0.004489243073357731</v>
      </c>
      <c r="D51" s="88" t="s">
        <v>382</v>
      </c>
      <c r="E51" s="88" t="b">
        <v>0</v>
      </c>
      <c r="F51" s="88" t="b">
        <v>1</v>
      </c>
      <c r="G51" s="88" t="b">
        <v>0</v>
      </c>
    </row>
    <row r="52" spans="1:7" ht="15">
      <c r="A52" s="85" t="s">
        <v>890</v>
      </c>
      <c r="B52" s="88">
        <v>5</v>
      </c>
      <c r="C52" s="93">
        <v>0.004489243073357731</v>
      </c>
      <c r="D52" s="88" t="s">
        <v>382</v>
      </c>
      <c r="E52" s="88" t="b">
        <v>0</v>
      </c>
      <c r="F52" s="88" t="b">
        <v>0</v>
      </c>
      <c r="G52" s="88" t="b">
        <v>0</v>
      </c>
    </row>
    <row r="53" spans="1:7" ht="15">
      <c r="A53" s="85" t="s">
        <v>891</v>
      </c>
      <c r="B53" s="88">
        <v>5</v>
      </c>
      <c r="C53" s="93">
        <v>0.004489243073357731</v>
      </c>
      <c r="D53" s="88" t="s">
        <v>382</v>
      </c>
      <c r="E53" s="88" t="b">
        <v>0</v>
      </c>
      <c r="F53" s="88" t="b">
        <v>0</v>
      </c>
      <c r="G53" s="88" t="b">
        <v>0</v>
      </c>
    </row>
    <row r="54" spans="1:7" ht="15">
      <c r="A54" s="85" t="s">
        <v>892</v>
      </c>
      <c r="B54" s="88">
        <v>5</v>
      </c>
      <c r="C54" s="93">
        <v>0.004489243073357731</v>
      </c>
      <c r="D54" s="88" t="s">
        <v>382</v>
      </c>
      <c r="E54" s="88" t="b">
        <v>0</v>
      </c>
      <c r="F54" s="88" t="b">
        <v>0</v>
      </c>
      <c r="G54" s="88" t="b">
        <v>0</v>
      </c>
    </row>
    <row r="55" spans="1:7" ht="15">
      <c r="A55" s="85" t="s">
        <v>360</v>
      </c>
      <c r="B55" s="88">
        <v>5</v>
      </c>
      <c r="C55" s="93">
        <v>0.004489243073357731</v>
      </c>
      <c r="D55" s="88" t="s">
        <v>382</v>
      </c>
      <c r="E55" s="88" t="b">
        <v>0</v>
      </c>
      <c r="F55" s="88" t="b">
        <v>0</v>
      </c>
      <c r="G55" s="88" t="b">
        <v>0</v>
      </c>
    </row>
    <row r="56" spans="1:7" ht="15">
      <c r="A56" s="85" t="s">
        <v>368</v>
      </c>
      <c r="B56" s="88">
        <v>4</v>
      </c>
      <c r="C56" s="93">
        <v>0.003928179907888813</v>
      </c>
      <c r="D56" s="88" t="s">
        <v>382</v>
      </c>
      <c r="E56" s="88" t="b">
        <v>0</v>
      </c>
      <c r="F56" s="88" t="b">
        <v>0</v>
      </c>
      <c r="G56" s="88" t="b">
        <v>0</v>
      </c>
    </row>
    <row r="57" spans="1:7" ht="15">
      <c r="A57" s="85" t="s">
        <v>375</v>
      </c>
      <c r="B57" s="88">
        <v>4</v>
      </c>
      <c r="C57" s="93">
        <v>0.003928179907888813</v>
      </c>
      <c r="D57" s="88" t="s">
        <v>382</v>
      </c>
      <c r="E57" s="88" t="b">
        <v>0</v>
      </c>
      <c r="F57" s="88" t="b">
        <v>0</v>
      </c>
      <c r="G57" s="88" t="b">
        <v>0</v>
      </c>
    </row>
    <row r="58" spans="1:7" ht="15">
      <c r="A58" s="85" t="s">
        <v>893</v>
      </c>
      <c r="B58" s="88">
        <v>4</v>
      </c>
      <c r="C58" s="93">
        <v>0.003928179907888813</v>
      </c>
      <c r="D58" s="88" t="s">
        <v>382</v>
      </c>
      <c r="E58" s="88" t="b">
        <v>0</v>
      </c>
      <c r="F58" s="88" t="b">
        <v>0</v>
      </c>
      <c r="G58" s="88" t="b">
        <v>0</v>
      </c>
    </row>
    <row r="59" spans="1:7" ht="15">
      <c r="A59" s="85" t="s">
        <v>370</v>
      </c>
      <c r="B59" s="88">
        <v>4</v>
      </c>
      <c r="C59" s="93">
        <v>0.003928179907888813</v>
      </c>
      <c r="D59" s="88" t="s">
        <v>382</v>
      </c>
      <c r="E59" s="88" t="b">
        <v>0</v>
      </c>
      <c r="F59" s="88" t="b">
        <v>1</v>
      </c>
      <c r="G59" s="88" t="b">
        <v>0</v>
      </c>
    </row>
    <row r="60" spans="1:7" ht="15">
      <c r="A60" s="85" t="s">
        <v>894</v>
      </c>
      <c r="B60" s="88">
        <v>4</v>
      </c>
      <c r="C60" s="93">
        <v>0.003928179907888813</v>
      </c>
      <c r="D60" s="88" t="s">
        <v>382</v>
      </c>
      <c r="E60" s="88" t="b">
        <v>0</v>
      </c>
      <c r="F60" s="88" t="b">
        <v>0</v>
      </c>
      <c r="G60" s="88" t="b">
        <v>0</v>
      </c>
    </row>
    <row r="61" spans="1:7" ht="15">
      <c r="A61" s="85" t="s">
        <v>579</v>
      </c>
      <c r="B61" s="88">
        <v>3</v>
      </c>
      <c r="C61" s="93">
        <v>0.003730748299284937</v>
      </c>
      <c r="D61" s="88" t="s">
        <v>382</v>
      </c>
      <c r="E61" s="88" t="b">
        <v>0</v>
      </c>
      <c r="F61" s="88" t="b">
        <v>0</v>
      </c>
      <c r="G61" s="88" t="b">
        <v>0</v>
      </c>
    </row>
    <row r="62" spans="1:7" ht="15">
      <c r="A62" s="85" t="s">
        <v>374</v>
      </c>
      <c r="B62" s="88">
        <v>3</v>
      </c>
      <c r="C62" s="93">
        <v>0.003271778901224951</v>
      </c>
      <c r="D62" s="88" t="s">
        <v>382</v>
      </c>
      <c r="E62" s="88" t="b">
        <v>0</v>
      </c>
      <c r="F62" s="88" t="b">
        <v>0</v>
      </c>
      <c r="G62" s="88" t="b">
        <v>0</v>
      </c>
    </row>
    <row r="63" spans="1:7" ht="15">
      <c r="A63" s="85" t="s">
        <v>342</v>
      </c>
      <c r="B63" s="88">
        <v>3</v>
      </c>
      <c r="C63" s="93">
        <v>0.003271778901224951</v>
      </c>
      <c r="D63" s="88" t="s">
        <v>382</v>
      </c>
      <c r="E63" s="88" t="b">
        <v>0</v>
      </c>
      <c r="F63" s="88" t="b">
        <v>0</v>
      </c>
      <c r="G63" s="88" t="b">
        <v>0</v>
      </c>
    </row>
    <row r="64" spans="1:7" ht="15">
      <c r="A64" s="85" t="s">
        <v>520</v>
      </c>
      <c r="B64" s="88">
        <v>3</v>
      </c>
      <c r="C64" s="93">
        <v>0.003271778901224951</v>
      </c>
      <c r="D64" s="88" t="s">
        <v>382</v>
      </c>
      <c r="E64" s="88" t="b">
        <v>0</v>
      </c>
      <c r="F64" s="88" t="b">
        <v>0</v>
      </c>
      <c r="G64" s="88" t="b">
        <v>0</v>
      </c>
    </row>
    <row r="65" spans="1:7" ht="15">
      <c r="A65" s="85" t="s">
        <v>895</v>
      </c>
      <c r="B65" s="88">
        <v>2</v>
      </c>
      <c r="C65" s="93">
        <v>0.003010241111768842</v>
      </c>
      <c r="D65" s="88" t="s">
        <v>382</v>
      </c>
      <c r="E65" s="88" t="b">
        <v>0</v>
      </c>
      <c r="F65" s="88" t="b">
        <v>0</v>
      </c>
      <c r="G65" s="88" t="b">
        <v>0</v>
      </c>
    </row>
    <row r="66" spans="1:7" ht="15">
      <c r="A66" s="85" t="s">
        <v>521</v>
      </c>
      <c r="B66" s="88">
        <v>2</v>
      </c>
      <c r="C66" s="93">
        <v>0.0024871655328566242</v>
      </c>
      <c r="D66" s="88" t="s">
        <v>382</v>
      </c>
      <c r="E66" s="88" t="b">
        <v>0</v>
      </c>
      <c r="F66" s="88" t="b">
        <v>0</v>
      </c>
      <c r="G66" s="88" t="b">
        <v>0</v>
      </c>
    </row>
    <row r="67" spans="1:7" ht="15">
      <c r="A67" s="85" t="s">
        <v>896</v>
      </c>
      <c r="B67" s="88">
        <v>2</v>
      </c>
      <c r="C67" s="93">
        <v>0.0024871655328566242</v>
      </c>
      <c r="D67" s="88" t="s">
        <v>382</v>
      </c>
      <c r="E67" s="88" t="b">
        <v>0</v>
      </c>
      <c r="F67" s="88" t="b">
        <v>0</v>
      </c>
      <c r="G67" s="88" t="b">
        <v>0</v>
      </c>
    </row>
    <row r="68" spans="1:7" ht="15">
      <c r="A68" s="85" t="s">
        <v>897</v>
      </c>
      <c r="B68" s="88">
        <v>2</v>
      </c>
      <c r="C68" s="93">
        <v>0.0024871655328566242</v>
      </c>
      <c r="D68" s="88" t="s">
        <v>382</v>
      </c>
      <c r="E68" s="88" t="b">
        <v>0</v>
      </c>
      <c r="F68" s="88" t="b">
        <v>0</v>
      </c>
      <c r="G68" s="88" t="b">
        <v>0</v>
      </c>
    </row>
    <row r="69" spans="1:7" ht="15">
      <c r="A69" s="85" t="s">
        <v>355</v>
      </c>
      <c r="B69" s="88">
        <v>2</v>
      </c>
      <c r="C69" s="93">
        <v>0.0024871655328566242</v>
      </c>
      <c r="D69" s="88" t="s">
        <v>382</v>
      </c>
      <c r="E69" s="88" t="b">
        <v>0</v>
      </c>
      <c r="F69" s="88" t="b">
        <v>0</v>
      </c>
      <c r="G69" s="88" t="b">
        <v>0</v>
      </c>
    </row>
    <row r="70" spans="1:7" ht="15">
      <c r="A70" s="85" t="s">
        <v>898</v>
      </c>
      <c r="B70" s="88">
        <v>2</v>
      </c>
      <c r="C70" s="93">
        <v>0.0024871655328566242</v>
      </c>
      <c r="D70" s="88" t="s">
        <v>382</v>
      </c>
      <c r="E70" s="88" t="b">
        <v>0</v>
      </c>
      <c r="F70" s="88" t="b">
        <v>0</v>
      </c>
      <c r="G70" s="88" t="b">
        <v>0</v>
      </c>
    </row>
    <row r="71" spans="1:7" ht="15">
      <c r="A71" s="85" t="s">
        <v>899</v>
      </c>
      <c r="B71" s="88">
        <v>2</v>
      </c>
      <c r="C71" s="93">
        <v>0.0024871655328566242</v>
      </c>
      <c r="D71" s="88" t="s">
        <v>382</v>
      </c>
      <c r="E71" s="88" t="b">
        <v>0</v>
      </c>
      <c r="F71" s="88" t="b">
        <v>0</v>
      </c>
      <c r="G71" s="88" t="b">
        <v>0</v>
      </c>
    </row>
    <row r="72" spans="1:7" ht="15">
      <c r="A72" s="85" t="s">
        <v>900</v>
      </c>
      <c r="B72" s="88">
        <v>2</v>
      </c>
      <c r="C72" s="93">
        <v>0.0024871655328566242</v>
      </c>
      <c r="D72" s="88" t="s">
        <v>382</v>
      </c>
      <c r="E72" s="88" t="b">
        <v>0</v>
      </c>
      <c r="F72" s="88" t="b">
        <v>0</v>
      </c>
      <c r="G72" s="88" t="b">
        <v>0</v>
      </c>
    </row>
    <row r="73" spans="1:7" ht="15">
      <c r="A73" s="85" t="s">
        <v>901</v>
      </c>
      <c r="B73" s="88">
        <v>2</v>
      </c>
      <c r="C73" s="93">
        <v>0.0024871655328566242</v>
      </c>
      <c r="D73" s="88" t="s">
        <v>382</v>
      </c>
      <c r="E73" s="88" t="b">
        <v>0</v>
      </c>
      <c r="F73" s="88" t="b">
        <v>0</v>
      </c>
      <c r="G73" s="88" t="b">
        <v>0</v>
      </c>
    </row>
    <row r="74" spans="1:7" ht="15">
      <c r="A74" s="85" t="s">
        <v>902</v>
      </c>
      <c r="B74" s="88">
        <v>2</v>
      </c>
      <c r="C74" s="93">
        <v>0.0024871655328566242</v>
      </c>
      <c r="D74" s="88" t="s">
        <v>382</v>
      </c>
      <c r="E74" s="88" t="b">
        <v>0</v>
      </c>
      <c r="F74" s="88" t="b">
        <v>0</v>
      </c>
      <c r="G74" s="88" t="b">
        <v>0</v>
      </c>
    </row>
    <row r="75" spans="1:7" ht="15">
      <c r="A75" s="85" t="s">
        <v>903</v>
      </c>
      <c r="B75" s="88">
        <v>2</v>
      </c>
      <c r="C75" s="93">
        <v>0.0024871655328566242</v>
      </c>
      <c r="D75" s="88" t="s">
        <v>382</v>
      </c>
      <c r="E75" s="88" t="b">
        <v>0</v>
      </c>
      <c r="F75" s="88" t="b">
        <v>0</v>
      </c>
      <c r="G75" s="88" t="b">
        <v>0</v>
      </c>
    </row>
    <row r="76" spans="1:7" ht="15">
      <c r="A76" s="85" t="s">
        <v>904</v>
      </c>
      <c r="B76" s="88">
        <v>2</v>
      </c>
      <c r="C76" s="93">
        <v>0.0024871655328566242</v>
      </c>
      <c r="D76" s="88" t="s">
        <v>382</v>
      </c>
      <c r="E76" s="88" t="b">
        <v>0</v>
      </c>
      <c r="F76" s="88" t="b">
        <v>0</v>
      </c>
      <c r="G76" s="88" t="b">
        <v>0</v>
      </c>
    </row>
    <row r="77" spans="1:7" ht="15">
      <c r="A77" s="85" t="s">
        <v>343</v>
      </c>
      <c r="B77" s="88">
        <v>2</v>
      </c>
      <c r="C77" s="93">
        <v>0.0024871655328566242</v>
      </c>
      <c r="D77" s="88" t="s">
        <v>382</v>
      </c>
      <c r="E77" s="88" t="b">
        <v>0</v>
      </c>
      <c r="F77" s="88" t="b">
        <v>0</v>
      </c>
      <c r="G77" s="88" t="b">
        <v>0</v>
      </c>
    </row>
    <row r="78" spans="1:7" ht="15">
      <c r="A78" s="85" t="s">
        <v>345</v>
      </c>
      <c r="B78" s="88">
        <v>2</v>
      </c>
      <c r="C78" s="93">
        <v>0.0024871655328566242</v>
      </c>
      <c r="D78" s="88" t="s">
        <v>382</v>
      </c>
      <c r="E78" s="88" t="b">
        <v>0</v>
      </c>
      <c r="F78" s="88" t="b">
        <v>0</v>
      </c>
      <c r="G78" s="88" t="b">
        <v>0</v>
      </c>
    </row>
    <row r="79" spans="1:7" ht="15">
      <c r="A79" s="85" t="s">
        <v>905</v>
      </c>
      <c r="B79" s="88">
        <v>2</v>
      </c>
      <c r="C79" s="93">
        <v>0.0024871655328566242</v>
      </c>
      <c r="D79" s="88" t="s">
        <v>382</v>
      </c>
      <c r="E79" s="88" t="b">
        <v>0</v>
      </c>
      <c r="F79" s="88" t="b">
        <v>0</v>
      </c>
      <c r="G79" s="88" t="b">
        <v>0</v>
      </c>
    </row>
    <row r="80" spans="1:7" ht="15">
      <c r="A80" s="85" t="s">
        <v>348</v>
      </c>
      <c r="B80" s="88">
        <v>2</v>
      </c>
      <c r="C80" s="93">
        <v>0.0024871655328566242</v>
      </c>
      <c r="D80" s="88" t="s">
        <v>382</v>
      </c>
      <c r="E80" s="88" t="b">
        <v>1</v>
      </c>
      <c r="F80" s="88" t="b">
        <v>0</v>
      </c>
      <c r="G80" s="88" t="b">
        <v>0</v>
      </c>
    </row>
    <row r="81" spans="1:7" ht="15">
      <c r="A81" s="85" t="s">
        <v>578</v>
      </c>
      <c r="B81" s="88">
        <v>2</v>
      </c>
      <c r="C81" s="93">
        <v>0.0024871655328566242</v>
      </c>
      <c r="D81" s="88" t="s">
        <v>382</v>
      </c>
      <c r="E81" s="88" t="b">
        <v>0</v>
      </c>
      <c r="F81" s="88" t="b">
        <v>0</v>
      </c>
      <c r="G81" s="88" t="b">
        <v>0</v>
      </c>
    </row>
    <row r="82" spans="1:7" ht="15">
      <c r="A82" s="85" t="s">
        <v>562</v>
      </c>
      <c r="B82" s="88">
        <v>2</v>
      </c>
      <c r="C82" s="93">
        <v>0.0024871655328566242</v>
      </c>
      <c r="D82" s="88" t="s">
        <v>382</v>
      </c>
      <c r="E82" s="88" t="b">
        <v>0</v>
      </c>
      <c r="F82" s="88" t="b">
        <v>0</v>
      </c>
      <c r="G82" s="88" t="b">
        <v>0</v>
      </c>
    </row>
    <row r="83" spans="1:7" ht="15">
      <c r="A83" s="85" t="s">
        <v>361</v>
      </c>
      <c r="B83" s="88">
        <v>2</v>
      </c>
      <c r="C83" s="93">
        <v>0.0024871655328566242</v>
      </c>
      <c r="D83" s="88" t="s">
        <v>382</v>
      </c>
      <c r="E83" s="88" t="b">
        <v>0</v>
      </c>
      <c r="F83" s="88" t="b">
        <v>0</v>
      </c>
      <c r="G83" s="88" t="b">
        <v>0</v>
      </c>
    </row>
    <row r="84" spans="1:7" ht="15">
      <c r="A84" s="85" t="s">
        <v>376</v>
      </c>
      <c r="B84" s="88">
        <v>2</v>
      </c>
      <c r="C84" s="93">
        <v>0.0024871655328566242</v>
      </c>
      <c r="D84" s="88" t="s">
        <v>382</v>
      </c>
      <c r="E84" s="88" t="b">
        <v>0</v>
      </c>
      <c r="F84" s="88" t="b">
        <v>0</v>
      </c>
      <c r="G84" s="88" t="b">
        <v>0</v>
      </c>
    </row>
    <row r="85" spans="1:7" ht="15">
      <c r="A85" s="85" t="s">
        <v>906</v>
      </c>
      <c r="B85" s="88">
        <v>2</v>
      </c>
      <c r="C85" s="93">
        <v>0.0024871655328566242</v>
      </c>
      <c r="D85" s="88" t="s">
        <v>382</v>
      </c>
      <c r="E85" s="88" t="b">
        <v>0</v>
      </c>
      <c r="F85" s="88" t="b">
        <v>1</v>
      </c>
      <c r="G85" s="88" t="b">
        <v>0</v>
      </c>
    </row>
    <row r="86" spans="1:7" ht="15">
      <c r="A86" s="85" t="s">
        <v>364</v>
      </c>
      <c r="B86" s="88">
        <v>2</v>
      </c>
      <c r="C86" s="93">
        <v>0.0024871655328566242</v>
      </c>
      <c r="D86" s="88" t="s">
        <v>382</v>
      </c>
      <c r="E86" s="88" t="b">
        <v>0</v>
      </c>
      <c r="F86" s="88" t="b">
        <v>0</v>
      </c>
      <c r="G86" s="88" t="b">
        <v>0</v>
      </c>
    </row>
    <row r="87" spans="1:7" ht="15">
      <c r="A87" s="85" t="s">
        <v>350</v>
      </c>
      <c r="B87" s="88">
        <v>2</v>
      </c>
      <c r="C87" s="93">
        <v>0.003010241111768842</v>
      </c>
      <c r="D87" s="88" t="s">
        <v>382</v>
      </c>
      <c r="E87" s="88" t="b">
        <v>0</v>
      </c>
      <c r="F87" s="88" t="b">
        <v>0</v>
      </c>
      <c r="G87" s="88" t="b">
        <v>0</v>
      </c>
    </row>
    <row r="88" spans="1:7" ht="15">
      <c r="A88" s="85" t="s">
        <v>538</v>
      </c>
      <c r="B88" s="88">
        <v>63</v>
      </c>
      <c r="C88" s="93">
        <v>0.0073208432763522974</v>
      </c>
      <c r="D88" s="88" t="s">
        <v>321</v>
      </c>
      <c r="E88" s="88" t="b">
        <v>0</v>
      </c>
      <c r="F88" s="88" t="b">
        <v>0</v>
      </c>
      <c r="G88" s="88" t="b">
        <v>0</v>
      </c>
    </row>
    <row r="89" spans="1:7" ht="15">
      <c r="A89" s="85" t="s">
        <v>874</v>
      </c>
      <c r="B89" s="88">
        <v>47</v>
      </c>
      <c r="C89" s="93">
        <v>0.005461581491881873</v>
      </c>
      <c r="D89" s="88" t="s">
        <v>321</v>
      </c>
      <c r="E89" s="88" t="b">
        <v>0</v>
      </c>
      <c r="F89" s="88" t="b">
        <v>0</v>
      </c>
      <c r="G89" s="88" t="b">
        <v>0</v>
      </c>
    </row>
    <row r="90" spans="1:7" ht="15">
      <c r="A90" s="85" t="s">
        <v>344</v>
      </c>
      <c r="B90" s="88">
        <v>46</v>
      </c>
      <c r="C90" s="93">
        <v>0.005345377630352472</v>
      </c>
      <c r="D90" s="88" t="s">
        <v>321</v>
      </c>
      <c r="E90" s="88" t="b">
        <v>0</v>
      </c>
      <c r="F90" s="88" t="b">
        <v>0</v>
      </c>
      <c r="G90" s="88" t="b">
        <v>0</v>
      </c>
    </row>
    <row r="91" spans="1:7" ht="15">
      <c r="A91" s="85" t="s">
        <v>356</v>
      </c>
      <c r="B91" s="88">
        <v>46</v>
      </c>
      <c r="C91" s="93">
        <v>0.005345377630352472</v>
      </c>
      <c r="D91" s="88" t="s">
        <v>321</v>
      </c>
      <c r="E91" s="88" t="b">
        <v>0</v>
      </c>
      <c r="F91" s="88" t="b">
        <v>0</v>
      </c>
      <c r="G91" s="88" t="b">
        <v>0</v>
      </c>
    </row>
    <row r="92" spans="1:7" ht="15">
      <c r="A92" s="85" t="s">
        <v>875</v>
      </c>
      <c r="B92" s="88">
        <v>31</v>
      </c>
      <c r="C92" s="93">
        <v>0.0036023197074114477</v>
      </c>
      <c r="D92" s="88" t="s">
        <v>321</v>
      </c>
      <c r="E92" s="88" t="b">
        <v>0</v>
      </c>
      <c r="F92" s="88" t="b">
        <v>0</v>
      </c>
      <c r="G92" s="88" t="b">
        <v>0</v>
      </c>
    </row>
    <row r="93" spans="1:7" ht="15">
      <c r="A93" s="85" t="s">
        <v>519</v>
      </c>
      <c r="B93" s="88">
        <v>31</v>
      </c>
      <c r="C93" s="93">
        <v>0.0036023197074114477</v>
      </c>
      <c r="D93" s="88" t="s">
        <v>321</v>
      </c>
      <c r="E93" s="88" t="b">
        <v>0</v>
      </c>
      <c r="F93" s="88" t="b">
        <v>0</v>
      </c>
      <c r="G93" s="88" t="b">
        <v>0</v>
      </c>
    </row>
    <row r="94" spans="1:7" ht="15">
      <c r="A94" s="85" t="s">
        <v>341</v>
      </c>
      <c r="B94" s="88">
        <v>31</v>
      </c>
      <c r="C94" s="93">
        <v>0.0036023197074114477</v>
      </c>
      <c r="D94" s="88" t="s">
        <v>321</v>
      </c>
      <c r="E94" s="88" t="b">
        <v>0</v>
      </c>
      <c r="F94" s="88" t="b">
        <v>0</v>
      </c>
      <c r="G94" s="88" t="b">
        <v>0</v>
      </c>
    </row>
    <row r="95" spans="1:7" ht="15">
      <c r="A95" s="85" t="s">
        <v>877</v>
      </c>
      <c r="B95" s="88">
        <v>16</v>
      </c>
      <c r="C95" s="93">
        <v>0.007215750571013042</v>
      </c>
      <c r="D95" s="88" t="s">
        <v>321</v>
      </c>
      <c r="E95" s="88" t="b">
        <v>0</v>
      </c>
      <c r="F95" s="88" t="b">
        <v>1</v>
      </c>
      <c r="G95" s="88" t="b">
        <v>0</v>
      </c>
    </row>
    <row r="96" spans="1:7" ht="15">
      <c r="A96" s="85" t="s">
        <v>878</v>
      </c>
      <c r="B96" s="88">
        <v>16</v>
      </c>
      <c r="C96" s="93">
        <v>0.007215750571013042</v>
      </c>
      <c r="D96" s="88" t="s">
        <v>321</v>
      </c>
      <c r="E96" s="88" t="b">
        <v>0</v>
      </c>
      <c r="F96" s="88" t="b">
        <v>1</v>
      </c>
      <c r="G96" s="88" t="b">
        <v>0</v>
      </c>
    </row>
    <row r="97" spans="1:7" ht="15">
      <c r="A97" s="85" t="s">
        <v>879</v>
      </c>
      <c r="B97" s="88">
        <v>16</v>
      </c>
      <c r="C97" s="93">
        <v>0.007215750571013042</v>
      </c>
      <c r="D97" s="88" t="s">
        <v>321</v>
      </c>
      <c r="E97" s="88" t="b">
        <v>0</v>
      </c>
      <c r="F97" s="88" t="b">
        <v>1</v>
      </c>
      <c r="G97" s="88" t="b">
        <v>0</v>
      </c>
    </row>
    <row r="98" spans="1:7" ht="15">
      <c r="A98" s="85" t="s">
        <v>362</v>
      </c>
      <c r="B98" s="88">
        <v>16</v>
      </c>
      <c r="C98" s="93">
        <v>0.007215750571013042</v>
      </c>
      <c r="D98" s="88" t="s">
        <v>321</v>
      </c>
      <c r="E98" s="88" t="b">
        <v>0</v>
      </c>
      <c r="F98" s="88" t="b">
        <v>0</v>
      </c>
      <c r="G98" s="88" t="b">
        <v>0</v>
      </c>
    </row>
    <row r="99" spans="1:7" ht="15">
      <c r="A99" s="85" t="s">
        <v>258</v>
      </c>
      <c r="B99" s="88">
        <v>16</v>
      </c>
      <c r="C99" s="93">
        <v>0.007215750571013042</v>
      </c>
      <c r="D99" s="88" t="s">
        <v>321</v>
      </c>
      <c r="E99" s="88" t="b">
        <v>0</v>
      </c>
      <c r="F99" s="88" t="b">
        <v>0</v>
      </c>
      <c r="G99" s="88" t="b">
        <v>0</v>
      </c>
    </row>
    <row r="100" spans="1:7" ht="15">
      <c r="A100" s="85" t="s">
        <v>876</v>
      </c>
      <c r="B100" s="88">
        <v>16</v>
      </c>
      <c r="C100" s="93">
        <v>0.007215750571013042</v>
      </c>
      <c r="D100" s="88" t="s">
        <v>321</v>
      </c>
      <c r="E100" s="88" t="b">
        <v>0</v>
      </c>
      <c r="F100" s="88" t="b">
        <v>0</v>
      </c>
      <c r="G100" s="88" t="b">
        <v>0</v>
      </c>
    </row>
    <row r="101" spans="1:7" ht="15">
      <c r="A101" s="85" t="s">
        <v>880</v>
      </c>
      <c r="B101" s="88">
        <v>16</v>
      </c>
      <c r="C101" s="93">
        <v>0.007215750571013042</v>
      </c>
      <c r="D101" s="88" t="s">
        <v>321</v>
      </c>
      <c r="E101" s="88" t="b">
        <v>0</v>
      </c>
      <c r="F101" s="88" t="b">
        <v>0</v>
      </c>
      <c r="G101" s="88" t="b">
        <v>0</v>
      </c>
    </row>
    <row r="102" spans="1:7" ht="15">
      <c r="A102" s="85" t="s">
        <v>881</v>
      </c>
      <c r="B102" s="88">
        <v>16</v>
      </c>
      <c r="C102" s="93">
        <v>0.007215750571013042</v>
      </c>
      <c r="D102" s="88" t="s">
        <v>321</v>
      </c>
      <c r="E102" s="88" t="b">
        <v>0</v>
      </c>
      <c r="F102" s="88" t="b">
        <v>1</v>
      </c>
      <c r="G102" s="88" t="b">
        <v>0</v>
      </c>
    </row>
    <row r="103" spans="1:7" ht="15">
      <c r="A103" s="85" t="s">
        <v>353</v>
      </c>
      <c r="B103" s="88">
        <v>16</v>
      </c>
      <c r="C103" s="93">
        <v>0.007215750571013042</v>
      </c>
      <c r="D103" s="88" t="s">
        <v>321</v>
      </c>
      <c r="E103" s="88" t="b">
        <v>0</v>
      </c>
      <c r="F103" s="88" t="b">
        <v>0</v>
      </c>
      <c r="G103" s="88" t="b">
        <v>0</v>
      </c>
    </row>
    <row r="104" spans="1:7" ht="15">
      <c r="A104" s="85" t="s">
        <v>372</v>
      </c>
      <c r="B104" s="88">
        <v>16</v>
      </c>
      <c r="C104" s="93">
        <v>0.007215750571013042</v>
      </c>
      <c r="D104" s="88" t="s">
        <v>321</v>
      </c>
      <c r="E104" s="88" t="b">
        <v>0</v>
      </c>
      <c r="F104" s="88" t="b">
        <v>0</v>
      </c>
      <c r="G104" s="88" t="b">
        <v>0</v>
      </c>
    </row>
    <row r="105" spans="1:7" ht="15">
      <c r="A105" s="85" t="s">
        <v>347</v>
      </c>
      <c r="B105" s="88">
        <v>16</v>
      </c>
      <c r="C105" s="93">
        <v>0.007215750571013042</v>
      </c>
      <c r="D105" s="88" t="s">
        <v>321</v>
      </c>
      <c r="E105" s="88" t="b">
        <v>0</v>
      </c>
      <c r="F105" s="88" t="b">
        <v>0</v>
      </c>
      <c r="G105" s="88" t="b">
        <v>0</v>
      </c>
    </row>
    <row r="106" spans="1:7" ht="15">
      <c r="A106" s="85" t="s">
        <v>366</v>
      </c>
      <c r="B106" s="88">
        <v>16</v>
      </c>
      <c r="C106" s="93">
        <v>0.007215750571013042</v>
      </c>
      <c r="D106" s="88" t="s">
        <v>321</v>
      </c>
      <c r="E106" s="88" t="b">
        <v>0</v>
      </c>
      <c r="F106" s="88" t="b">
        <v>0</v>
      </c>
      <c r="G106" s="88" t="b">
        <v>0</v>
      </c>
    </row>
    <row r="107" spans="1:7" ht="15">
      <c r="A107" s="85" t="s">
        <v>359</v>
      </c>
      <c r="B107" s="88">
        <v>16</v>
      </c>
      <c r="C107" s="93">
        <v>0.007215750571013042</v>
      </c>
      <c r="D107" s="88" t="s">
        <v>321</v>
      </c>
      <c r="E107" s="88" t="b">
        <v>0</v>
      </c>
      <c r="F107" s="88" t="b">
        <v>0</v>
      </c>
      <c r="G107" s="88" t="b">
        <v>0</v>
      </c>
    </row>
    <row r="108" spans="1:7" ht="15">
      <c r="A108" s="85" t="s">
        <v>882</v>
      </c>
      <c r="B108" s="88">
        <v>16</v>
      </c>
      <c r="C108" s="93">
        <v>0.007215750571013042</v>
      </c>
      <c r="D108" s="88" t="s">
        <v>321</v>
      </c>
      <c r="E108" s="88" t="b">
        <v>0</v>
      </c>
      <c r="F108" s="88" t="b">
        <v>0</v>
      </c>
      <c r="G108" s="88" t="b">
        <v>0</v>
      </c>
    </row>
    <row r="109" spans="1:7" ht="15">
      <c r="A109" s="85" t="s">
        <v>351</v>
      </c>
      <c r="B109" s="88">
        <v>16</v>
      </c>
      <c r="C109" s="93">
        <v>0.007215750571013042</v>
      </c>
      <c r="D109" s="88" t="s">
        <v>321</v>
      </c>
      <c r="E109" s="88" t="b">
        <v>0</v>
      </c>
      <c r="F109" s="88" t="b">
        <v>0</v>
      </c>
      <c r="G109" s="88" t="b">
        <v>0</v>
      </c>
    </row>
    <row r="110" spans="1:7" ht="15">
      <c r="A110" s="85" t="s">
        <v>883</v>
      </c>
      <c r="B110" s="88">
        <v>16</v>
      </c>
      <c r="C110" s="93">
        <v>0.007215750571013042</v>
      </c>
      <c r="D110" s="88" t="s">
        <v>321</v>
      </c>
      <c r="E110" s="88" t="b">
        <v>0</v>
      </c>
      <c r="F110" s="88" t="b">
        <v>0</v>
      </c>
      <c r="G110" s="88" t="b">
        <v>0</v>
      </c>
    </row>
    <row r="111" spans="1:7" ht="15">
      <c r="A111" s="85" t="s">
        <v>369</v>
      </c>
      <c r="B111" s="88">
        <v>16</v>
      </c>
      <c r="C111" s="93">
        <v>0.007215750571013042</v>
      </c>
      <c r="D111" s="88" t="s">
        <v>321</v>
      </c>
      <c r="E111" s="88" t="b">
        <v>0</v>
      </c>
      <c r="F111" s="88" t="b">
        <v>0</v>
      </c>
      <c r="G111" s="88" t="b">
        <v>0</v>
      </c>
    </row>
    <row r="112" spans="1:7" ht="15">
      <c r="A112" s="85" t="s">
        <v>352</v>
      </c>
      <c r="B112" s="88">
        <v>15</v>
      </c>
      <c r="C112" s="93">
        <v>0.007254778810678636</v>
      </c>
      <c r="D112" s="88" t="s">
        <v>321</v>
      </c>
      <c r="E112" s="88" t="b">
        <v>0</v>
      </c>
      <c r="F112" s="88" t="b">
        <v>1</v>
      </c>
      <c r="G112" s="88" t="b">
        <v>0</v>
      </c>
    </row>
    <row r="113" spans="1:7" ht="15">
      <c r="A113" s="85" t="s">
        <v>373</v>
      </c>
      <c r="B113" s="88">
        <v>15</v>
      </c>
      <c r="C113" s="93">
        <v>0.007254778810678636</v>
      </c>
      <c r="D113" s="88" t="s">
        <v>321</v>
      </c>
      <c r="E113" s="88" t="b">
        <v>0</v>
      </c>
      <c r="F113" s="88" t="b">
        <v>0</v>
      </c>
      <c r="G113" s="88" t="b">
        <v>0</v>
      </c>
    </row>
    <row r="114" spans="1:7" ht="15">
      <c r="A114" s="85" t="s">
        <v>885</v>
      </c>
      <c r="B114" s="88">
        <v>15</v>
      </c>
      <c r="C114" s="93">
        <v>0.007254778810678636</v>
      </c>
      <c r="D114" s="88" t="s">
        <v>321</v>
      </c>
      <c r="E114" s="88" t="b">
        <v>0</v>
      </c>
      <c r="F114" s="88" t="b">
        <v>0</v>
      </c>
      <c r="G114" s="88" t="b">
        <v>0</v>
      </c>
    </row>
    <row r="115" spans="1:7" ht="15">
      <c r="A115" s="85" t="s">
        <v>886</v>
      </c>
      <c r="B115" s="88">
        <v>15</v>
      </c>
      <c r="C115" s="93">
        <v>0.007254778810678636</v>
      </c>
      <c r="D115" s="88" t="s">
        <v>321</v>
      </c>
      <c r="E115" s="88" t="b">
        <v>0</v>
      </c>
      <c r="F115" s="88" t="b">
        <v>0</v>
      </c>
      <c r="G115" s="88" t="b">
        <v>0</v>
      </c>
    </row>
    <row r="116" spans="1:7" ht="15">
      <c r="A116" s="85" t="s">
        <v>887</v>
      </c>
      <c r="B116" s="88">
        <v>15</v>
      </c>
      <c r="C116" s="93">
        <v>0.007254778810678636</v>
      </c>
      <c r="D116" s="88" t="s">
        <v>321</v>
      </c>
      <c r="E116" s="88" t="b">
        <v>0</v>
      </c>
      <c r="F116" s="88" t="b">
        <v>0</v>
      </c>
      <c r="G116" s="88" t="b">
        <v>0</v>
      </c>
    </row>
    <row r="117" spans="1:7" ht="15">
      <c r="A117" s="85" t="s">
        <v>349</v>
      </c>
      <c r="B117" s="88">
        <v>15</v>
      </c>
      <c r="C117" s="93">
        <v>0.007254778810678636</v>
      </c>
      <c r="D117" s="88" t="s">
        <v>321</v>
      </c>
      <c r="E117" s="88" t="b">
        <v>0</v>
      </c>
      <c r="F117" s="88" t="b">
        <v>0</v>
      </c>
      <c r="G117" s="88" t="b">
        <v>0</v>
      </c>
    </row>
    <row r="118" spans="1:7" ht="15">
      <c r="A118" s="85" t="s">
        <v>536</v>
      </c>
      <c r="B118" s="88">
        <v>15</v>
      </c>
      <c r="C118" s="93">
        <v>0.007254778810678636</v>
      </c>
      <c r="D118" s="88" t="s">
        <v>321</v>
      </c>
      <c r="E118" s="88" t="b">
        <v>0</v>
      </c>
      <c r="F118" s="88" t="b">
        <v>0</v>
      </c>
      <c r="G118" s="88" t="b">
        <v>0</v>
      </c>
    </row>
    <row r="119" spans="1:7" ht="15">
      <c r="A119" s="85" t="s">
        <v>357</v>
      </c>
      <c r="B119" s="88">
        <v>15</v>
      </c>
      <c r="C119" s="93">
        <v>0.007254778810678636</v>
      </c>
      <c r="D119" s="88" t="s">
        <v>321</v>
      </c>
      <c r="E119" s="88" t="b">
        <v>0</v>
      </c>
      <c r="F119" s="88" t="b">
        <v>0</v>
      </c>
      <c r="G119" s="88" t="b">
        <v>0</v>
      </c>
    </row>
    <row r="120" spans="1:7" ht="15">
      <c r="A120" s="85" t="s">
        <v>365</v>
      </c>
      <c r="B120" s="88">
        <v>15</v>
      </c>
      <c r="C120" s="93">
        <v>0.007254778810678636</v>
      </c>
      <c r="D120" s="88" t="s">
        <v>321</v>
      </c>
      <c r="E120" s="88" t="b">
        <v>0</v>
      </c>
      <c r="F120" s="88" t="b">
        <v>0</v>
      </c>
      <c r="G120" s="88" t="b">
        <v>0</v>
      </c>
    </row>
    <row r="121" spans="1:7" ht="15">
      <c r="A121" s="85" t="s">
        <v>346</v>
      </c>
      <c r="B121" s="88">
        <v>15</v>
      </c>
      <c r="C121" s="93">
        <v>0.007254778810678636</v>
      </c>
      <c r="D121" s="88" t="s">
        <v>321</v>
      </c>
      <c r="E121" s="88" t="b">
        <v>0</v>
      </c>
      <c r="F121" s="88" t="b">
        <v>0</v>
      </c>
      <c r="G121" s="88" t="b">
        <v>0</v>
      </c>
    </row>
    <row r="122" spans="1:7" ht="15">
      <c r="A122" s="85" t="s">
        <v>363</v>
      </c>
      <c r="B122" s="88">
        <v>15</v>
      </c>
      <c r="C122" s="93">
        <v>0.007254778810678636</v>
      </c>
      <c r="D122" s="88" t="s">
        <v>321</v>
      </c>
      <c r="E122" s="88" t="b">
        <v>0</v>
      </c>
      <c r="F122" s="88" t="b">
        <v>0</v>
      </c>
      <c r="G122" s="88" t="b">
        <v>0</v>
      </c>
    </row>
    <row r="123" spans="1:7" ht="15">
      <c r="A123" s="85" t="s">
        <v>884</v>
      </c>
      <c r="B123" s="88">
        <v>15</v>
      </c>
      <c r="C123" s="93">
        <v>0.007254778810678636</v>
      </c>
      <c r="D123" s="88" t="s">
        <v>321</v>
      </c>
      <c r="E123" s="88" t="b">
        <v>0</v>
      </c>
      <c r="F123" s="88" t="b">
        <v>0</v>
      </c>
      <c r="G123" s="88" t="b">
        <v>0</v>
      </c>
    </row>
    <row r="124" spans="1:7" ht="15">
      <c r="A124" s="85" t="s">
        <v>367</v>
      </c>
      <c r="B124" s="88">
        <v>15</v>
      </c>
      <c r="C124" s="93">
        <v>0.007254778810678636</v>
      </c>
      <c r="D124" s="88" t="s">
        <v>321</v>
      </c>
      <c r="E124" s="88" t="b">
        <v>0</v>
      </c>
      <c r="F124" s="88" t="b">
        <v>0</v>
      </c>
      <c r="G124" s="88" t="b">
        <v>0</v>
      </c>
    </row>
    <row r="125" spans="1:7" ht="15">
      <c r="A125" s="85" t="s">
        <v>358</v>
      </c>
      <c r="B125" s="88">
        <v>15</v>
      </c>
      <c r="C125" s="93">
        <v>0.007254778810678636</v>
      </c>
      <c r="D125" s="88" t="s">
        <v>321</v>
      </c>
      <c r="E125" s="88" t="b">
        <v>0</v>
      </c>
      <c r="F125" s="88" t="b">
        <v>0</v>
      </c>
      <c r="G125" s="88" t="b">
        <v>0</v>
      </c>
    </row>
    <row r="126" spans="1:7" ht="15">
      <c r="A126" s="85" t="s">
        <v>888</v>
      </c>
      <c r="B126" s="88">
        <v>15</v>
      </c>
      <c r="C126" s="93">
        <v>0.007254778810678636</v>
      </c>
      <c r="D126" s="88" t="s">
        <v>321</v>
      </c>
      <c r="E126" s="88" t="b">
        <v>0</v>
      </c>
      <c r="F126" s="88" t="b">
        <v>1</v>
      </c>
      <c r="G126" s="88" t="b">
        <v>0</v>
      </c>
    </row>
    <row r="127" spans="1:7" ht="15">
      <c r="A127" s="85" t="s">
        <v>537</v>
      </c>
      <c r="B127" s="88">
        <v>11</v>
      </c>
      <c r="C127" s="93">
        <v>0.00956367393605439</v>
      </c>
      <c r="D127" s="88" t="s">
        <v>321</v>
      </c>
      <c r="E127" s="88" t="b">
        <v>0</v>
      </c>
      <c r="F127" s="88" t="b">
        <v>0</v>
      </c>
      <c r="G127" s="88" t="b">
        <v>0</v>
      </c>
    </row>
    <row r="128" spans="1:7" ht="15">
      <c r="A128" s="85" t="s">
        <v>559</v>
      </c>
      <c r="B128" s="88">
        <v>8</v>
      </c>
      <c r="C128" s="93">
        <v>0.006414681771883969</v>
      </c>
      <c r="D128" s="88" t="s">
        <v>321</v>
      </c>
      <c r="E128" s="88" t="b">
        <v>0</v>
      </c>
      <c r="F128" s="88" t="b">
        <v>0</v>
      </c>
      <c r="G128" s="88" t="b">
        <v>0</v>
      </c>
    </row>
    <row r="129" spans="1:7" ht="15">
      <c r="A129" s="85" t="s">
        <v>889</v>
      </c>
      <c r="B129" s="88">
        <v>4</v>
      </c>
      <c r="C129" s="93">
        <v>0.004610744129130708</v>
      </c>
      <c r="D129" s="88" t="s">
        <v>321</v>
      </c>
      <c r="E129" s="88" t="b">
        <v>0</v>
      </c>
      <c r="F129" s="88" t="b">
        <v>1</v>
      </c>
      <c r="G129" s="88" t="b">
        <v>0</v>
      </c>
    </row>
    <row r="130" spans="1:7" ht="15">
      <c r="A130" s="85" t="s">
        <v>890</v>
      </c>
      <c r="B130" s="88">
        <v>4</v>
      </c>
      <c r="C130" s="93">
        <v>0.004610744129130708</v>
      </c>
      <c r="D130" s="88" t="s">
        <v>321</v>
      </c>
      <c r="E130" s="88" t="b">
        <v>0</v>
      </c>
      <c r="F130" s="88" t="b">
        <v>0</v>
      </c>
      <c r="G130" s="88" t="b">
        <v>0</v>
      </c>
    </row>
    <row r="131" spans="1:7" ht="15">
      <c r="A131" s="85" t="s">
        <v>891</v>
      </c>
      <c r="B131" s="88">
        <v>4</v>
      </c>
      <c r="C131" s="93">
        <v>0.004610744129130708</v>
      </c>
      <c r="D131" s="88" t="s">
        <v>321</v>
      </c>
      <c r="E131" s="88" t="b">
        <v>0</v>
      </c>
      <c r="F131" s="88" t="b">
        <v>0</v>
      </c>
      <c r="G131" s="88" t="b">
        <v>0</v>
      </c>
    </row>
    <row r="132" spans="1:7" ht="15">
      <c r="A132" s="85" t="s">
        <v>368</v>
      </c>
      <c r="B132" s="88">
        <v>4</v>
      </c>
      <c r="C132" s="93">
        <v>0.004610744129130708</v>
      </c>
      <c r="D132" s="88" t="s">
        <v>321</v>
      </c>
      <c r="E132" s="88" t="b">
        <v>0</v>
      </c>
      <c r="F132" s="88" t="b">
        <v>0</v>
      </c>
      <c r="G132" s="88" t="b">
        <v>0</v>
      </c>
    </row>
    <row r="133" spans="1:7" ht="15">
      <c r="A133" s="85" t="s">
        <v>375</v>
      </c>
      <c r="B133" s="88">
        <v>4</v>
      </c>
      <c r="C133" s="93">
        <v>0.004610744129130708</v>
      </c>
      <c r="D133" s="88" t="s">
        <v>321</v>
      </c>
      <c r="E133" s="88" t="b">
        <v>0</v>
      </c>
      <c r="F133" s="88" t="b">
        <v>0</v>
      </c>
      <c r="G133" s="88" t="b">
        <v>0</v>
      </c>
    </row>
    <row r="134" spans="1:7" ht="15">
      <c r="A134" s="85" t="s">
        <v>892</v>
      </c>
      <c r="B134" s="88">
        <v>4</v>
      </c>
      <c r="C134" s="93">
        <v>0.004610744129130708</v>
      </c>
      <c r="D134" s="88" t="s">
        <v>321</v>
      </c>
      <c r="E134" s="88" t="b">
        <v>0</v>
      </c>
      <c r="F134" s="88" t="b">
        <v>0</v>
      </c>
      <c r="G134" s="88" t="b">
        <v>0</v>
      </c>
    </row>
    <row r="135" spans="1:7" ht="15">
      <c r="A135" s="85" t="s">
        <v>360</v>
      </c>
      <c r="B135" s="88">
        <v>4</v>
      </c>
      <c r="C135" s="93">
        <v>0.004610744129130708</v>
      </c>
      <c r="D135" s="88" t="s">
        <v>321</v>
      </c>
      <c r="E135" s="88" t="b">
        <v>0</v>
      </c>
      <c r="F135" s="88" t="b">
        <v>0</v>
      </c>
      <c r="G135" s="88" t="b">
        <v>0</v>
      </c>
    </row>
    <row r="136" spans="1:7" ht="15">
      <c r="A136" s="85" t="s">
        <v>893</v>
      </c>
      <c r="B136" s="88">
        <v>4</v>
      </c>
      <c r="C136" s="93">
        <v>0.004610744129130708</v>
      </c>
      <c r="D136" s="88" t="s">
        <v>321</v>
      </c>
      <c r="E136" s="88" t="b">
        <v>0</v>
      </c>
      <c r="F136" s="88" t="b">
        <v>0</v>
      </c>
      <c r="G136" s="88" t="b">
        <v>0</v>
      </c>
    </row>
    <row r="137" spans="1:7" ht="15">
      <c r="A137" s="85" t="s">
        <v>370</v>
      </c>
      <c r="B137" s="88">
        <v>4</v>
      </c>
      <c r="C137" s="93">
        <v>0.004610744129130708</v>
      </c>
      <c r="D137" s="88" t="s">
        <v>321</v>
      </c>
      <c r="E137" s="88" t="b">
        <v>0</v>
      </c>
      <c r="F137" s="88" t="b">
        <v>1</v>
      </c>
      <c r="G137" s="88" t="b">
        <v>0</v>
      </c>
    </row>
    <row r="138" spans="1:7" ht="15">
      <c r="A138" s="85" t="s">
        <v>374</v>
      </c>
      <c r="B138" s="88">
        <v>3</v>
      </c>
      <c r="C138" s="93">
        <v>0.003894906826247681</v>
      </c>
      <c r="D138" s="88" t="s">
        <v>321</v>
      </c>
      <c r="E138" s="88" t="b">
        <v>0</v>
      </c>
      <c r="F138" s="88" t="b">
        <v>0</v>
      </c>
      <c r="G138" s="88" t="b">
        <v>0</v>
      </c>
    </row>
    <row r="139" spans="1:7" ht="15">
      <c r="A139" s="85" t="s">
        <v>342</v>
      </c>
      <c r="B139" s="88">
        <v>3</v>
      </c>
      <c r="C139" s="93">
        <v>0.003894906826247681</v>
      </c>
      <c r="D139" s="88" t="s">
        <v>321</v>
      </c>
      <c r="E139" s="88" t="b">
        <v>0</v>
      </c>
      <c r="F139" s="88" t="b">
        <v>0</v>
      </c>
      <c r="G139" s="88" t="b">
        <v>0</v>
      </c>
    </row>
    <row r="140" spans="1:7" ht="15">
      <c r="A140" s="85" t="s">
        <v>894</v>
      </c>
      <c r="B140" s="88">
        <v>3</v>
      </c>
      <c r="C140" s="93">
        <v>0.003894906826247681</v>
      </c>
      <c r="D140" s="88" t="s">
        <v>321</v>
      </c>
      <c r="E140" s="88" t="b">
        <v>0</v>
      </c>
      <c r="F140" s="88" t="b">
        <v>0</v>
      </c>
      <c r="G140" s="88" t="b">
        <v>0</v>
      </c>
    </row>
    <row r="141" spans="1:7" ht="15">
      <c r="A141" s="85" t="s">
        <v>538</v>
      </c>
      <c r="B141" s="88">
        <v>12</v>
      </c>
      <c r="C141" s="93">
        <v>0.01249852110514684</v>
      </c>
      <c r="D141" s="88" t="s">
        <v>322</v>
      </c>
      <c r="E141" s="88" t="b">
        <v>0</v>
      </c>
      <c r="F141" s="88" t="b">
        <v>0</v>
      </c>
      <c r="G141" s="88" t="b">
        <v>0</v>
      </c>
    </row>
    <row r="142" spans="1:7" ht="15">
      <c r="A142" s="85" t="s">
        <v>874</v>
      </c>
      <c r="B142" s="88">
        <v>7</v>
      </c>
      <c r="C142" s="93">
        <v>0.00989300455233741</v>
      </c>
      <c r="D142" s="88" t="s">
        <v>322</v>
      </c>
      <c r="E142" s="88" t="b">
        <v>0</v>
      </c>
      <c r="F142" s="88" t="b">
        <v>0</v>
      </c>
      <c r="G142" s="88" t="b">
        <v>0</v>
      </c>
    </row>
    <row r="143" spans="1:7" ht="15">
      <c r="A143" s="85" t="s">
        <v>369</v>
      </c>
      <c r="B143" s="88">
        <v>7</v>
      </c>
      <c r="C143" s="93">
        <v>0.00989300455233741</v>
      </c>
      <c r="D143" s="88" t="s">
        <v>322</v>
      </c>
      <c r="E143" s="88" t="b">
        <v>0</v>
      </c>
      <c r="F143" s="88" t="b">
        <v>0</v>
      </c>
      <c r="G143" s="88" t="b">
        <v>0</v>
      </c>
    </row>
    <row r="144" spans="1:7" ht="15">
      <c r="A144" s="85" t="s">
        <v>875</v>
      </c>
      <c r="B144" s="88">
        <v>5</v>
      </c>
      <c r="C144" s="93">
        <v>0.00706643182309815</v>
      </c>
      <c r="D144" s="88" t="s">
        <v>322</v>
      </c>
      <c r="E144" s="88" t="b">
        <v>0</v>
      </c>
      <c r="F144" s="88" t="b">
        <v>0</v>
      </c>
      <c r="G144" s="88" t="b">
        <v>0</v>
      </c>
    </row>
    <row r="145" spans="1:7" ht="15">
      <c r="A145" s="85" t="s">
        <v>344</v>
      </c>
      <c r="B145" s="88">
        <v>5</v>
      </c>
      <c r="C145" s="93">
        <v>0.009341314757559567</v>
      </c>
      <c r="D145" s="88" t="s">
        <v>322</v>
      </c>
      <c r="E145" s="88" t="b">
        <v>0</v>
      </c>
      <c r="F145" s="88" t="b">
        <v>0</v>
      </c>
      <c r="G145" s="88" t="b">
        <v>0</v>
      </c>
    </row>
    <row r="146" spans="1:7" ht="15">
      <c r="A146" s="85" t="s">
        <v>356</v>
      </c>
      <c r="B146" s="88">
        <v>5</v>
      </c>
      <c r="C146" s="93">
        <v>0.009341314757559567</v>
      </c>
      <c r="D146" s="88" t="s">
        <v>322</v>
      </c>
      <c r="E146" s="88" t="b">
        <v>0</v>
      </c>
      <c r="F146" s="88" t="b">
        <v>0</v>
      </c>
      <c r="G146" s="88" t="b">
        <v>0</v>
      </c>
    </row>
    <row r="147" spans="1:7" ht="15">
      <c r="A147" s="85" t="s">
        <v>341</v>
      </c>
      <c r="B147" s="88">
        <v>5</v>
      </c>
      <c r="C147" s="93">
        <v>0.00706643182309815</v>
      </c>
      <c r="D147" s="88" t="s">
        <v>322</v>
      </c>
      <c r="E147" s="88" t="b">
        <v>0</v>
      </c>
      <c r="F147" s="88" t="b">
        <v>0</v>
      </c>
      <c r="G147" s="88" t="b">
        <v>0</v>
      </c>
    </row>
    <row r="148" spans="1:7" ht="15">
      <c r="A148" s="85" t="s">
        <v>519</v>
      </c>
      <c r="B148" s="88">
        <v>4</v>
      </c>
      <c r="C148" s="93">
        <v>0.0074730518060476545</v>
      </c>
      <c r="D148" s="88" t="s">
        <v>322</v>
      </c>
      <c r="E148" s="88" t="b">
        <v>0</v>
      </c>
      <c r="F148" s="88" t="b">
        <v>0</v>
      </c>
      <c r="G148" s="88" t="b">
        <v>0</v>
      </c>
    </row>
    <row r="149" spans="1:7" ht="15">
      <c r="A149" s="85" t="s">
        <v>258</v>
      </c>
      <c r="B149" s="88">
        <v>3</v>
      </c>
      <c r="C149" s="93">
        <v>0.0073644893701456</v>
      </c>
      <c r="D149" s="88" t="s">
        <v>322</v>
      </c>
      <c r="E149" s="88" t="b">
        <v>0</v>
      </c>
      <c r="F149" s="88" t="b">
        <v>0</v>
      </c>
      <c r="G149" s="88" t="b">
        <v>0</v>
      </c>
    </row>
    <row r="150" spans="1:7" ht="15">
      <c r="A150" s="85" t="s">
        <v>536</v>
      </c>
      <c r="B150" s="88">
        <v>3</v>
      </c>
      <c r="C150" s="93">
        <v>0.0073644893701456</v>
      </c>
      <c r="D150" s="88" t="s">
        <v>322</v>
      </c>
      <c r="E150" s="88" t="b">
        <v>0</v>
      </c>
      <c r="F150" s="88" t="b">
        <v>0</v>
      </c>
      <c r="G150" s="88" t="b">
        <v>0</v>
      </c>
    </row>
    <row r="151" spans="1:7" ht="15">
      <c r="A151" s="85" t="s">
        <v>884</v>
      </c>
      <c r="B151" s="88">
        <v>3</v>
      </c>
      <c r="C151" s="93">
        <v>0.0073644893701456</v>
      </c>
      <c r="D151" s="88" t="s">
        <v>322</v>
      </c>
      <c r="E151" s="88" t="b">
        <v>0</v>
      </c>
      <c r="F151" s="88" t="b">
        <v>0</v>
      </c>
      <c r="G151" s="88" t="b">
        <v>0</v>
      </c>
    </row>
    <row r="152" spans="1:7" ht="15">
      <c r="A152" s="85" t="s">
        <v>367</v>
      </c>
      <c r="B152" s="88">
        <v>3</v>
      </c>
      <c r="C152" s="93">
        <v>0.0073644893701456</v>
      </c>
      <c r="D152" s="88" t="s">
        <v>322</v>
      </c>
      <c r="E152" s="88" t="b">
        <v>0</v>
      </c>
      <c r="F152" s="88" t="b">
        <v>0</v>
      </c>
      <c r="G152" s="88" t="b">
        <v>0</v>
      </c>
    </row>
    <row r="153" spans="1:7" ht="15">
      <c r="A153" s="85" t="s">
        <v>362</v>
      </c>
      <c r="B153" s="88">
        <v>3</v>
      </c>
      <c r="C153" s="93">
        <v>0.0073644893701456</v>
      </c>
      <c r="D153" s="88" t="s">
        <v>322</v>
      </c>
      <c r="E153" s="88" t="b">
        <v>0</v>
      </c>
      <c r="F153" s="88" t="b">
        <v>0</v>
      </c>
      <c r="G153" s="88" t="b">
        <v>0</v>
      </c>
    </row>
    <row r="154" spans="1:7" ht="15">
      <c r="A154" s="85" t="s">
        <v>876</v>
      </c>
      <c r="B154" s="88">
        <v>3</v>
      </c>
      <c r="C154" s="93">
        <v>0.0073644893701456</v>
      </c>
      <c r="D154" s="88" t="s">
        <v>322</v>
      </c>
      <c r="E154" s="88" t="b">
        <v>0</v>
      </c>
      <c r="F154" s="88" t="b">
        <v>0</v>
      </c>
      <c r="G154" s="88" t="b">
        <v>0</v>
      </c>
    </row>
    <row r="155" spans="1:7" ht="15">
      <c r="A155" s="85" t="s">
        <v>373</v>
      </c>
      <c r="B155" s="88">
        <v>2</v>
      </c>
      <c r="C155" s="93">
        <v>0.006563098632263088</v>
      </c>
      <c r="D155" s="88" t="s">
        <v>322</v>
      </c>
      <c r="E155" s="88" t="b">
        <v>0</v>
      </c>
      <c r="F155" s="88" t="b">
        <v>0</v>
      </c>
      <c r="G155" s="88" t="b">
        <v>0</v>
      </c>
    </row>
    <row r="156" spans="1:7" ht="15">
      <c r="A156" s="85" t="s">
        <v>349</v>
      </c>
      <c r="B156" s="88">
        <v>2</v>
      </c>
      <c r="C156" s="93">
        <v>0.006563098632263088</v>
      </c>
      <c r="D156" s="88" t="s">
        <v>322</v>
      </c>
      <c r="E156" s="88" t="b">
        <v>0</v>
      </c>
      <c r="F156" s="88" t="b">
        <v>0</v>
      </c>
      <c r="G156" s="88" t="b">
        <v>0</v>
      </c>
    </row>
    <row r="157" spans="1:7" ht="15">
      <c r="A157" s="85" t="s">
        <v>365</v>
      </c>
      <c r="B157" s="88">
        <v>2</v>
      </c>
      <c r="C157" s="93">
        <v>0.006563098632263088</v>
      </c>
      <c r="D157" s="88" t="s">
        <v>322</v>
      </c>
      <c r="E157" s="88" t="b">
        <v>0</v>
      </c>
      <c r="F157" s="88" t="b">
        <v>0</v>
      </c>
      <c r="G157" s="88" t="b">
        <v>0</v>
      </c>
    </row>
    <row r="158" spans="1:7" ht="15">
      <c r="A158" s="85" t="s">
        <v>358</v>
      </c>
      <c r="B158" s="88">
        <v>2</v>
      </c>
      <c r="C158" s="93">
        <v>0.006563098632263088</v>
      </c>
      <c r="D158" s="88" t="s">
        <v>322</v>
      </c>
      <c r="E158" s="88" t="b">
        <v>0</v>
      </c>
      <c r="F158" s="88" t="b">
        <v>0</v>
      </c>
      <c r="G158" s="88" t="b">
        <v>0</v>
      </c>
    </row>
    <row r="159" spans="1:7" ht="15">
      <c r="A159" s="85" t="s">
        <v>877</v>
      </c>
      <c r="B159" s="88">
        <v>2</v>
      </c>
      <c r="C159" s="93">
        <v>0.006563098632263088</v>
      </c>
      <c r="D159" s="88" t="s">
        <v>322</v>
      </c>
      <c r="E159" s="88" t="b">
        <v>0</v>
      </c>
      <c r="F159" s="88" t="b">
        <v>1</v>
      </c>
      <c r="G159" s="88" t="b">
        <v>0</v>
      </c>
    </row>
    <row r="160" spans="1:7" ht="15">
      <c r="A160" s="85" t="s">
        <v>878</v>
      </c>
      <c r="B160" s="88">
        <v>2</v>
      </c>
      <c r="C160" s="93">
        <v>0.006563098632263088</v>
      </c>
      <c r="D160" s="88" t="s">
        <v>322</v>
      </c>
      <c r="E160" s="88" t="b">
        <v>0</v>
      </c>
      <c r="F160" s="88" t="b">
        <v>1</v>
      </c>
      <c r="G160" s="88" t="b">
        <v>0</v>
      </c>
    </row>
    <row r="161" spans="1:7" ht="15">
      <c r="A161" s="85" t="s">
        <v>879</v>
      </c>
      <c r="B161" s="88">
        <v>2</v>
      </c>
      <c r="C161" s="93">
        <v>0.006563098632263088</v>
      </c>
      <c r="D161" s="88" t="s">
        <v>322</v>
      </c>
      <c r="E161" s="88" t="b">
        <v>0</v>
      </c>
      <c r="F161" s="88" t="b">
        <v>1</v>
      </c>
      <c r="G161" s="88" t="b">
        <v>0</v>
      </c>
    </row>
    <row r="162" spans="1:7" ht="15">
      <c r="A162" s="85" t="s">
        <v>880</v>
      </c>
      <c r="B162" s="88">
        <v>2</v>
      </c>
      <c r="C162" s="93">
        <v>0.006563098632263088</v>
      </c>
      <c r="D162" s="88" t="s">
        <v>322</v>
      </c>
      <c r="E162" s="88" t="b">
        <v>0</v>
      </c>
      <c r="F162" s="88" t="b">
        <v>0</v>
      </c>
      <c r="G162" s="88" t="b">
        <v>0</v>
      </c>
    </row>
    <row r="163" spans="1:7" ht="15">
      <c r="A163" s="85" t="s">
        <v>881</v>
      </c>
      <c r="B163" s="88">
        <v>2</v>
      </c>
      <c r="C163" s="93">
        <v>0.006563098632263088</v>
      </c>
      <c r="D163" s="88" t="s">
        <v>322</v>
      </c>
      <c r="E163" s="88" t="b">
        <v>0</v>
      </c>
      <c r="F163" s="88" t="b">
        <v>1</v>
      </c>
      <c r="G163" s="88" t="b">
        <v>0</v>
      </c>
    </row>
    <row r="164" spans="1:7" ht="15">
      <c r="A164" s="85" t="s">
        <v>353</v>
      </c>
      <c r="B164" s="88">
        <v>2</v>
      </c>
      <c r="C164" s="93">
        <v>0.006563098632263088</v>
      </c>
      <c r="D164" s="88" t="s">
        <v>322</v>
      </c>
      <c r="E164" s="88" t="b">
        <v>0</v>
      </c>
      <c r="F164" s="88" t="b">
        <v>0</v>
      </c>
      <c r="G164" s="88" t="b">
        <v>0</v>
      </c>
    </row>
    <row r="165" spans="1:7" ht="15">
      <c r="A165" s="85" t="s">
        <v>372</v>
      </c>
      <c r="B165" s="88">
        <v>2</v>
      </c>
      <c r="C165" s="93">
        <v>0.006563098632263088</v>
      </c>
      <c r="D165" s="88" t="s">
        <v>322</v>
      </c>
      <c r="E165" s="88" t="b">
        <v>0</v>
      </c>
      <c r="F165" s="88" t="b">
        <v>0</v>
      </c>
      <c r="G165" s="88" t="b">
        <v>0</v>
      </c>
    </row>
    <row r="166" spans="1:7" ht="15">
      <c r="A166" s="85" t="s">
        <v>347</v>
      </c>
      <c r="B166" s="88">
        <v>2</v>
      </c>
      <c r="C166" s="93">
        <v>0.006563098632263088</v>
      </c>
      <c r="D166" s="88" t="s">
        <v>322</v>
      </c>
      <c r="E166" s="88" t="b">
        <v>0</v>
      </c>
      <c r="F166" s="88" t="b">
        <v>0</v>
      </c>
      <c r="G166" s="88" t="b">
        <v>0</v>
      </c>
    </row>
    <row r="167" spans="1:7" ht="15">
      <c r="A167" s="85" t="s">
        <v>366</v>
      </c>
      <c r="B167" s="88">
        <v>2</v>
      </c>
      <c r="C167" s="93">
        <v>0.006563098632263088</v>
      </c>
      <c r="D167" s="88" t="s">
        <v>322</v>
      </c>
      <c r="E167" s="88" t="b">
        <v>0</v>
      </c>
      <c r="F167" s="88" t="b">
        <v>0</v>
      </c>
      <c r="G167" s="88" t="b">
        <v>0</v>
      </c>
    </row>
    <row r="168" spans="1:7" ht="15">
      <c r="A168" s="85" t="s">
        <v>359</v>
      </c>
      <c r="B168" s="88">
        <v>2</v>
      </c>
      <c r="C168" s="93">
        <v>0.006563098632263088</v>
      </c>
      <c r="D168" s="88" t="s">
        <v>322</v>
      </c>
      <c r="E168" s="88" t="b">
        <v>0</v>
      </c>
      <c r="F168" s="88" t="b">
        <v>0</v>
      </c>
      <c r="G168" s="88" t="b">
        <v>0</v>
      </c>
    </row>
    <row r="169" spans="1:7" ht="15">
      <c r="A169" s="85" t="s">
        <v>882</v>
      </c>
      <c r="B169" s="88">
        <v>2</v>
      </c>
      <c r="C169" s="93">
        <v>0.006563098632263088</v>
      </c>
      <c r="D169" s="88" t="s">
        <v>322</v>
      </c>
      <c r="E169" s="88" t="b">
        <v>0</v>
      </c>
      <c r="F169" s="88" t="b">
        <v>0</v>
      </c>
      <c r="G169" s="88" t="b">
        <v>0</v>
      </c>
    </row>
    <row r="170" spans="1:7" ht="15">
      <c r="A170" s="85" t="s">
        <v>351</v>
      </c>
      <c r="B170" s="88">
        <v>2</v>
      </c>
      <c r="C170" s="93">
        <v>0.006563098632263088</v>
      </c>
      <c r="D170" s="88" t="s">
        <v>322</v>
      </c>
      <c r="E170" s="88" t="b">
        <v>0</v>
      </c>
      <c r="F170" s="88" t="b">
        <v>0</v>
      </c>
      <c r="G170" s="88" t="b">
        <v>0</v>
      </c>
    </row>
    <row r="171" spans="1:7" ht="15">
      <c r="A171" s="85" t="s">
        <v>883</v>
      </c>
      <c r="B171" s="88">
        <v>2</v>
      </c>
      <c r="C171" s="93">
        <v>0.006563098632263088</v>
      </c>
      <c r="D171" s="88" t="s">
        <v>322</v>
      </c>
      <c r="E171" s="88" t="b">
        <v>0</v>
      </c>
      <c r="F171" s="88" t="b">
        <v>0</v>
      </c>
      <c r="G171" s="88" t="b">
        <v>0</v>
      </c>
    </row>
    <row r="172" spans="1:7" ht="15">
      <c r="A172" s="85" t="s">
        <v>376</v>
      </c>
      <c r="B172" s="88">
        <v>2</v>
      </c>
      <c r="C172" s="93">
        <v>0.006563098632263088</v>
      </c>
      <c r="D172" s="88" t="s">
        <v>322</v>
      </c>
      <c r="E172" s="88" t="b">
        <v>0</v>
      </c>
      <c r="F172" s="88" t="b">
        <v>0</v>
      </c>
      <c r="G172" s="88" t="b">
        <v>0</v>
      </c>
    </row>
    <row r="173" spans="1:7" ht="15">
      <c r="A173" s="85" t="s">
        <v>350</v>
      </c>
      <c r="B173" s="88">
        <v>2</v>
      </c>
      <c r="C173" s="93">
        <v>0.009389671361502348</v>
      </c>
      <c r="D173" s="88" t="s">
        <v>322</v>
      </c>
      <c r="E173" s="88" t="b">
        <v>0</v>
      </c>
      <c r="F173" s="88" t="b">
        <v>0</v>
      </c>
      <c r="G173" s="88" t="b">
        <v>0</v>
      </c>
    </row>
    <row r="174" spans="1:7" ht="15">
      <c r="A174" s="85" t="s">
        <v>537</v>
      </c>
      <c r="B174" s="88">
        <v>2</v>
      </c>
      <c r="C174" s="93">
        <v>0.009389671361502348</v>
      </c>
      <c r="D174" s="88" t="s">
        <v>322</v>
      </c>
      <c r="E174" s="88" t="b">
        <v>0</v>
      </c>
      <c r="F174" s="88" t="b">
        <v>0</v>
      </c>
      <c r="G174" s="88" t="b">
        <v>0</v>
      </c>
    </row>
    <row r="175" spans="1:7" ht="15">
      <c r="A175" s="85" t="s">
        <v>562</v>
      </c>
      <c r="B175" s="88">
        <v>2</v>
      </c>
      <c r="C175" s="93">
        <v>0.006563098632263088</v>
      </c>
      <c r="D175" s="88" t="s">
        <v>322</v>
      </c>
      <c r="E175" s="88" t="b">
        <v>0</v>
      </c>
      <c r="F175" s="88" t="b">
        <v>0</v>
      </c>
      <c r="G175" s="88" t="b">
        <v>0</v>
      </c>
    </row>
    <row r="176" spans="1:7" ht="15">
      <c r="A176" s="85" t="s">
        <v>896</v>
      </c>
      <c r="B176" s="88">
        <v>2</v>
      </c>
      <c r="C176" s="93">
        <v>0.006563098632263088</v>
      </c>
      <c r="D176" s="88" t="s">
        <v>322</v>
      </c>
      <c r="E176" s="88" t="b">
        <v>0</v>
      </c>
      <c r="F176" s="88" t="b">
        <v>0</v>
      </c>
      <c r="G176" s="88" t="b">
        <v>0</v>
      </c>
    </row>
    <row r="177" spans="1:7" ht="15">
      <c r="A177" s="85" t="s">
        <v>897</v>
      </c>
      <c r="B177" s="88">
        <v>2</v>
      </c>
      <c r="C177" s="93">
        <v>0.006563098632263088</v>
      </c>
      <c r="D177" s="88" t="s">
        <v>322</v>
      </c>
      <c r="E177" s="88" t="b">
        <v>0</v>
      </c>
      <c r="F177" s="88" t="b">
        <v>0</v>
      </c>
      <c r="G177" s="88" t="b">
        <v>0</v>
      </c>
    </row>
    <row r="178" spans="1:7" ht="15">
      <c r="A178" s="85" t="s">
        <v>355</v>
      </c>
      <c r="B178" s="88">
        <v>2</v>
      </c>
      <c r="C178" s="93">
        <v>0.006563098632263088</v>
      </c>
      <c r="D178" s="88" t="s">
        <v>322</v>
      </c>
      <c r="E178" s="88" t="b">
        <v>0</v>
      </c>
      <c r="F178" s="88" t="b">
        <v>0</v>
      </c>
      <c r="G178" s="88" t="b">
        <v>0</v>
      </c>
    </row>
    <row r="179" spans="1:7" ht="15">
      <c r="A179" s="85" t="s">
        <v>898</v>
      </c>
      <c r="B179" s="88">
        <v>2</v>
      </c>
      <c r="C179" s="93">
        <v>0.006563098632263088</v>
      </c>
      <c r="D179" s="88" t="s">
        <v>322</v>
      </c>
      <c r="E179" s="88" t="b">
        <v>0</v>
      </c>
      <c r="F179" s="88" t="b">
        <v>0</v>
      </c>
      <c r="G179" s="88" t="b">
        <v>0</v>
      </c>
    </row>
    <row r="180" spans="1:7" ht="15">
      <c r="A180" s="85" t="s">
        <v>899</v>
      </c>
      <c r="B180" s="88">
        <v>2</v>
      </c>
      <c r="C180" s="93">
        <v>0.006563098632263088</v>
      </c>
      <c r="D180" s="88" t="s">
        <v>322</v>
      </c>
      <c r="E180" s="88" t="b">
        <v>0</v>
      </c>
      <c r="F180" s="88" t="b">
        <v>0</v>
      </c>
      <c r="G180" s="88" t="b">
        <v>0</v>
      </c>
    </row>
    <row r="181" spans="1:7" ht="15">
      <c r="A181" s="85" t="s">
        <v>900</v>
      </c>
      <c r="B181" s="88">
        <v>2</v>
      </c>
      <c r="C181" s="93">
        <v>0.006563098632263088</v>
      </c>
      <c r="D181" s="88" t="s">
        <v>322</v>
      </c>
      <c r="E181" s="88" t="b">
        <v>0</v>
      </c>
      <c r="F181" s="88" t="b">
        <v>0</v>
      </c>
      <c r="G181" s="88" t="b">
        <v>0</v>
      </c>
    </row>
    <row r="182" spans="1:7" ht="15">
      <c r="A182" s="85" t="s">
        <v>901</v>
      </c>
      <c r="B182" s="88">
        <v>2</v>
      </c>
      <c r="C182" s="93">
        <v>0.006563098632263088</v>
      </c>
      <c r="D182" s="88" t="s">
        <v>322</v>
      </c>
      <c r="E182" s="88" t="b">
        <v>0</v>
      </c>
      <c r="F182" s="88" t="b">
        <v>0</v>
      </c>
      <c r="G182" s="88" t="b">
        <v>0</v>
      </c>
    </row>
    <row r="183" spans="1:7" ht="15">
      <c r="A183" s="85" t="s">
        <v>902</v>
      </c>
      <c r="B183" s="88">
        <v>2</v>
      </c>
      <c r="C183" s="93">
        <v>0.006563098632263088</v>
      </c>
      <c r="D183" s="88" t="s">
        <v>322</v>
      </c>
      <c r="E183" s="88" t="b">
        <v>0</v>
      </c>
      <c r="F183" s="88" t="b">
        <v>0</v>
      </c>
      <c r="G183" s="88" t="b">
        <v>0</v>
      </c>
    </row>
    <row r="184" spans="1:7" ht="15">
      <c r="A184" s="85" t="s">
        <v>903</v>
      </c>
      <c r="B184" s="88">
        <v>2</v>
      </c>
      <c r="C184" s="93">
        <v>0.006563098632263088</v>
      </c>
      <c r="D184" s="88" t="s">
        <v>322</v>
      </c>
      <c r="E184" s="88" t="b">
        <v>0</v>
      </c>
      <c r="F184" s="88" t="b">
        <v>0</v>
      </c>
      <c r="G184" s="88" t="b">
        <v>0</v>
      </c>
    </row>
    <row r="185" spans="1:7" ht="15">
      <c r="A185" s="85" t="s">
        <v>904</v>
      </c>
      <c r="B185" s="88">
        <v>2</v>
      </c>
      <c r="C185" s="93">
        <v>0.006563098632263088</v>
      </c>
      <c r="D185" s="88" t="s">
        <v>322</v>
      </c>
      <c r="E185" s="88" t="b">
        <v>0</v>
      </c>
      <c r="F185" s="88" t="b">
        <v>0</v>
      </c>
      <c r="G185" s="88" t="b">
        <v>0</v>
      </c>
    </row>
    <row r="186" spans="1:7" ht="15">
      <c r="A186" s="85" t="s">
        <v>343</v>
      </c>
      <c r="B186" s="88">
        <v>2</v>
      </c>
      <c r="C186" s="93">
        <v>0.006563098632263088</v>
      </c>
      <c r="D186" s="88" t="s">
        <v>322</v>
      </c>
      <c r="E186" s="88" t="b">
        <v>0</v>
      </c>
      <c r="F186" s="88" t="b">
        <v>0</v>
      </c>
      <c r="G186" s="88" t="b">
        <v>0</v>
      </c>
    </row>
    <row r="187" spans="1:7" ht="15">
      <c r="A187" s="85" t="s">
        <v>345</v>
      </c>
      <c r="B187" s="88">
        <v>2</v>
      </c>
      <c r="C187" s="93">
        <v>0.006563098632263088</v>
      </c>
      <c r="D187" s="88" t="s">
        <v>322</v>
      </c>
      <c r="E187" s="88" t="b">
        <v>0</v>
      </c>
      <c r="F187" s="88" t="b">
        <v>0</v>
      </c>
      <c r="G187" s="88" t="b">
        <v>0</v>
      </c>
    </row>
    <row r="188" spans="1:7" ht="15">
      <c r="A188" s="85" t="s">
        <v>905</v>
      </c>
      <c r="B188" s="88">
        <v>2</v>
      </c>
      <c r="C188" s="93">
        <v>0.006563098632263088</v>
      </c>
      <c r="D188" s="88" t="s">
        <v>322</v>
      </c>
      <c r="E188" s="88" t="b">
        <v>0</v>
      </c>
      <c r="F188" s="88" t="b">
        <v>0</v>
      </c>
      <c r="G188" s="88" t="b">
        <v>0</v>
      </c>
    </row>
    <row r="189" spans="1:7" ht="15">
      <c r="A189" s="85" t="s">
        <v>348</v>
      </c>
      <c r="B189" s="88">
        <v>2</v>
      </c>
      <c r="C189" s="93">
        <v>0.006563098632263088</v>
      </c>
      <c r="D189" s="88" t="s">
        <v>322</v>
      </c>
      <c r="E189" s="88" t="b">
        <v>1</v>
      </c>
      <c r="F189" s="88" t="b">
        <v>0</v>
      </c>
      <c r="G189" s="88" t="b">
        <v>0</v>
      </c>
    </row>
    <row r="190" spans="1:7" ht="15">
      <c r="A190" s="85" t="s">
        <v>578</v>
      </c>
      <c r="B190" s="88">
        <v>2</v>
      </c>
      <c r="C190" s="93">
        <v>0.006563098632263088</v>
      </c>
      <c r="D190" s="88" t="s">
        <v>322</v>
      </c>
      <c r="E190" s="88" t="b">
        <v>0</v>
      </c>
      <c r="F190" s="88" t="b">
        <v>0</v>
      </c>
      <c r="G190" s="88" t="b">
        <v>0</v>
      </c>
    </row>
    <row r="191" spans="1:7" ht="15">
      <c r="A191" s="85" t="s">
        <v>895</v>
      </c>
      <c r="B191" s="88">
        <v>2</v>
      </c>
      <c r="C191" s="93">
        <v>0</v>
      </c>
      <c r="D191" s="88" t="s">
        <v>323</v>
      </c>
      <c r="E191" s="88" t="b">
        <v>0</v>
      </c>
      <c r="F191" s="88" t="b">
        <v>0</v>
      </c>
      <c r="G191" s="88" t="b">
        <v>0</v>
      </c>
    </row>
    <row r="192" spans="1:7" ht="15">
      <c r="A192" s="85" t="s">
        <v>579</v>
      </c>
      <c r="B192" s="88">
        <v>2</v>
      </c>
      <c r="C192" s="93">
        <v>0</v>
      </c>
      <c r="D192" s="88" t="s">
        <v>323</v>
      </c>
      <c r="E192" s="88" t="b">
        <v>0</v>
      </c>
      <c r="F192" s="88" t="b">
        <v>0</v>
      </c>
      <c r="G192" s="88" t="b">
        <v>0</v>
      </c>
    </row>
    <row r="193" spans="1:7" ht="15">
      <c r="A193" s="85" t="s">
        <v>538</v>
      </c>
      <c r="B193" s="88">
        <v>4</v>
      </c>
      <c r="C193" s="93">
        <v>0.020408813265354656</v>
      </c>
      <c r="D193" s="88" t="s">
        <v>324</v>
      </c>
      <c r="E193" s="88" t="b">
        <v>0</v>
      </c>
      <c r="F193" s="88" t="b">
        <v>0</v>
      </c>
      <c r="G193" s="88" t="b">
        <v>0</v>
      </c>
    </row>
    <row r="194" spans="1:7" ht="15">
      <c r="A194" s="85" t="s">
        <v>344</v>
      </c>
      <c r="B194" s="88">
        <v>3</v>
      </c>
      <c r="C194" s="93">
        <v>0.015306609949015995</v>
      </c>
      <c r="D194" s="88" t="s">
        <v>324</v>
      </c>
      <c r="E194" s="88" t="b">
        <v>0</v>
      </c>
      <c r="F194" s="88" t="b">
        <v>0</v>
      </c>
      <c r="G194" s="88" t="b">
        <v>0</v>
      </c>
    </row>
    <row r="195" spans="1:7" ht="15">
      <c r="A195" s="85" t="s">
        <v>874</v>
      </c>
      <c r="B195" s="88">
        <v>3</v>
      </c>
      <c r="C195" s="93">
        <v>0.015306609949015995</v>
      </c>
      <c r="D195" s="88" t="s">
        <v>324</v>
      </c>
      <c r="E195" s="88" t="b">
        <v>0</v>
      </c>
      <c r="F195" s="88" t="b">
        <v>0</v>
      </c>
      <c r="G195" s="88" t="b">
        <v>0</v>
      </c>
    </row>
    <row r="196" spans="1:7" ht="15">
      <c r="A196" s="85" t="s">
        <v>356</v>
      </c>
      <c r="B196" s="88">
        <v>3</v>
      </c>
      <c r="C196" s="93">
        <v>0.015306609949015995</v>
      </c>
      <c r="D196" s="88" t="s">
        <v>324</v>
      </c>
      <c r="E196" s="88" t="b">
        <v>0</v>
      </c>
      <c r="F196" s="88" t="b">
        <v>0</v>
      </c>
      <c r="G196" s="88" t="b">
        <v>0</v>
      </c>
    </row>
    <row r="197" spans="1:7" ht="15">
      <c r="A197" s="85" t="s">
        <v>559</v>
      </c>
      <c r="B197" s="88">
        <v>2</v>
      </c>
      <c r="C197" s="93">
        <v>0.010204406632677328</v>
      </c>
      <c r="D197" s="88" t="s">
        <v>324</v>
      </c>
      <c r="E197" s="88" t="b">
        <v>0</v>
      </c>
      <c r="F197" s="88" t="b">
        <v>0</v>
      </c>
      <c r="G197" s="88" t="b">
        <v>0</v>
      </c>
    </row>
    <row r="198" spans="1:7" ht="15">
      <c r="A198" s="85" t="s">
        <v>520</v>
      </c>
      <c r="B198" s="88">
        <v>2</v>
      </c>
      <c r="C198" s="93">
        <v>0.010204406632677328</v>
      </c>
      <c r="D198" s="88" t="s">
        <v>324</v>
      </c>
      <c r="E198" s="88" t="b">
        <v>0</v>
      </c>
      <c r="F198" s="88" t="b">
        <v>0</v>
      </c>
      <c r="G198" s="88" t="b">
        <v>0</v>
      </c>
    </row>
    <row r="199" spans="1:7" ht="15">
      <c r="A199" s="85" t="s">
        <v>906</v>
      </c>
      <c r="B199" s="88">
        <v>2</v>
      </c>
      <c r="C199" s="93">
        <v>0.010204406632677328</v>
      </c>
      <c r="D199" s="88" t="s">
        <v>324</v>
      </c>
      <c r="E199" s="88" t="b">
        <v>0</v>
      </c>
      <c r="F199" s="88" t="b">
        <v>1</v>
      </c>
      <c r="G199" s="88" t="b">
        <v>0</v>
      </c>
    </row>
    <row r="200" spans="1:7" ht="15">
      <c r="A200" s="85" t="s">
        <v>364</v>
      </c>
      <c r="B200" s="88">
        <v>2</v>
      </c>
      <c r="C200" s="93">
        <v>0.010204406632677328</v>
      </c>
      <c r="D200" s="88" t="s">
        <v>324</v>
      </c>
      <c r="E200" s="88" t="b">
        <v>0</v>
      </c>
      <c r="F200" s="88" t="b">
        <v>0</v>
      </c>
      <c r="G200" s="88" t="b">
        <v>0</v>
      </c>
    </row>
    <row r="201" spans="1:7" ht="15">
      <c r="A201" s="85" t="s">
        <v>341</v>
      </c>
      <c r="B201" s="88">
        <v>2</v>
      </c>
      <c r="C201" s="93">
        <v>0.010204406632677328</v>
      </c>
      <c r="D201" s="88" t="s">
        <v>324</v>
      </c>
      <c r="E201" s="88" t="b">
        <v>0</v>
      </c>
      <c r="F201" s="88" t="b">
        <v>0</v>
      </c>
      <c r="G201" s="88" t="b">
        <v>0</v>
      </c>
    </row>
    <row r="202" spans="1:7" ht="15">
      <c r="A202" s="85" t="s">
        <v>519</v>
      </c>
      <c r="B202" s="88">
        <v>2</v>
      </c>
      <c r="C202" s="93">
        <v>0.010204406632677328</v>
      </c>
      <c r="D202" s="88" t="s">
        <v>324</v>
      </c>
      <c r="E202" s="88" t="b">
        <v>0</v>
      </c>
      <c r="F202" s="88" t="b">
        <v>0</v>
      </c>
      <c r="G202" s="88" t="b">
        <v>0</v>
      </c>
    </row>
    <row r="203" spans="1:7" ht="15">
      <c r="A203" s="85" t="s">
        <v>875</v>
      </c>
      <c r="B203" s="88">
        <v>2</v>
      </c>
      <c r="C203" s="93">
        <v>0.010204406632677328</v>
      </c>
      <c r="D203" s="88" t="s">
        <v>324</v>
      </c>
      <c r="E203" s="88" t="b">
        <v>0</v>
      </c>
      <c r="F203" s="88" t="b">
        <v>0</v>
      </c>
      <c r="G20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C5961-0680-4074-A3C4-7D73DFD84889}">
  <dimension ref="A1:L19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386</v>
      </c>
      <c r="B1" s="13" t="s">
        <v>387</v>
      </c>
      <c r="C1" s="13" t="s">
        <v>377</v>
      </c>
      <c r="D1" s="13" t="s">
        <v>381</v>
      </c>
      <c r="E1" s="13" t="s">
        <v>388</v>
      </c>
      <c r="F1" s="13" t="s">
        <v>144</v>
      </c>
      <c r="G1" s="13" t="s">
        <v>389</v>
      </c>
      <c r="H1" s="13" t="s">
        <v>390</v>
      </c>
      <c r="I1" s="13" t="s">
        <v>391</v>
      </c>
      <c r="J1" s="13" t="s">
        <v>392</v>
      </c>
      <c r="K1" s="13" t="s">
        <v>393</v>
      </c>
      <c r="L1" s="13" t="s">
        <v>394</v>
      </c>
    </row>
    <row r="2" spans="1:12" ht="15">
      <c r="A2" s="88" t="s">
        <v>874</v>
      </c>
      <c r="B2" s="88" t="s">
        <v>538</v>
      </c>
      <c r="C2" s="88">
        <v>37</v>
      </c>
      <c r="D2" s="93">
        <v>0.005278110619436159</v>
      </c>
      <c r="E2" s="93">
        <v>0.9549064046787733</v>
      </c>
      <c r="F2" s="88" t="s">
        <v>382</v>
      </c>
      <c r="G2" s="88" t="b">
        <v>0</v>
      </c>
      <c r="H2" s="88" t="b">
        <v>0</v>
      </c>
      <c r="I2" s="88" t="b">
        <v>0</v>
      </c>
      <c r="J2" s="88" t="b">
        <v>0</v>
      </c>
      <c r="K2" s="88" t="b">
        <v>0</v>
      </c>
      <c r="L2" s="88" t="b">
        <v>0</v>
      </c>
    </row>
    <row r="3" spans="1:12" ht="15">
      <c r="A3" s="85" t="s">
        <v>344</v>
      </c>
      <c r="B3" s="88" t="s">
        <v>519</v>
      </c>
      <c r="C3" s="88">
        <v>36</v>
      </c>
      <c r="D3" s="93">
        <v>0.005507632776719831</v>
      </c>
      <c r="E3" s="93">
        <v>1.295913644452035</v>
      </c>
      <c r="F3" s="88" t="s">
        <v>382</v>
      </c>
      <c r="G3" s="88" t="b">
        <v>0</v>
      </c>
      <c r="H3" s="88" t="b">
        <v>0</v>
      </c>
      <c r="I3" s="88" t="b">
        <v>0</v>
      </c>
      <c r="J3" s="88" t="b">
        <v>0</v>
      </c>
      <c r="K3" s="88" t="b">
        <v>0</v>
      </c>
      <c r="L3" s="88" t="b">
        <v>0</v>
      </c>
    </row>
    <row r="4" spans="1:12" ht="15">
      <c r="A4" s="85" t="s">
        <v>341</v>
      </c>
      <c r="B4" s="88" t="s">
        <v>362</v>
      </c>
      <c r="C4" s="88">
        <v>20</v>
      </c>
      <c r="D4" s="93">
        <v>0.007495460715186575</v>
      </c>
      <c r="E4" s="93">
        <v>1.460423030957901</v>
      </c>
      <c r="F4" s="88" t="s">
        <v>382</v>
      </c>
      <c r="G4" s="88" t="b">
        <v>0</v>
      </c>
      <c r="H4" s="88" t="b">
        <v>0</v>
      </c>
      <c r="I4" s="88" t="b">
        <v>0</v>
      </c>
      <c r="J4" s="88" t="b">
        <v>0</v>
      </c>
      <c r="K4" s="88" t="b">
        <v>0</v>
      </c>
      <c r="L4" s="88" t="b">
        <v>0</v>
      </c>
    </row>
    <row r="5" spans="1:12" ht="15">
      <c r="A5" s="85" t="s">
        <v>876</v>
      </c>
      <c r="B5" s="88" t="s">
        <v>344</v>
      </c>
      <c r="C5" s="88">
        <v>20</v>
      </c>
      <c r="D5" s="93">
        <v>0.007495460715186575</v>
      </c>
      <c r="E5" s="93">
        <v>1.3078128677517427</v>
      </c>
      <c r="F5" s="88" t="s">
        <v>382</v>
      </c>
      <c r="G5" s="88" t="b">
        <v>0</v>
      </c>
      <c r="H5" s="88" t="b">
        <v>0</v>
      </c>
      <c r="I5" s="88" t="b">
        <v>0</v>
      </c>
      <c r="J5" s="88" t="b">
        <v>0</v>
      </c>
      <c r="K5" s="88" t="b">
        <v>0</v>
      </c>
      <c r="L5" s="88" t="b">
        <v>0</v>
      </c>
    </row>
    <row r="6" spans="1:12" ht="15">
      <c r="A6" s="85" t="s">
        <v>875</v>
      </c>
      <c r="B6" s="88" t="s">
        <v>874</v>
      </c>
      <c r="C6" s="88">
        <v>20</v>
      </c>
      <c r="D6" s="93">
        <v>0.007495460715186575</v>
      </c>
      <c r="E6" s="93">
        <v>1.0055781709493907</v>
      </c>
      <c r="F6" s="88" t="s">
        <v>382</v>
      </c>
      <c r="G6" s="88" t="b">
        <v>0</v>
      </c>
      <c r="H6" s="88" t="b">
        <v>0</v>
      </c>
      <c r="I6" s="88" t="b">
        <v>0</v>
      </c>
      <c r="J6" s="88" t="b">
        <v>0</v>
      </c>
      <c r="K6" s="88" t="b">
        <v>0</v>
      </c>
      <c r="L6" s="88" t="b">
        <v>0</v>
      </c>
    </row>
    <row r="7" spans="1:12" ht="15">
      <c r="A7" s="85" t="s">
        <v>877</v>
      </c>
      <c r="B7" s="88" t="s">
        <v>878</v>
      </c>
      <c r="C7" s="88">
        <v>19</v>
      </c>
      <c r="D7" s="93">
        <v>0.007488412700723415</v>
      </c>
      <c r="E7" s="93">
        <v>1.7614530266218822</v>
      </c>
      <c r="F7" s="88" t="s">
        <v>382</v>
      </c>
      <c r="G7" s="88" t="b">
        <v>0</v>
      </c>
      <c r="H7" s="88" t="b">
        <v>1</v>
      </c>
      <c r="I7" s="88" t="b">
        <v>0</v>
      </c>
      <c r="J7" s="88" t="b">
        <v>0</v>
      </c>
      <c r="K7" s="88" t="b">
        <v>1</v>
      </c>
      <c r="L7" s="88" t="b">
        <v>0</v>
      </c>
    </row>
    <row r="8" spans="1:12" ht="15">
      <c r="A8" s="85" t="s">
        <v>878</v>
      </c>
      <c r="B8" s="88" t="s">
        <v>879</v>
      </c>
      <c r="C8" s="88">
        <v>19</v>
      </c>
      <c r="D8" s="93">
        <v>0.007488412700723415</v>
      </c>
      <c r="E8" s="93">
        <v>1.7614530266218822</v>
      </c>
      <c r="F8" s="88" t="s">
        <v>382</v>
      </c>
      <c r="G8" s="88" t="b">
        <v>0</v>
      </c>
      <c r="H8" s="88" t="b">
        <v>1</v>
      </c>
      <c r="I8" s="88" t="b">
        <v>0</v>
      </c>
      <c r="J8" s="88" t="b">
        <v>0</v>
      </c>
      <c r="K8" s="88" t="b">
        <v>1</v>
      </c>
      <c r="L8" s="88" t="b">
        <v>0</v>
      </c>
    </row>
    <row r="9" spans="1:12" ht="15">
      <c r="A9" s="85" t="s">
        <v>879</v>
      </c>
      <c r="B9" s="88" t="s">
        <v>341</v>
      </c>
      <c r="C9" s="88">
        <v>19</v>
      </c>
      <c r="D9" s="93">
        <v>0.007488412700723415</v>
      </c>
      <c r="E9" s="93">
        <v>1.460423030957901</v>
      </c>
      <c r="F9" s="88" t="s">
        <v>382</v>
      </c>
      <c r="G9" s="88" t="b">
        <v>0</v>
      </c>
      <c r="H9" s="88" t="b">
        <v>1</v>
      </c>
      <c r="I9" s="88" t="b">
        <v>0</v>
      </c>
      <c r="J9" s="88" t="b">
        <v>0</v>
      </c>
      <c r="K9" s="88" t="b">
        <v>0</v>
      </c>
      <c r="L9" s="88" t="b">
        <v>0</v>
      </c>
    </row>
    <row r="10" spans="1:12" ht="15">
      <c r="A10" s="85" t="s">
        <v>362</v>
      </c>
      <c r="B10" s="88" t="s">
        <v>258</v>
      </c>
      <c r="C10" s="88">
        <v>19</v>
      </c>
      <c r="D10" s="93">
        <v>0.007488412700723415</v>
      </c>
      <c r="E10" s="93">
        <v>1.73917663191073</v>
      </c>
      <c r="F10" s="88" t="s">
        <v>382</v>
      </c>
      <c r="G10" s="88" t="b">
        <v>0</v>
      </c>
      <c r="H10" s="88" t="b">
        <v>0</v>
      </c>
      <c r="I10" s="88" t="b">
        <v>0</v>
      </c>
      <c r="J10" s="88" t="b">
        <v>0</v>
      </c>
      <c r="K10" s="88" t="b">
        <v>0</v>
      </c>
      <c r="L10" s="88" t="b">
        <v>0</v>
      </c>
    </row>
    <row r="11" spans="1:12" ht="15">
      <c r="A11" s="85" t="s">
        <v>258</v>
      </c>
      <c r="B11" s="88" t="s">
        <v>876</v>
      </c>
      <c r="C11" s="88">
        <v>19</v>
      </c>
      <c r="D11" s="93">
        <v>0.007488412700723415</v>
      </c>
      <c r="E11" s="93">
        <v>1.7169002371995778</v>
      </c>
      <c r="F11" s="88" t="s">
        <v>382</v>
      </c>
      <c r="G11" s="88" t="b">
        <v>0</v>
      </c>
      <c r="H11" s="88" t="b">
        <v>0</v>
      </c>
      <c r="I11" s="88" t="b">
        <v>0</v>
      </c>
      <c r="J11" s="88" t="b">
        <v>0</v>
      </c>
      <c r="K11" s="88" t="b">
        <v>0</v>
      </c>
      <c r="L11" s="88" t="b">
        <v>0</v>
      </c>
    </row>
    <row r="12" spans="1:12" ht="15">
      <c r="A12" s="85" t="s">
        <v>519</v>
      </c>
      <c r="B12" s="88" t="s">
        <v>880</v>
      </c>
      <c r="C12" s="88">
        <v>19</v>
      </c>
      <c r="D12" s="93">
        <v>0.007488412700723415</v>
      </c>
      <c r="E12" s="93">
        <v>1.4720049035077163</v>
      </c>
      <c r="F12" s="88" t="s">
        <v>382</v>
      </c>
      <c r="G12" s="88" t="b">
        <v>0</v>
      </c>
      <c r="H12" s="88" t="b">
        <v>0</v>
      </c>
      <c r="I12" s="88" t="b">
        <v>0</v>
      </c>
      <c r="J12" s="88" t="b">
        <v>0</v>
      </c>
      <c r="K12" s="88" t="b">
        <v>0</v>
      </c>
      <c r="L12" s="88" t="b">
        <v>0</v>
      </c>
    </row>
    <row r="13" spans="1:12" ht="15">
      <c r="A13" s="85" t="s">
        <v>880</v>
      </c>
      <c r="B13" s="88" t="s">
        <v>881</v>
      </c>
      <c r="C13" s="88">
        <v>19</v>
      </c>
      <c r="D13" s="93">
        <v>0.007488412700723415</v>
      </c>
      <c r="E13" s="93">
        <v>1.7614530266218822</v>
      </c>
      <c r="F13" s="88" t="s">
        <v>382</v>
      </c>
      <c r="G13" s="88" t="b">
        <v>0</v>
      </c>
      <c r="H13" s="88" t="b">
        <v>0</v>
      </c>
      <c r="I13" s="88" t="b">
        <v>0</v>
      </c>
      <c r="J13" s="88" t="b">
        <v>0</v>
      </c>
      <c r="K13" s="88" t="b">
        <v>1</v>
      </c>
      <c r="L13" s="88" t="b">
        <v>0</v>
      </c>
    </row>
    <row r="14" spans="1:12" ht="15">
      <c r="A14" s="85" t="s">
        <v>881</v>
      </c>
      <c r="B14" s="88" t="s">
        <v>353</v>
      </c>
      <c r="C14" s="88">
        <v>19</v>
      </c>
      <c r="D14" s="93">
        <v>0.007488412700723415</v>
      </c>
      <c r="E14" s="93">
        <v>1.7614530266218822</v>
      </c>
      <c r="F14" s="88" t="s">
        <v>382</v>
      </c>
      <c r="G14" s="88" t="b">
        <v>0</v>
      </c>
      <c r="H14" s="88" t="b">
        <v>1</v>
      </c>
      <c r="I14" s="88" t="b">
        <v>0</v>
      </c>
      <c r="J14" s="88" t="b">
        <v>0</v>
      </c>
      <c r="K14" s="88" t="b">
        <v>0</v>
      </c>
      <c r="L14" s="88" t="b">
        <v>0</v>
      </c>
    </row>
    <row r="15" spans="1:12" ht="15">
      <c r="A15" s="85" t="s">
        <v>353</v>
      </c>
      <c r="B15" s="88" t="s">
        <v>875</v>
      </c>
      <c r="C15" s="88">
        <v>19</v>
      </c>
      <c r="D15" s="93">
        <v>0.007488412700723415</v>
      </c>
      <c r="E15" s="93">
        <v>1.460423030957901</v>
      </c>
      <c r="F15" s="88" t="s">
        <v>382</v>
      </c>
      <c r="G15" s="88" t="b">
        <v>0</v>
      </c>
      <c r="H15" s="88" t="b">
        <v>0</v>
      </c>
      <c r="I15" s="88" t="b">
        <v>0</v>
      </c>
      <c r="J15" s="88" t="b">
        <v>0</v>
      </c>
      <c r="K15" s="88" t="b">
        <v>0</v>
      </c>
      <c r="L15" s="88" t="b">
        <v>0</v>
      </c>
    </row>
    <row r="16" spans="1:12" ht="15">
      <c r="A16" s="85" t="s">
        <v>538</v>
      </c>
      <c r="B16" s="88" t="s">
        <v>372</v>
      </c>
      <c r="C16" s="88">
        <v>19</v>
      </c>
      <c r="D16" s="93">
        <v>0.007488412700723415</v>
      </c>
      <c r="E16" s="93">
        <v>1.1425795362842697</v>
      </c>
      <c r="F16" s="88" t="s">
        <v>382</v>
      </c>
      <c r="G16" s="88" t="b">
        <v>0</v>
      </c>
      <c r="H16" s="88" t="b">
        <v>0</v>
      </c>
      <c r="I16" s="88" t="b">
        <v>0</v>
      </c>
      <c r="J16" s="88" t="b">
        <v>0</v>
      </c>
      <c r="K16" s="88" t="b">
        <v>0</v>
      </c>
      <c r="L16" s="88" t="b">
        <v>0</v>
      </c>
    </row>
    <row r="17" spans="1:12" ht="15">
      <c r="A17" s="85" t="s">
        <v>372</v>
      </c>
      <c r="B17" s="88" t="s">
        <v>538</v>
      </c>
      <c r="C17" s="88">
        <v>19</v>
      </c>
      <c r="D17" s="93">
        <v>0.007488412700723415</v>
      </c>
      <c r="E17" s="93">
        <v>1.1425795362842697</v>
      </c>
      <c r="F17" s="88" t="s">
        <v>382</v>
      </c>
      <c r="G17" s="88" t="b">
        <v>0</v>
      </c>
      <c r="H17" s="88" t="b">
        <v>0</v>
      </c>
      <c r="I17" s="88" t="b">
        <v>0</v>
      </c>
      <c r="J17" s="88" t="b">
        <v>0</v>
      </c>
      <c r="K17" s="88" t="b">
        <v>0</v>
      </c>
      <c r="L17" s="88" t="b">
        <v>0</v>
      </c>
    </row>
    <row r="18" spans="1:12" ht="15">
      <c r="A18" s="85" t="s">
        <v>538</v>
      </c>
      <c r="B18" s="88" t="s">
        <v>356</v>
      </c>
      <c r="C18" s="88">
        <v>19</v>
      </c>
      <c r="D18" s="93">
        <v>0.007488412700723415</v>
      </c>
      <c r="E18" s="93">
        <v>0.6889393774141301</v>
      </c>
      <c r="F18" s="88" t="s">
        <v>382</v>
      </c>
      <c r="G18" s="88" t="b">
        <v>0</v>
      </c>
      <c r="H18" s="88" t="b">
        <v>0</v>
      </c>
      <c r="I18" s="88" t="b">
        <v>0</v>
      </c>
      <c r="J18" s="88" t="b">
        <v>0</v>
      </c>
      <c r="K18" s="88" t="b">
        <v>0</v>
      </c>
      <c r="L18" s="88" t="b">
        <v>0</v>
      </c>
    </row>
    <row r="19" spans="1:12" ht="15">
      <c r="A19" s="85" t="s">
        <v>356</v>
      </c>
      <c r="B19" s="88" t="s">
        <v>347</v>
      </c>
      <c r="C19" s="88">
        <v>19</v>
      </c>
      <c r="D19" s="93">
        <v>0.007488412700723415</v>
      </c>
      <c r="E19" s="93">
        <v>1.4720049035077163</v>
      </c>
      <c r="F19" s="88" t="s">
        <v>382</v>
      </c>
      <c r="G19" s="88" t="b">
        <v>0</v>
      </c>
      <c r="H19" s="88" t="b">
        <v>0</v>
      </c>
      <c r="I19" s="88" t="b">
        <v>0</v>
      </c>
      <c r="J19" s="88" t="b">
        <v>0</v>
      </c>
      <c r="K19" s="88" t="b">
        <v>0</v>
      </c>
      <c r="L19" s="88" t="b">
        <v>0</v>
      </c>
    </row>
    <row r="20" spans="1:12" ht="15">
      <c r="A20" s="85" t="s">
        <v>347</v>
      </c>
      <c r="B20" s="88" t="s">
        <v>366</v>
      </c>
      <c r="C20" s="88">
        <v>19</v>
      </c>
      <c r="D20" s="93">
        <v>0.007488412700723415</v>
      </c>
      <c r="E20" s="93">
        <v>1.7614530266218822</v>
      </c>
      <c r="F20" s="88" t="s">
        <v>382</v>
      </c>
      <c r="G20" s="88" t="b">
        <v>0</v>
      </c>
      <c r="H20" s="88" t="b">
        <v>0</v>
      </c>
      <c r="I20" s="88" t="b">
        <v>0</v>
      </c>
      <c r="J20" s="88" t="b">
        <v>0</v>
      </c>
      <c r="K20" s="88" t="b">
        <v>0</v>
      </c>
      <c r="L20" s="88" t="b">
        <v>0</v>
      </c>
    </row>
    <row r="21" spans="1:12" ht="15">
      <c r="A21" s="85" t="s">
        <v>366</v>
      </c>
      <c r="B21" s="88" t="s">
        <v>359</v>
      </c>
      <c r="C21" s="88">
        <v>19</v>
      </c>
      <c r="D21" s="93">
        <v>0.007488412700723415</v>
      </c>
      <c r="E21" s="93">
        <v>1.7614530266218822</v>
      </c>
      <c r="F21" s="88" t="s">
        <v>382</v>
      </c>
      <c r="G21" s="88" t="b">
        <v>0</v>
      </c>
      <c r="H21" s="88" t="b">
        <v>0</v>
      </c>
      <c r="I21" s="88" t="b">
        <v>0</v>
      </c>
      <c r="J21" s="88" t="b">
        <v>0</v>
      </c>
      <c r="K21" s="88" t="b">
        <v>0</v>
      </c>
      <c r="L21" s="88" t="b">
        <v>0</v>
      </c>
    </row>
    <row r="22" spans="1:12" ht="15">
      <c r="A22" s="85" t="s">
        <v>359</v>
      </c>
      <c r="B22" s="88" t="s">
        <v>882</v>
      </c>
      <c r="C22" s="88">
        <v>19</v>
      </c>
      <c r="D22" s="93">
        <v>0.007488412700723415</v>
      </c>
      <c r="E22" s="93">
        <v>1.7614530266218822</v>
      </c>
      <c r="F22" s="88" t="s">
        <v>382</v>
      </c>
      <c r="G22" s="88" t="b">
        <v>0</v>
      </c>
      <c r="H22" s="88" t="b">
        <v>0</v>
      </c>
      <c r="I22" s="88" t="b">
        <v>0</v>
      </c>
      <c r="J22" s="88" t="b">
        <v>0</v>
      </c>
      <c r="K22" s="88" t="b">
        <v>0</v>
      </c>
      <c r="L22" s="88" t="b">
        <v>0</v>
      </c>
    </row>
    <row r="23" spans="1:12" ht="15">
      <c r="A23" s="85" t="s">
        <v>882</v>
      </c>
      <c r="B23" s="88" t="s">
        <v>351</v>
      </c>
      <c r="C23" s="88">
        <v>19</v>
      </c>
      <c r="D23" s="93">
        <v>0.007488412700723415</v>
      </c>
      <c r="E23" s="93">
        <v>1.7614530266218822</v>
      </c>
      <c r="F23" s="88" t="s">
        <v>382</v>
      </c>
      <c r="G23" s="88" t="b">
        <v>0</v>
      </c>
      <c r="H23" s="88" t="b">
        <v>0</v>
      </c>
      <c r="I23" s="88" t="b">
        <v>0</v>
      </c>
      <c r="J23" s="88" t="b">
        <v>0</v>
      </c>
      <c r="K23" s="88" t="b">
        <v>0</v>
      </c>
      <c r="L23" s="88" t="b">
        <v>0</v>
      </c>
    </row>
    <row r="24" spans="1:12" ht="15">
      <c r="A24" s="85" t="s">
        <v>351</v>
      </c>
      <c r="B24" s="88" t="s">
        <v>538</v>
      </c>
      <c r="C24" s="88">
        <v>19</v>
      </c>
      <c r="D24" s="93">
        <v>0.007488412700723415</v>
      </c>
      <c r="E24" s="93">
        <v>1.1425795362842697</v>
      </c>
      <c r="F24" s="88" t="s">
        <v>382</v>
      </c>
      <c r="G24" s="88" t="b">
        <v>0</v>
      </c>
      <c r="H24" s="88" t="b">
        <v>0</v>
      </c>
      <c r="I24" s="88" t="b">
        <v>0</v>
      </c>
      <c r="J24" s="88" t="b">
        <v>0</v>
      </c>
      <c r="K24" s="88" t="b">
        <v>0</v>
      </c>
      <c r="L24" s="88" t="b">
        <v>0</v>
      </c>
    </row>
    <row r="25" spans="1:12" ht="15">
      <c r="A25" s="85" t="s">
        <v>538</v>
      </c>
      <c r="B25" s="88" t="s">
        <v>883</v>
      </c>
      <c r="C25" s="88">
        <v>19</v>
      </c>
      <c r="D25" s="93">
        <v>0.007488412700723415</v>
      </c>
      <c r="E25" s="93">
        <v>1.1425795362842697</v>
      </c>
      <c r="F25" s="88" t="s">
        <v>382</v>
      </c>
      <c r="G25" s="88" t="b">
        <v>0</v>
      </c>
      <c r="H25" s="88" t="b">
        <v>0</v>
      </c>
      <c r="I25" s="88" t="b">
        <v>0</v>
      </c>
      <c r="J25" s="88" t="b">
        <v>0</v>
      </c>
      <c r="K25" s="88" t="b">
        <v>0</v>
      </c>
      <c r="L25" s="88" t="b">
        <v>0</v>
      </c>
    </row>
    <row r="26" spans="1:12" ht="15">
      <c r="A26" s="85" t="s">
        <v>883</v>
      </c>
      <c r="B26" s="88" t="s">
        <v>874</v>
      </c>
      <c r="C26" s="88">
        <v>19</v>
      </c>
      <c r="D26" s="93">
        <v>0.007488412700723415</v>
      </c>
      <c r="E26" s="93">
        <v>1.2843317719022198</v>
      </c>
      <c r="F26" s="88" t="s">
        <v>382</v>
      </c>
      <c r="G26" s="88" t="b">
        <v>0</v>
      </c>
      <c r="H26" s="88" t="b">
        <v>0</v>
      </c>
      <c r="I26" s="88" t="b">
        <v>0</v>
      </c>
      <c r="J26" s="88" t="b">
        <v>0</v>
      </c>
      <c r="K26" s="88" t="b">
        <v>0</v>
      </c>
      <c r="L26" s="88" t="b">
        <v>0</v>
      </c>
    </row>
    <row r="27" spans="1:12" ht="15">
      <c r="A27" s="85" t="s">
        <v>874</v>
      </c>
      <c r="B27" s="88" t="s">
        <v>369</v>
      </c>
      <c r="C27" s="88">
        <v>19</v>
      </c>
      <c r="D27" s="93">
        <v>0.007488412700723415</v>
      </c>
      <c r="E27" s="93">
        <v>1.1828741311434428</v>
      </c>
      <c r="F27" s="88" t="s">
        <v>382</v>
      </c>
      <c r="G27" s="88" t="b">
        <v>0</v>
      </c>
      <c r="H27" s="88" t="b">
        <v>0</v>
      </c>
      <c r="I27" s="88" t="b">
        <v>0</v>
      </c>
      <c r="J27" s="88" t="b">
        <v>0</v>
      </c>
      <c r="K27" s="88" t="b">
        <v>0</v>
      </c>
      <c r="L27" s="88" t="b">
        <v>0</v>
      </c>
    </row>
    <row r="28" spans="1:12" ht="15">
      <c r="A28" s="85" t="s">
        <v>884</v>
      </c>
      <c r="B28" s="88" t="s">
        <v>367</v>
      </c>
      <c r="C28" s="88">
        <v>19</v>
      </c>
      <c r="D28" s="93">
        <v>0.007488412700723415</v>
      </c>
      <c r="E28" s="93">
        <v>1.7614530266218822</v>
      </c>
      <c r="F28" s="88" t="s">
        <v>382</v>
      </c>
      <c r="G28" s="88" t="b">
        <v>0</v>
      </c>
      <c r="H28" s="88" t="b">
        <v>0</v>
      </c>
      <c r="I28" s="88" t="b">
        <v>0</v>
      </c>
      <c r="J28" s="88" t="b">
        <v>0</v>
      </c>
      <c r="K28" s="88" t="b">
        <v>0</v>
      </c>
      <c r="L28" s="88" t="b">
        <v>0</v>
      </c>
    </row>
    <row r="29" spans="1:12" ht="15">
      <c r="A29" s="85" t="s">
        <v>367</v>
      </c>
      <c r="B29" s="88" t="s">
        <v>358</v>
      </c>
      <c r="C29" s="88">
        <v>18</v>
      </c>
      <c r="D29" s="93">
        <v>0.007461496598569873</v>
      </c>
      <c r="E29" s="93">
        <v>1.7614530266218822</v>
      </c>
      <c r="F29" s="88" t="s">
        <v>382</v>
      </c>
      <c r="G29" s="88" t="b">
        <v>0</v>
      </c>
      <c r="H29" s="88" t="b">
        <v>0</v>
      </c>
      <c r="I29" s="88" t="b">
        <v>0</v>
      </c>
      <c r="J29" s="88" t="b">
        <v>0</v>
      </c>
      <c r="K29" s="88" t="b">
        <v>0</v>
      </c>
      <c r="L29" s="88" t="b">
        <v>0</v>
      </c>
    </row>
    <row r="30" spans="1:12" ht="15">
      <c r="A30" s="85" t="s">
        <v>352</v>
      </c>
      <c r="B30" s="88" t="s">
        <v>373</v>
      </c>
      <c r="C30" s="88">
        <v>17</v>
      </c>
      <c r="D30" s="93">
        <v>0.007413607518296964</v>
      </c>
      <c r="E30" s="93">
        <v>1.784934122471405</v>
      </c>
      <c r="F30" s="88" t="s">
        <v>382</v>
      </c>
      <c r="G30" s="88" t="b">
        <v>0</v>
      </c>
      <c r="H30" s="88" t="b">
        <v>1</v>
      </c>
      <c r="I30" s="88" t="b">
        <v>0</v>
      </c>
      <c r="J30" s="88" t="b">
        <v>0</v>
      </c>
      <c r="K30" s="88" t="b">
        <v>0</v>
      </c>
      <c r="L30" s="88" t="b">
        <v>0</v>
      </c>
    </row>
    <row r="31" spans="1:12" ht="15">
      <c r="A31" s="85" t="s">
        <v>373</v>
      </c>
      <c r="B31" s="88" t="s">
        <v>885</v>
      </c>
      <c r="C31" s="88">
        <v>17</v>
      </c>
      <c r="D31" s="93">
        <v>0.007413607518296964</v>
      </c>
      <c r="E31" s="93">
        <v>1.784934122471405</v>
      </c>
      <c r="F31" s="88" t="s">
        <v>382</v>
      </c>
      <c r="G31" s="88" t="b">
        <v>0</v>
      </c>
      <c r="H31" s="88" t="b">
        <v>0</v>
      </c>
      <c r="I31" s="88" t="b">
        <v>0</v>
      </c>
      <c r="J31" s="88" t="b">
        <v>0</v>
      </c>
      <c r="K31" s="88" t="b">
        <v>0</v>
      </c>
      <c r="L31" s="88" t="b">
        <v>0</v>
      </c>
    </row>
    <row r="32" spans="1:12" ht="15">
      <c r="A32" s="85" t="s">
        <v>885</v>
      </c>
      <c r="B32" s="88" t="s">
        <v>886</v>
      </c>
      <c r="C32" s="88">
        <v>17</v>
      </c>
      <c r="D32" s="93">
        <v>0.007413607518296964</v>
      </c>
      <c r="E32" s="93">
        <v>1.8097577061964372</v>
      </c>
      <c r="F32" s="88" t="s">
        <v>382</v>
      </c>
      <c r="G32" s="88" t="b">
        <v>0</v>
      </c>
      <c r="H32" s="88" t="b">
        <v>0</v>
      </c>
      <c r="I32" s="88" t="b">
        <v>0</v>
      </c>
      <c r="J32" s="88" t="b">
        <v>0</v>
      </c>
      <c r="K32" s="88" t="b">
        <v>0</v>
      </c>
      <c r="L32" s="88" t="b">
        <v>0</v>
      </c>
    </row>
    <row r="33" spans="1:12" ht="15">
      <c r="A33" s="85" t="s">
        <v>886</v>
      </c>
      <c r="B33" s="88" t="s">
        <v>875</v>
      </c>
      <c r="C33" s="88">
        <v>17</v>
      </c>
      <c r="D33" s="93">
        <v>0.007413607518296964</v>
      </c>
      <c r="E33" s="93">
        <v>1.460423030957901</v>
      </c>
      <c r="F33" s="88" t="s">
        <v>382</v>
      </c>
      <c r="G33" s="88" t="b">
        <v>0</v>
      </c>
      <c r="H33" s="88" t="b">
        <v>0</v>
      </c>
      <c r="I33" s="88" t="b">
        <v>0</v>
      </c>
      <c r="J33" s="88" t="b">
        <v>0</v>
      </c>
      <c r="K33" s="88" t="b">
        <v>0</v>
      </c>
      <c r="L33" s="88" t="b">
        <v>0</v>
      </c>
    </row>
    <row r="34" spans="1:12" ht="15">
      <c r="A34" s="85" t="s">
        <v>875</v>
      </c>
      <c r="B34" s="88" t="s">
        <v>887</v>
      </c>
      <c r="C34" s="88">
        <v>17</v>
      </c>
      <c r="D34" s="93">
        <v>0.007413607518296964</v>
      </c>
      <c r="E34" s="93">
        <v>1.460423030957901</v>
      </c>
      <c r="F34" s="88" t="s">
        <v>382</v>
      </c>
      <c r="G34" s="88" t="b">
        <v>0</v>
      </c>
      <c r="H34" s="88" t="b">
        <v>0</v>
      </c>
      <c r="I34" s="88" t="b">
        <v>0</v>
      </c>
      <c r="J34" s="88" t="b">
        <v>0</v>
      </c>
      <c r="K34" s="88" t="b">
        <v>0</v>
      </c>
      <c r="L34" s="88" t="b">
        <v>0</v>
      </c>
    </row>
    <row r="35" spans="1:12" ht="15">
      <c r="A35" s="85" t="s">
        <v>887</v>
      </c>
      <c r="B35" s="88" t="s">
        <v>349</v>
      </c>
      <c r="C35" s="88">
        <v>17</v>
      </c>
      <c r="D35" s="93">
        <v>0.007413607518296964</v>
      </c>
      <c r="E35" s="93">
        <v>1.784934122471405</v>
      </c>
      <c r="F35" s="88" t="s">
        <v>382</v>
      </c>
      <c r="G35" s="88" t="b">
        <v>0</v>
      </c>
      <c r="H35" s="88" t="b">
        <v>0</v>
      </c>
      <c r="I35" s="88" t="b">
        <v>0</v>
      </c>
      <c r="J35" s="88" t="b">
        <v>0</v>
      </c>
      <c r="K35" s="88" t="b">
        <v>0</v>
      </c>
      <c r="L35" s="88" t="b">
        <v>0</v>
      </c>
    </row>
    <row r="36" spans="1:12" ht="15">
      <c r="A36" s="85" t="s">
        <v>349</v>
      </c>
      <c r="B36" s="88" t="s">
        <v>536</v>
      </c>
      <c r="C36" s="88">
        <v>17</v>
      </c>
      <c r="D36" s="93">
        <v>0.007413607518296964</v>
      </c>
      <c r="E36" s="93">
        <v>1.73662944289685</v>
      </c>
      <c r="F36" s="88" t="s">
        <v>382</v>
      </c>
      <c r="G36" s="88" t="b">
        <v>0</v>
      </c>
      <c r="H36" s="88" t="b">
        <v>0</v>
      </c>
      <c r="I36" s="88" t="b">
        <v>0</v>
      </c>
      <c r="J36" s="88" t="b">
        <v>0</v>
      </c>
      <c r="K36" s="88" t="b">
        <v>0</v>
      </c>
      <c r="L36" s="88" t="b">
        <v>0</v>
      </c>
    </row>
    <row r="37" spans="1:12" ht="15">
      <c r="A37" s="85" t="s">
        <v>536</v>
      </c>
      <c r="B37" s="88" t="s">
        <v>344</v>
      </c>
      <c r="C37" s="88">
        <v>17</v>
      </c>
      <c r="D37" s="93">
        <v>0.007413607518296964</v>
      </c>
      <c r="E37" s="93">
        <v>1.2595081881771875</v>
      </c>
      <c r="F37" s="88" t="s">
        <v>382</v>
      </c>
      <c r="G37" s="88" t="b">
        <v>0</v>
      </c>
      <c r="H37" s="88" t="b">
        <v>0</v>
      </c>
      <c r="I37" s="88" t="b">
        <v>0</v>
      </c>
      <c r="J37" s="88" t="b">
        <v>0</v>
      </c>
      <c r="K37" s="88" t="b">
        <v>0</v>
      </c>
      <c r="L37" s="88" t="b">
        <v>0</v>
      </c>
    </row>
    <row r="38" spans="1:12" ht="15">
      <c r="A38" s="85" t="s">
        <v>519</v>
      </c>
      <c r="B38" s="88" t="s">
        <v>356</v>
      </c>
      <c r="C38" s="88">
        <v>17</v>
      </c>
      <c r="D38" s="93">
        <v>0.007413607518296964</v>
      </c>
      <c r="E38" s="93">
        <v>0.9700600650630216</v>
      </c>
      <c r="F38" s="88" t="s">
        <v>382</v>
      </c>
      <c r="G38" s="88" t="b">
        <v>0</v>
      </c>
      <c r="H38" s="88" t="b">
        <v>0</v>
      </c>
      <c r="I38" s="88" t="b">
        <v>0</v>
      </c>
      <c r="J38" s="88" t="b">
        <v>0</v>
      </c>
      <c r="K38" s="88" t="b">
        <v>0</v>
      </c>
      <c r="L38" s="88" t="b">
        <v>0</v>
      </c>
    </row>
    <row r="39" spans="1:12" ht="15">
      <c r="A39" s="85" t="s">
        <v>356</v>
      </c>
      <c r="B39" s="88" t="s">
        <v>357</v>
      </c>
      <c r="C39" s="88">
        <v>17</v>
      </c>
      <c r="D39" s="93">
        <v>0.007413607518296964</v>
      </c>
      <c r="E39" s="93">
        <v>1.472004903507716</v>
      </c>
      <c r="F39" s="88" t="s">
        <v>382</v>
      </c>
      <c r="G39" s="88" t="b">
        <v>0</v>
      </c>
      <c r="H39" s="88" t="b">
        <v>0</v>
      </c>
      <c r="I39" s="88" t="b">
        <v>0</v>
      </c>
      <c r="J39" s="88" t="b">
        <v>0</v>
      </c>
      <c r="K39" s="88" t="b">
        <v>0</v>
      </c>
      <c r="L39" s="88" t="b">
        <v>0</v>
      </c>
    </row>
    <row r="40" spans="1:12" ht="15">
      <c r="A40" s="85" t="s">
        <v>357</v>
      </c>
      <c r="B40" s="88" t="s">
        <v>365</v>
      </c>
      <c r="C40" s="88">
        <v>17</v>
      </c>
      <c r="D40" s="93">
        <v>0.007413607518296964</v>
      </c>
      <c r="E40" s="93">
        <v>1.784934122471405</v>
      </c>
      <c r="F40" s="88" t="s">
        <v>382</v>
      </c>
      <c r="G40" s="88" t="b">
        <v>0</v>
      </c>
      <c r="H40" s="88" t="b">
        <v>0</v>
      </c>
      <c r="I40" s="88" t="b">
        <v>0</v>
      </c>
      <c r="J40" s="88" t="b">
        <v>0</v>
      </c>
      <c r="K40" s="88" t="b">
        <v>0</v>
      </c>
      <c r="L40" s="88" t="b">
        <v>0</v>
      </c>
    </row>
    <row r="41" spans="1:12" ht="15">
      <c r="A41" s="85" t="s">
        <v>365</v>
      </c>
      <c r="B41" s="88" t="s">
        <v>874</v>
      </c>
      <c r="C41" s="88">
        <v>17</v>
      </c>
      <c r="D41" s="93">
        <v>0.007413607518296964</v>
      </c>
      <c r="E41" s="93">
        <v>1.2595081881771877</v>
      </c>
      <c r="F41" s="88" t="s">
        <v>382</v>
      </c>
      <c r="G41" s="88" t="b">
        <v>0</v>
      </c>
      <c r="H41" s="88" t="b">
        <v>0</v>
      </c>
      <c r="I41" s="88" t="b">
        <v>0</v>
      </c>
      <c r="J41" s="88" t="b">
        <v>0</v>
      </c>
      <c r="K41" s="88" t="b">
        <v>0</v>
      </c>
      <c r="L41" s="88" t="b">
        <v>0</v>
      </c>
    </row>
    <row r="42" spans="1:12" ht="15">
      <c r="A42" s="85" t="s">
        <v>538</v>
      </c>
      <c r="B42" s="88" t="s">
        <v>346</v>
      </c>
      <c r="C42" s="88">
        <v>17</v>
      </c>
      <c r="D42" s="93">
        <v>0.007413607518296964</v>
      </c>
      <c r="E42" s="93">
        <v>1.1425795362842697</v>
      </c>
      <c r="F42" s="88" t="s">
        <v>382</v>
      </c>
      <c r="G42" s="88" t="b">
        <v>0</v>
      </c>
      <c r="H42" s="88" t="b">
        <v>0</v>
      </c>
      <c r="I42" s="88" t="b">
        <v>0</v>
      </c>
      <c r="J42" s="88" t="b">
        <v>0</v>
      </c>
      <c r="K42" s="88" t="b">
        <v>0</v>
      </c>
      <c r="L42" s="88" t="b">
        <v>0</v>
      </c>
    </row>
    <row r="43" spans="1:12" ht="15">
      <c r="A43" s="85" t="s">
        <v>346</v>
      </c>
      <c r="B43" s="88" t="s">
        <v>363</v>
      </c>
      <c r="C43" s="88">
        <v>17</v>
      </c>
      <c r="D43" s="93">
        <v>0.007413607518296964</v>
      </c>
      <c r="E43" s="93">
        <v>1.8097577061964372</v>
      </c>
      <c r="F43" s="88" t="s">
        <v>382</v>
      </c>
      <c r="G43" s="88" t="b">
        <v>0</v>
      </c>
      <c r="H43" s="88" t="b">
        <v>0</v>
      </c>
      <c r="I43" s="88" t="b">
        <v>0</v>
      </c>
      <c r="J43" s="88" t="b">
        <v>0</v>
      </c>
      <c r="K43" s="88" t="b">
        <v>0</v>
      </c>
      <c r="L43" s="88" t="b">
        <v>0</v>
      </c>
    </row>
    <row r="44" spans="1:12" ht="15">
      <c r="A44" s="85" t="s">
        <v>363</v>
      </c>
      <c r="B44" s="88" t="s">
        <v>344</v>
      </c>
      <c r="C44" s="88">
        <v>17</v>
      </c>
      <c r="D44" s="93">
        <v>0.007413607518296964</v>
      </c>
      <c r="E44" s="93">
        <v>1.3078128677517427</v>
      </c>
      <c r="F44" s="88" t="s">
        <v>382</v>
      </c>
      <c r="G44" s="88" t="b">
        <v>0</v>
      </c>
      <c r="H44" s="88" t="b">
        <v>0</v>
      </c>
      <c r="I44" s="88" t="b">
        <v>0</v>
      </c>
      <c r="J44" s="88" t="b">
        <v>0</v>
      </c>
      <c r="K44" s="88" t="b">
        <v>0</v>
      </c>
      <c r="L44" s="88" t="b">
        <v>0</v>
      </c>
    </row>
    <row r="45" spans="1:12" ht="15">
      <c r="A45" s="85" t="s">
        <v>344</v>
      </c>
      <c r="B45" s="88" t="s">
        <v>341</v>
      </c>
      <c r="C45" s="88">
        <v>17</v>
      </c>
      <c r="D45" s="93">
        <v>0.007413607518296964</v>
      </c>
      <c r="E45" s="93">
        <v>0.9584781925132063</v>
      </c>
      <c r="F45" s="88" t="s">
        <v>382</v>
      </c>
      <c r="G45" s="88" t="b">
        <v>0</v>
      </c>
      <c r="H45" s="88" t="b">
        <v>0</v>
      </c>
      <c r="I45" s="88" t="b">
        <v>0</v>
      </c>
      <c r="J45" s="88" t="b">
        <v>0</v>
      </c>
      <c r="K45" s="88" t="b">
        <v>0</v>
      </c>
      <c r="L45" s="88" t="b">
        <v>0</v>
      </c>
    </row>
    <row r="46" spans="1:12" ht="15">
      <c r="A46" s="85" t="s">
        <v>341</v>
      </c>
      <c r="B46" s="88" t="s">
        <v>884</v>
      </c>
      <c r="C46" s="88">
        <v>17</v>
      </c>
      <c r="D46" s="93">
        <v>0.007413607518296964</v>
      </c>
      <c r="E46" s="93">
        <v>1.412118351383346</v>
      </c>
      <c r="F46" s="88" t="s">
        <v>382</v>
      </c>
      <c r="G46" s="88" t="b">
        <v>0</v>
      </c>
      <c r="H46" s="88" t="b">
        <v>0</v>
      </c>
      <c r="I46" s="88" t="b">
        <v>0</v>
      </c>
      <c r="J46" s="88" t="b">
        <v>0</v>
      </c>
      <c r="K46" s="88" t="b">
        <v>0</v>
      </c>
      <c r="L46" s="88" t="b">
        <v>0</v>
      </c>
    </row>
    <row r="47" spans="1:12" ht="15">
      <c r="A47" s="85" t="s">
        <v>358</v>
      </c>
      <c r="B47" s="88" t="s">
        <v>888</v>
      </c>
      <c r="C47" s="88">
        <v>17</v>
      </c>
      <c r="D47" s="93">
        <v>0.007413607518296964</v>
      </c>
      <c r="E47" s="93">
        <v>1.784934122471405</v>
      </c>
      <c r="F47" s="88" t="s">
        <v>382</v>
      </c>
      <c r="G47" s="88" t="b">
        <v>0</v>
      </c>
      <c r="H47" s="88" t="b">
        <v>0</v>
      </c>
      <c r="I47" s="88" t="b">
        <v>0</v>
      </c>
      <c r="J47" s="88" t="b">
        <v>0</v>
      </c>
      <c r="K47" s="88" t="b">
        <v>1</v>
      </c>
      <c r="L47" s="88" t="b">
        <v>0</v>
      </c>
    </row>
    <row r="48" spans="1:12" ht="15">
      <c r="A48" s="85" t="s">
        <v>888</v>
      </c>
      <c r="B48" s="88" t="s">
        <v>356</v>
      </c>
      <c r="C48" s="88">
        <v>17</v>
      </c>
      <c r="D48" s="93">
        <v>0.007413607518296964</v>
      </c>
      <c r="E48" s="93">
        <v>1.3078128677517427</v>
      </c>
      <c r="F48" s="88" t="s">
        <v>382</v>
      </c>
      <c r="G48" s="88" t="b">
        <v>0</v>
      </c>
      <c r="H48" s="88" t="b">
        <v>1</v>
      </c>
      <c r="I48" s="88" t="b">
        <v>0</v>
      </c>
      <c r="J48" s="88" t="b">
        <v>0</v>
      </c>
      <c r="K48" s="88" t="b">
        <v>0</v>
      </c>
      <c r="L48" s="88" t="b">
        <v>0</v>
      </c>
    </row>
    <row r="49" spans="1:12" ht="15">
      <c r="A49" s="85" t="s">
        <v>890</v>
      </c>
      <c r="B49" s="88" t="s">
        <v>891</v>
      </c>
      <c r="C49" s="88">
        <v>5</v>
      </c>
      <c r="D49" s="93">
        <v>0.004489243073357731</v>
      </c>
      <c r="E49" s="93">
        <v>2.3412366232386925</v>
      </c>
      <c r="F49" s="88" t="s">
        <v>382</v>
      </c>
      <c r="G49" s="88" t="b">
        <v>0</v>
      </c>
      <c r="H49" s="88" t="b">
        <v>0</v>
      </c>
      <c r="I49" s="88" t="b">
        <v>0</v>
      </c>
      <c r="J49" s="88" t="b">
        <v>0</v>
      </c>
      <c r="K49" s="88" t="b">
        <v>0</v>
      </c>
      <c r="L49" s="88" t="b">
        <v>0</v>
      </c>
    </row>
    <row r="50" spans="1:12" ht="15">
      <c r="A50" s="85" t="s">
        <v>537</v>
      </c>
      <c r="B50" s="88" t="s">
        <v>892</v>
      </c>
      <c r="C50" s="88">
        <v>5</v>
      </c>
      <c r="D50" s="93">
        <v>0.004489243073357731</v>
      </c>
      <c r="E50" s="93">
        <v>2.2620553771910674</v>
      </c>
      <c r="F50" s="88" t="s">
        <v>382</v>
      </c>
      <c r="G50" s="88" t="b">
        <v>0</v>
      </c>
      <c r="H50" s="88" t="b">
        <v>0</v>
      </c>
      <c r="I50" s="88" t="b">
        <v>0</v>
      </c>
      <c r="J50" s="88" t="b">
        <v>0</v>
      </c>
      <c r="K50" s="88" t="b">
        <v>0</v>
      </c>
      <c r="L50" s="88" t="b">
        <v>0</v>
      </c>
    </row>
    <row r="51" spans="1:12" ht="15">
      <c r="A51" s="85" t="s">
        <v>559</v>
      </c>
      <c r="B51" s="88" t="s">
        <v>889</v>
      </c>
      <c r="C51" s="88">
        <v>4</v>
      </c>
      <c r="D51" s="93">
        <v>0.003928179907888813</v>
      </c>
      <c r="E51" s="93">
        <v>1.9432966145666548</v>
      </c>
      <c r="F51" s="88" t="s">
        <v>382</v>
      </c>
      <c r="G51" s="88" t="b">
        <v>0</v>
      </c>
      <c r="H51" s="88" t="b">
        <v>0</v>
      </c>
      <c r="I51" s="88" t="b">
        <v>0</v>
      </c>
      <c r="J51" s="88" t="b">
        <v>0</v>
      </c>
      <c r="K51" s="88" t="b">
        <v>1</v>
      </c>
      <c r="L51" s="88" t="b">
        <v>0</v>
      </c>
    </row>
    <row r="52" spans="1:12" ht="15">
      <c r="A52" s="85" t="s">
        <v>889</v>
      </c>
      <c r="B52" s="88" t="s">
        <v>890</v>
      </c>
      <c r="C52" s="88">
        <v>4</v>
      </c>
      <c r="D52" s="93">
        <v>0.003928179907888813</v>
      </c>
      <c r="E52" s="93">
        <v>2.244326610230636</v>
      </c>
      <c r="F52" s="88" t="s">
        <v>382</v>
      </c>
      <c r="G52" s="88" t="b">
        <v>0</v>
      </c>
      <c r="H52" s="88" t="b">
        <v>1</v>
      </c>
      <c r="I52" s="88" t="b">
        <v>0</v>
      </c>
      <c r="J52" s="88" t="b">
        <v>0</v>
      </c>
      <c r="K52" s="88" t="b">
        <v>0</v>
      </c>
      <c r="L52" s="88" t="b">
        <v>0</v>
      </c>
    </row>
    <row r="53" spans="1:12" ht="15">
      <c r="A53" s="85" t="s">
        <v>891</v>
      </c>
      <c r="B53" s="88" t="s">
        <v>368</v>
      </c>
      <c r="C53" s="88">
        <v>4</v>
      </c>
      <c r="D53" s="93">
        <v>0.003928179907888813</v>
      </c>
      <c r="E53" s="93">
        <v>2.3412366232386925</v>
      </c>
      <c r="F53" s="88" t="s">
        <v>382</v>
      </c>
      <c r="G53" s="88" t="b">
        <v>0</v>
      </c>
      <c r="H53" s="88" t="b">
        <v>0</v>
      </c>
      <c r="I53" s="88" t="b">
        <v>0</v>
      </c>
      <c r="J53" s="88" t="b">
        <v>0</v>
      </c>
      <c r="K53" s="88" t="b">
        <v>0</v>
      </c>
      <c r="L53" s="88" t="b">
        <v>0</v>
      </c>
    </row>
    <row r="54" spans="1:12" ht="15">
      <c r="A54" s="85" t="s">
        <v>368</v>
      </c>
      <c r="B54" s="88" t="s">
        <v>375</v>
      </c>
      <c r="C54" s="88">
        <v>4</v>
      </c>
      <c r="D54" s="93">
        <v>0.003928179907888813</v>
      </c>
      <c r="E54" s="93">
        <v>2.4381466362467488</v>
      </c>
      <c r="F54" s="88" t="s">
        <v>382</v>
      </c>
      <c r="G54" s="88" t="b">
        <v>0</v>
      </c>
      <c r="H54" s="88" t="b">
        <v>0</v>
      </c>
      <c r="I54" s="88" t="b">
        <v>0</v>
      </c>
      <c r="J54" s="88" t="b">
        <v>0</v>
      </c>
      <c r="K54" s="88" t="b">
        <v>0</v>
      </c>
      <c r="L54" s="88" t="b">
        <v>0</v>
      </c>
    </row>
    <row r="55" spans="1:12" ht="15">
      <c r="A55" s="85" t="s">
        <v>375</v>
      </c>
      <c r="B55" s="88" t="s">
        <v>537</v>
      </c>
      <c r="C55" s="88">
        <v>4</v>
      </c>
      <c r="D55" s="93">
        <v>0.003928179907888813</v>
      </c>
      <c r="E55" s="93">
        <v>1.9262632752678743</v>
      </c>
      <c r="F55" s="88" t="s">
        <v>382</v>
      </c>
      <c r="G55" s="88" t="b">
        <v>0</v>
      </c>
      <c r="H55" s="88" t="b">
        <v>0</v>
      </c>
      <c r="I55" s="88" t="b">
        <v>0</v>
      </c>
      <c r="J55" s="88" t="b">
        <v>0</v>
      </c>
      <c r="K55" s="88" t="b">
        <v>0</v>
      </c>
      <c r="L55" s="88" t="b">
        <v>0</v>
      </c>
    </row>
    <row r="56" spans="1:12" ht="15">
      <c r="A56" s="85" t="s">
        <v>892</v>
      </c>
      <c r="B56" s="88" t="s">
        <v>360</v>
      </c>
      <c r="C56" s="88">
        <v>4</v>
      </c>
      <c r="D56" s="93">
        <v>0.003928179907888813</v>
      </c>
      <c r="E56" s="93">
        <v>2.244326610230636</v>
      </c>
      <c r="F56" s="88" t="s">
        <v>382</v>
      </c>
      <c r="G56" s="88" t="b">
        <v>0</v>
      </c>
      <c r="H56" s="88" t="b">
        <v>0</v>
      </c>
      <c r="I56" s="88" t="b">
        <v>0</v>
      </c>
      <c r="J56" s="88" t="b">
        <v>0</v>
      </c>
      <c r="K56" s="88" t="b">
        <v>0</v>
      </c>
      <c r="L56" s="88" t="b">
        <v>0</v>
      </c>
    </row>
    <row r="57" spans="1:12" ht="15">
      <c r="A57" s="85" t="s">
        <v>360</v>
      </c>
      <c r="B57" s="88" t="s">
        <v>893</v>
      </c>
      <c r="C57" s="88">
        <v>4</v>
      </c>
      <c r="D57" s="93">
        <v>0.003928179907888813</v>
      </c>
      <c r="E57" s="93">
        <v>2.3412366232386925</v>
      </c>
      <c r="F57" s="88" t="s">
        <v>382</v>
      </c>
      <c r="G57" s="88" t="b">
        <v>0</v>
      </c>
      <c r="H57" s="88" t="b">
        <v>0</v>
      </c>
      <c r="I57" s="88" t="b">
        <v>0</v>
      </c>
      <c r="J57" s="88" t="b">
        <v>0</v>
      </c>
      <c r="K57" s="88" t="b">
        <v>0</v>
      </c>
      <c r="L57" s="88" t="b">
        <v>0</v>
      </c>
    </row>
    <row r="58" spans="1:12" ht="15">
      <c r="A58" s="85" t="s">
        <v>893</v>
      </c>
      <c r="B58" s="88" t="s">
        <v>370</v>
      </c>
      <c r="C58" s="88">
        <v>4</v>
      </c>
      <c r="D58" s="93">
        <v>0.003928179907888813</v>
      </c>
      <c r="E58" s="93">
        <v>2.4381466362467488</v>
      </c>
      <c r="F58" s="88" t="s">
        <v>382</v>
      </c>
      <c r="G58" s="88" t="b">
        <v>0</v>
      </c>
      <c r="H58" s="88" t="b">
        <v>0</v>
      </c>
      <c r="I58" s="88" t="b">
        <v>0</v>
      </c>
      <c r="J58" s="88" t="b">
        <v>0</v>
      </c>
      <c r="K58" s="88" t="b">
        <v>1</v>
      </c>
      <c r="L58" s="88" t="b">
        <v>0</v>
      </c>
    </row>
    <row r="59" spans="1:12" ht="15">
      <c r="A59" s="85" t="s">
        <v>370</v>
      </c>
      <c r="B59" s="88" t="s">
        <v>537</v>
      </c>
      <c r="C59" s="88">
        <v>4</v>
      </c>
      <c r="D59" s="93">
        <v>0.003928179907888813</v>
      </c>
      <c r="E59" s="93">
        <v>1.9262632752678743</v>
      </c>
      <c r="F59" s="88" t="s">
        <v>382</v>
      </c>
      <c r="G59" s="88" t="b">
        <v>0</v>
      </c>
      <c r="H59" s="88" t="b">
        <v>1</v>
      </c>
      <c r="I59" s="88" t="b">
        <v>0</v>
      </c>
      <c r="J59" s="88" t="b">
        <v>0</v>
      </c>
      <c r="K59" s="88" t="b">
        <v>0</v>
      </c>
      <c r="L59" s="88" t="b">
        <v>0</v>
      </c>
    </row>
    <row r="60" spans="1:12" ht="15">
      <c r="A60" s="85" t="s">
        <v>559</v>
      </c>
      <c r="B60" s="88" t="s">
        <v>374</v>
      </c>
      <c r="C60" s="88">
        <v>3</v>
      </c>
      <c r="D60" s="93">
        <v>0.003271778901224951</v>
      </c>
      <c r="E60" s="93">
        <v>2.0402066275747113</v>
      </c>
      <c r="F60" s="88" t="s">
        <v>382</v>
      </c>
      <c r="G60" s="88" t="b">
        <v>0</v>
      </c>
      <c r="H60" s="88" t="b">
        <v>0</v>
      </c>
      <c r="I60" s="88" t="b">
        <v>0</v>
      </c>
      <c r="J60" s="88" t="b">
        <v>0</v>
      </c>
      <c r="K60" s="88" t="b">
        <v>0</v>
      </c>
      <c r="L60" s="88" t="b">
        <v>0</v>
      </c>
    </row>
    <row r="61" spans="1:12" ht="15">
      <c r="A61" s="85" t="s">
        <v>374</v>
      </c>
      <c r="B61" s="88" t="s">
        <v>342</v>
      </c>
      <c r="C61" s="88">
        <v>3</v>
      </c>
      <c r="D61" s="93">
        <v>0.003271778901224951</v>
      </c>
      <c r="E61" s="93">
        <v>2.5630853728550487</v>
      </c>
      <c r="F61" s="88" t="s">
        <v>382</v>
      </c>
      <c r="G61" s="88" t="b">
        <v>0</v>
      </c>
      <c r="H61" s="88" t="b">
        <v>0</v>
      </c>
      <c r="I61" s="88" t="b">
        <v>0</v>
      </c>
      <c r="J61" s="88" t="b">
        <v>0</v>
      </c>
      <c r="K61" s="88" t="b">
        <v>0</v>
      </c>
      <c r="L61" s="88" t="b">
        <v>0</v>
      </c>
    </row>
    <row r="62" spans="1:12" ht="15">
      <c r="A62" s="85" t="s">
        <v>342</v>
      </c>
      <c r="B62" s="88" t="s">
        <v>894</v>
      </c>
      <c r="C62" s="88">
        <v>3</v>
      </c>
      <c r="D62" s="93">
        <v>0.003271778901224951</v>
      </c>
      <c r="E62" s="93">
        <v>2.4381466362467488</v>
      </c>
      <c r="F62" s="88" t="s">
        <v>382</v>
      </c>
      <c r="G62" s="88" t="b">
        <v>0</v>
      </c>
      <c r="H62" s="88" t="b">
        <v>0</v>
      </c>
      <c r="I62" s="88" t="b">
        <v>0</v>
      </c>
      <c r="J62" s="88" t="b">
        <v>0</v>
      </c>
      <c r="K62" s="88" t="b">
        <v>0</v>
      </c>
      <c r="L62" s="88" t="b">
        <v>0</v>
      </c>
    </row>
    <row r="63" spans="1:12" ht="15">
      <c r="A63" s="85" t="s">
        <v>894</v>
      </c>
      <c r="B63" s="88" t="s">
        <v>537</v>
      </c>
      <c r="C63" s="88">
        <v>3</v>
      </c>
      <c r="D63" s="93">
        <v>0.003271778901224951</v>
      </c>
      <c r="E63" s="93">
        <v>1.8013245386595744</v>
      </c>
      <c r="F63" s="88" t="s">
        <v>382</v>
      </c>
      <c r="G63" s="88" t="b">
        <v>0</v>
      </c>
      <c r="H63" s="88" t="b">
        <v>0</v>
      </c>
      <c r="I63" s="88" t="b">
        <v>0</v>
      </c>
      <c r="J63" s="88" t="b">
        <v>0</v>
      </c>
      <c r="K63" s="88" t="b">
        <v>0</v>
      </c>
      <c r="L63" s="88" t="b">
        <v>0</v>
      </c>
    </row>
    <row r="64" spans="1:12" ht="15">
      <c r="A64" s="85" t="s">
        <v>896</v>
      </c>
      <c r="B64" s="88" t="s">
        <v>897</v>
      </c>
      <c r="C64" s="88">
        <v>2</v>
      </c>
      <c r="D64" s="93">
        <v>0.0024871655328566242</v>
      </c>
      <c r="E64" s="93">
        <v>2.73917663191073</v>
      </c>
      <c r="F64" s="88" t="s">
        <v>382</v>
      </c>
      <c r="G64" s="88" t="b">
        <v>0</v>
      </c>
      <c r="H64" s="88" t="b">
        <v>0</v>
      </c>
      <c r="I64" s="88" t="b">
        <v>0</v>
      </c>
      <c r="J64" s="88" t="b">
        <v>0</v>
      </c>
      <c r="K64" s="88" t="b">
        <v>0</v>
      </c>
      <c r="L64" s="88" t="b">
        <v>0</v>
      </c>
    </row>
    <row r="65" spans="1:12" ht="15">
      <c r="A65" s="85" t="s">
        <v>897</v>
      </c>
      <c r="B65" s="88" t="s">
        <v>355</v>
      </c>
      <c r="C65" s="88">
        <v>2</v>
      </c>
      <c r="D65" s="93">
        <v>0.0024871655328566242</v>
      </c>
      <c r="E65" s="93">
        <v>2.73917663191073</v>
      </c>
      <c r="F65" s="88" t="s">
        <v>382</v>
      </c>
      <c r="G65" s="88" t="b">
        <v>0</v>
      </c>
      <c r="H65" s="88" t="b">
        <v>0</v>
      </c>
      <c r="I65" s="88" t="b">
        <v>0</v>
      </c>
      <c r="J65" s="88" t="b">
        <v>0</v>
      </c>
      <c r="K65" s="88" t="b">
        <v>0</v>
      </c>
      <c r="L65" s="88" t="b">
        <v>0</v>
      </c>
    </row>
    <row r="66" spans="1:12" ht="15">
      <c r="A66" s="85" t="s">
        <v>355</v>
      </c>
      <c r="B66" s="88" t="s">
        <v>898</v>
      </c>
      <c r="C66" s="88">
        <v>2</v>
      </c>
      <c r="D66" s="93">
        <v>0.0024871655328566242</v>
      </c>
      <c r="E66" s="93">
        <v>2.73917663191073</v>
      </c>
      <c r="F66" s="88" t="s">
        <v>382</v>
      </c>
      <c r="G66" s="88" t="b">
        <v>0</v>
      </c>
      <c r="H66" s="88" t="b">
        <v>0</v>
      </c>
      <c r="I66" s="88" t="b">
        <v>0</v>
      </c>
      <c r="J66" s="88" t="b">
        <v>0</v>
      </c>
      <c r="K66" s="88" t="b">
        <v>0</v>
      </c>
      <c r="L66" s="88" t="b">
        <v>0</v>
      </c>
    </row>
    <row r="67" spans="1:12" ht="15">
      <c r="A67" s="85" t="s">
        <v>898</v>
      </c>
      <c r="B67" s="88" t="s">
        <v>536</v>
      </c>
      <c r="C67" s="88">
        <v>2</v>
      </c>
      <c r="D67" s="93">
        <v>0.0024871655328566242</v>
      </c>
      <c r="E67" s="93">
        <v>1.7614530266218822</v>
      </c>
      <c r="F67" s="88" t="s">
        <v>382</v>
      </c>
      <c r="G67" s="88" t="b">
        <v>0</v>
      </c>
      <c r="H67" s="88" t="b">
        <v>0</v>
      </c>
      <c r="I67" s="88" t="b">
        <v>0</v>
      </c>
      <c r="J67" s="88" t="b">
        <v>0</v>
      </c>
      <c r="K67" s="88" t="b">
        <v>0</v>
      </c>
      <c r="L67" s="88" t="b">
        <v>0</v>
      </c>
    </row>
    <row r="68" spans="1:12" ht="15">
      <c r="A68" s="85" t="s">
        <v>536</v>
      </c>
      <c r="B68" s="88" t="s">
        <v>899</v>
      </c>
      <c r="C68" s="88">
        <v>2</v>
      </c>
      <c r="D68" s="93">
        <v>0.0024871655328566242</v>
      </c>
      <c r="E68" s="93">
        <v>1.7614530266218822</v>
      </c>
      <c r="F68" s="88" t="s">
        <v>382</v>
      </c>
      <c r="G68" s="88" t="b">
        <v>0</v>
      </c>
      <c r="H68" s="88" t="b">
        <v>0</v>
      </c>
      <c r="I68" s="88" t="b">
        <v>0</v>
      </c>
      <c r="J68" s="88" t="b">
        <v>0</v>
      </c>
      <c r="K68" s="88" t="b">
        <v>0</v>
      </c>
      <c r="L68" s="88" t="b">
        <v>0</v>
      </c>
    </row>
    <row r="69" spans="1:12" ht="15">
      <c r="A69" s="85" t="s">
        <v>899</v>
      </c>
      <c r="B69" s="88" t="s">
        <v>900</v>
      </c>
      <c r="C69" s="88">
        <v>2</v>
      </c>
      <c r="D69" s="93">
        <v>0.0024871655328566242</v>
      </c>
      <c r="E69" s="93">
        <v>2.73917663191073</v>
      </c>
      <c r="F69" s="88" t="s">
        <v>382</v>
      </c>
      <c r="G69" s="88" t="b">
        <v>0</v>
      </c>
      <c r="H69" s="88" t="b">
        <v>0</v>
      </c>
      <c r="I69" s="88" t="b">
        <v>0</v>
      </c>
      <c r="J69" s="88" t="b">
        <v>0</v>
      </c>
      <c r="K69" s="88" t="b">
        <v>0</v>
      </c>
      <c r="L69" s="88" t="b">
        <v>0</v>
      </c>
    </row>
    <row r="70" spans="1:12" ht="15">
      <c r="A70" s="85" t="s">
        <v>900</v>
      </c>
      <c r="B70" s="88" t="s">
        <v>901</v>
      </c>
      <c r="C70" s="88">
        <v>2</v>
      </c>
      <c r="D70" s="93">
        <v>0.0024871655328566242</v>
      </c>
      <c r="E70" s="93">
        <v>2.73917663191073</v>
      </c>
      <c r="F70" s="88" t="s">
        <v>382</v>
      </c>
      <c r="G70" s="88" t="b">
        <v>0</v>
      </c>
      <c r="H70" s="88" t="b">
        <v>0</v>
      </c>
      <c r="I70" s="88" t="b">
        <v>0</v>
      </c>
      <c r="J70" s="88" t="b">
        <v>0</v>
      </c>
      <c r="K70" s="88" t="b">
        <v>0</v>
      </c>
      <c r="L70" s="88" t="b">
        <v>0</v>
      </c>
    </row>
    <row r="71" spans="1:12" ht="15">
      <c r="A71" s="85" t="s">
        <v>901</v>
      </c>
      <c r="B71" s="88" t="s">
        <v>902</v>
      </c>
      <c r="C71" s="88">
        <v>2</v>
      </c>
      <c r="D71" s="93">
        <v>0.0024871655328566242</v>
      </c>
      <c r="E71" s="93">
        <v>2.73917663191073</v>
      </c>
      <c r="F71" s="88" t="s">
        <v>382</v>
      </c>
      <c r="G71" s="88" t="b">
        <v>0</v>
      </c>
      <c r="H71" s="88" t="b">
        <v>0</v>
      </c>
      <c r="I71" s="88" t="b">
        <v>0</v>
      </c>
      <c r="J71" s="88" t="b">
        <v>0</v>
      </c>
      <c r="K71" s="88" t="b">
        <v>0</v>
      </c>
      <c r="L71" s="88" t="b">
        <v>0</v>
      </c>
    </row>
    <row r="72" spans="1:12" ht="15">
      <c r="A72" s="85" t="s">
        <v>902</v>
      </c>
      <c r="B72" s="88" t="s">
        <v>903</v>
      </c>
      <c r="C72" s="88">
        <v>2</v>
      </c>
      <c r="D72" s="93">
        <v>0.0024871655328566242</v>
      </c>
      <c r="E72" s="93">
        <v>2.73917663191073</v>
      </c>
      <c r="F72" s="88" t="s">
        <v>382</v>
      </c>
      <c r="G72" s="88" t="b">
        <v>0</v>
      </c>
      <c r="H72" s="88" t="b">
        <v>0</v>
      </c>
      <c r="I72" s="88" t="b">
        <v>0</v>
      </c>
      <c r="J72" s="88" t="b">
        <v>0</v>
      </c>
      <c r="K72" s="88" t="b">
        <v>0</v>
      </c>
      <c r="L72" s="88" t="b">
        <v>0</v>
      </c>
    </row>
    <row r="73" spans="1:12" ht="15">
      <c r="A73" s="85" t="s">
        <v>903</v>
      </c>
      <c r="B73" s="88" t="s">
        <v>904</v>
      </c>
      <c r="C73" s="88">
        <v>2</v>
      </c>
      <c r="D73" s="93">
        <v>0.0024871655328566242</v>
      </c>
      <c r="E73" s="93">
        <v>2.73917663191073</v>
      </c>
      <c r="F73" s="88" t="s">
        <v>382</v>
      </c>
      <c r="G73" s="88" t="b">
        <v>0</v>
      </c>
      <c r="H73" s="88" t="b">
        <v>0</v>
      </c>
      <c r="I73" s="88" t="b">
        <v>0</v>
      </c>
      <c r="J73" s="88" t="b">
        <v>0</v>
      </c>
      <c r="K73" s="88" t="b">
        <v>0</v>
      </c>
      <c r="L73" s="88" t="b">
        <v>0</v>
      </c>
    </row>
    <row r="74" spans="1:12" ht="15">
      <c r="A74" s="85" t="s">
        <v>904</v>
      </c>
      <c r="B74" s="88" t="s">
        <v>343</v>
      </c>
      <c r="C74" s="88">
        <v>2</v>
      </c>
      <c r="D74" s="93">
        <v>0.0024871655328566242</v>
      </c>
      <c r="E74" s="93">
        <v>2.73917663191073</v>
      </c>
      <c r="F74" s="88" t="s">
        <v>382</v>
      </c>
      <c r="G74" s="88" t="b">
        <v>0</v>
      </c>
      <c r="H74" s="88" t="b">
        <v>0</v>
      </c>
      <c r="I74" s="88" t="b">
        <v>0</v>
      </c>
      <c r="J74" s="88" t="b">
        <v>0</v>
      </c>
      <c r="K74" s="88" t="b">
        <v>0</v>
      </c>
      <c r="L74" s="88" t="b">
        <v>0</v>
      </c>
    </row>
    <row r="75" spans="1:12" ht="15">
      <c r="A75" s="85" t="s">
        <v>343</v>
      </c>
      <c r="B75" s="88" t="s">
        <v>345</v>
      </c>
      <c r="C75" s="88">
        <v>2</v>
      </c>
      <c r="D75" s="93">
        <v>0.0024871655328566242</v>
      </c>
      <c r="E75" s="93">
        <v>2.73917663191073</v>
      </c>
      <c r="F75" s="88" t="s">
        <v>382</v>
      </c>
      <c r="G75" s="88" t="b">
        <v>0</v>
      </c>
      <c r="H75" s="88" t="b">
        <v>0</v>
      </c>
      <c r="I75" s="88" t="b">
        <v>0</v>
      </c>
      <c r="J75" s="88" t="b">
        <v>0</v>
      </c>
      <c r="K75" s="88" t="b">
        <v>0</v>
      </c>
      <c r="L75" s="88" t="b">
        <v>0</v>
      </c>
    </row>
    <row r="76" spans="1:12" ht="15">
      <c r="A76" s="85" t="s">
        <v>345</v>
      </c>
      <c r="B76" s="88" t="s">
        <v>905</v>
      </c>
      <c r="C76" s="88">
        <v>2</v>
      </c>
      <c r="D76" s="93">
        <v>0.0024871655328566242</v>
      </c>
      <c r="E76" s="93">
        <v>2.73917663191073</v>
      </c>
      <c r="F76" s="88" t="s">
        <v>382</v>
      </c>
      <c r="G76" s="88" t="b">
        <v>0</v>
      </c>
      <c r="H76" s="88" t="b">
        <v>0</v>
      </c>
      <c r="I76" s="88" t="b">
        <v>0</v>
      </c>
      <c r="J76" s="88" t="b">
        <v>0</v>
      </c>
      <c r="K76" s="88" t="b">
        <v>0</v>
      </c>
      <c r="L76" s="88" t="b">
        <v>0</v>
      </c>
    </row>
    <row r="77" spans="1:12" ht="15">
      <c r="A77" s="85" t="s">
        <v>905</v>
      </c>
      <c r="B77" s="88" t="s">
        <v>348</v>
      </c>
      <c r="C77" s="88">
        <v>2</v>
      </c>
      <c r="D77" s="93">
        <v>0.0024871655328566242</v>
      </c>
      <c r="E77" s="93">
        <v>2.73917663191073</v>
      </c>
      <c r="F77" s="88" t="s">
        <v>382</v>
      </c>
      <c r="G77" s="88" t="b">
        <v>0</v>
      </c>
      <c r="H77" s="88" t="b">
        <v>0</v>
      </c>
      <c r="I77" s="88" t="b">
        <v>0</v>
      </c>
      <c r="J77" s="88" t="b">
        <v>1</v>
      </c>
      <c r="K77" s="88" t="b">
        <v>0</v>
      </c>
      <c r="L77" s="88" t="b">
        <v>0</v>
      </c>
    </row>
    <row r="78" spans="1:12" ht="15">
      <c r="A78" s="85" t="s">
        <v>348</v>
      </c>
      <c r="B78" s="88" t="s">
        <v>578</v>
      </c>
      <c r="C78" s="88">
        <v>2</v>
      </c>
      <c r="D78" s="93">
        <v>0.0024871655328566242</v>
      </c>
      <c r="E78" s="93">
        <v>2.73917663191073</v>
      </c>
      <c r="F78" s="88" t="s">
        <v>382</v>
      </c>
      <c r="G78" s="88" t="b">
        <v>1</v>
      </c>
      <c r="H78" s="88" t="b">
        <v>0</v>
      </c>
      <c r="I78" s="88" t="b">
        <v>0</v>
      </c>
      <c r="J78" s="88" t="b">
        <v>0</v>
      </c>
      <c r="K78" s="88" t="b">
        <v>0</v>
      </c>
      <c r="L78" s="88" t="b">
        <v>0</v>
      </c>
    </row>
    <row r="79" spans="1:12" ht="15">
      <c r="A79" s="85" t="s">
        <v>559</v>
      </c>
      <c r="B79" s="88" t="s">
        <v>520</v>
      </c>
      <c r="C79" s="88">
        <v>2</v>
      </c>
      <c r="D79" s="93">
        <v>0.0024871655328566242</v>
      </c>
      <c r="E79" s="93">
        <v>1.86411536851903</v>
      </c>
      <c r="F79" s="88" t="s">
        <v>382</v>
      </c>
      <c r="G79" s="88" t="b">
        <v>0</v>
      </c>
      <c r="H79" s="88" t="b">
        <v>0</v>
      </c>
      <c r="I79" s="88" t="b">
        <v>0</v>
      </c>
      <c r="J79" s="88" t="b">
        <v>0</v>
      </c>
      <c r="K79" s="88" t="b">
        <v>0</v>
      </c>
      <c r="L79" s="88" t="b">
        <v>0</v>
      </c>
    </row>
    <row r="80" spans="1:12" ht="15">
      <c r="A80" s="85" t="s">
        <v>520</v>
      </c>
      <c r="B80" s="88" t="s">
        <v>906</v>
      </c>
      <c r="C80" s="88">
        <v>2</v>
      </c>
      <c r="D80" s="93">
        <v>0.0024871655328566242</v>
      </c>
      <c r="E80" s="93">
        <v>2.73917663191073</v>
      </c>
      <c r="F80" s="88" t="s">
        <v>382</v>
      </c>
      <c r="G80" s="88" t="b">
        <v>0</v>
      </c>
      <c r="H80" s="88" t="b">
        <v>0</v>
      </c>
      <c r="I80" s="88" t="b">
        <v>0</v>
      </c>
      <c r="J80" s="88" t="b">
        <v>0</v>
      </c>
      <c r="K80" s="88" t="b">
        <v>1</v>
      </c>
      <c r="L80" s="88" t="b">
        <v>0</v>
      </c>
    </row>
    <row r="81" spans="1:12" ht="15">
      <c r="A81" s="85" t="s">
        <v>906</v>
      </c>
      <c r="B81" s="88" t="s">
        <v>364</v>
      </c>
      <c r="C81" s="88">
        <v>2</v>
      </c>
      <c r="D81" s="93">
        <v>0.0024871655328566242</v>
      </c>
      <c r="E81" s="93">
        <v>2.73917663191073</v>
      </c>
      <c r="F81" s="88" t="s">
        <v>382</v>
      </c>
      <c r="G81" s="88" t="b">
        <v>0</v>
      </c>
      <c r="H81" s="88" t="b">
        <v>1</v>
      </c>
      <c r="I81" s="88" t="b">
        <v>0</v>
      </c>
      <c r="J81" s="88" t="b">
        <v>0</v>
      </c>
      <c r="K81" s="88" t="b">
        <v>0</v>
      </c>
      <c r="L81" s="88" t="b">
        <v>0</v>
      </c>
    </row>
    <row r="82" spans="1:12" ht="15">
      <c r="A82" s="85" t="s">
        <v>344</v>
      </c>
      <c r="B82" s="88" t="s">
        <v>519</v>
      </c>
      <c r="C82" s="88">
        <v>31</v>
      </c>
      <c r="D82" s="93">
        <v>0.0036023197074114477</v>
      </c>
      <c r="E82" s="93">
        <v>1.2505260700788443</v>
      </c>
      <c r="F82" s="88" t="s">
        <v>321</v>
      </c>
      <c r="G82" s="88" t="b">
        <v>0</v>
      </c>
      <c r="H82" s="88" t="b">
        <v>0</v>
      </c>
      <c r="I82" s="88" t="b">
        <v>0</v>
      </c>
      <c r="J82" s="88" t="b">
        <v>0</v>
      </c>
      <c r="K82" s="88" t="b">
        <v>0</v>
      </c>
      <c r="L82" s="88" t="b">
        <v>0</v>
      </c>
    </row>
    <row r="83" spans="1:12" ht="15">
      <c r="A83" s="85" t="s">
        <v>874</v>
      </c>
      <c r="B83" s="88" t="s">
        <v>538</v>
      </c>
      <c r="C83" s="88">
        <v>31</v>
      </c>
      <c r="D83" s="93">
        <v>0.0036023197074114477</v>
      </c>
      <c r="E83" s="93">
        <v>0.9332071882053921</v>
      </c>
      <c r="F83" s="88" t="s">
        <v>321</v>
      </c>
      <c r="G83" s="88" t="b">
        <v>0</v>
      </c>
      <c r="H83" s="88" t="b">
        <v>0</v>
      </c>
      <c r="I83" s="88" t="b">
        <v>0</v>
      </c>
      <c r="J83" s="88" t="b">
        <v>0</v>
      </c>
      <c r="K83" s="88" t="b">
        <v>0</v>
      </c>
      <c r="L83" s="88" t="b">
        <v>0</v>
      </c>
    </row>
    <row r="84" spans="1:12" ht="15">
      <c r="A84" s="85" t="s">
        <v>877</v>
      </c>
      <c r="B84" s="88" t="s">
        <v>878</v>
      </c>
      <c r="C84" s="88">
        <v>16</v>
      </c>
      <c r="D84" s="93">
        <v>0.007215750571013042</v>
      </c>
      <c r="E84" s="93">
        <v>1.7091639191044936</v>
      </c>
      <c r="F84" s="88" t="s">
        <v>321</v>
      </c>
      <c r="G84" s="88" t="b">
        <v>0</v>
      </c>
      <c r="H84" s="88" t="b">
        <v>1</v>
      </c>
      <c r="I84" s="88" t="b">
        <v>0</v>
      </c>
      <c r="J84" s="88" t="b">
        <v>0</v>
      </c>
      <c r="K84" s="88" t="b">
        <v>1</v>
      </c>
      <c r="L84" s="88" t="b">
        <v>0</v>
      </c>
    </row>
    <row r="85" spans="1:12" ht="15">
      <c r="A85" s="85" t="s">
        <v>878</v>
      </c>
      <c r="B85" s="88" t="s">
        <v>879</v>
      </c>
      <c r="C85" s="88">
        <v>16</v>
      </c>
      <c r="D85" s="93">
        <v>0.007215750571013042</v>
      </c>
      <c r="E85" s="93">
        <v>1.7091639191044936</v>
      </c>
      <c r="F85" s="88" t="s">
        <v>321</v>
      </c>
      <c r="G85" s="88" t="b">
        <v>0</v>
      </c>
      <c r="H85" s="88" t="b">
        <v>1</v>
      </c>
      <c r="I85" s="88" t="b">
        <v>0</v>
      </c>
      <c r="J85" s="88" t="b">
        <v>0</v>
      </c>
      <c r="K85" s="88" t="b">
        <v>1</v>
      </c>
      <c r="L85" s="88" t="b">
        <v>0</v>
      </c>
    </row>
    <row r="86" spans="1:12" ht="15">
      <c r="A86" s="85" t="s">
        <v>879</v>
      </c>
      <c r="B86" s="88" t="s">
        <v>341</v>
      </c>
      <c r="C86" s="88">
        <v>16</v>
      </c>
      <c r="D86" s="93">
        <v>0.007215750571013042</v>
      </c>
      <c r="E86" s="93">
        <v>1.4219222079261458</v>
      </c>
      <c r="F86" s="88" t="s">
        <v>321</v>
      </c>
      <c r="G86" s="88" t="b">
        <v>0</v>
      </c>
      <c r="H86" s="88" t="b">
        <v>1</v>
      </c>
      <c r="I86" s="88" t="b">
        <v>0</v>
      </c>
      <c r="J86" s="88" t="b">
        <v>0</v>
      </c>
      <c r="K86" s="88" t="b">
        <v>0</v>
      </c>
      <c r="L86" s="88" t="b">
        <v>0</v>
      </c>
    </row>
    <row r="87" spans="1:12" ht="15">
      <c r="A87" s="85" t="s">
        <v>341</v>
      </c>
      <c r="B87" s="88" t="s">
        <v>362</v>
      </c>
      <c r="C87" s="88">
        <v>16</v>
      </c>
      <c r="D87" s="93">
        <v>0.007215750571013042</v>
      </c>
      <c r="E87" s="93">
        <v>1.4219222079261458</v>
      </c>
      <c r="F87" s="88" t="s">
        <v>321</v>
      </c>
      <c r="G87" s="88" t="b">
        <v>0</v>
      </c>
      <c r="H87" s="88" t="b">
        <v>0</v>
      </c>
      <c r="I87" s="88" t="b">
        <v>0</v>
      </c>
      <c r="J87" s="88" t="b">
        <v>0</v>
      </c>
      <c r="K87" s="88" t="b">
        <v>0</v>
      </c>
      <c r="L87" s="88" t="b">
        <v>0</v>
      </c>
    </row>
    <row r="88" spans="1:12" ht="15">
      <c r="A88" s="85" t="s">
        <v>362</v>
      </c>
      <c r="B88" s="88" t="s">
        <v>258</v>
      </c>
      <c r="C88" s="88">
        <v>16</v>
      </c>
      <c r="D88" s="93">
        <v>0.007215750571013042</v>
      </c>
      <c r="E88" s="93">
        <v>1.7091639191044936</v>
      </c>
      <c r="F88" s="88" t="s">
        <v>321</v>
      </c>
      <c r="G88" s="88" t="b">
        <v>0</v>
      </c>
      <c r="H88" s="88" t="b">
        <v>0</v>
      </c>
      <c r="I88" s="88" t="b">
        <v>0</v>
      </c>
      <c r="J88" s="88" t="b">
        <v>0</v>
      </c>
      <c r="K88" s="88" t="b">
        <v>0</v>
      </c>
      <c r="L88" s="88" t="b">
        <v>0</v>
      </c>
    </row>
    <row r="89" spans="1:12" ht="15">
      <c r="A89" s="85" t="s">
        <v>258</v>
      </c>
      <c r="B89" s="88" t="s">
        <v>876</v>
      </c>
      <c r="C89" s="88">
        <v>16</v>
      </c>
      <c r="D89" s="93">
        <v>0.007215750571013042</v>
      </c>
      <c r="E89" s="93">
        <v>1.7091639191044936</v>
      </c>
      <c r="F89" s="88" t="s">
        <v>321</v>
      </c>
      <c r="G89" s="88" t="b">
        <v>0</v>
      </c>
      <c r="H89" s="88" t="b">
        <v>0</v>
      </c>
      <c r="I89" s="88" t="b">
        <v>0</v>
      </c>
      <c r="J89" s="88" t="b">
        <v>0</v>
      </c>
      <c r="K89" s="88" t="b">
        <v>0</v>
      </c>
      <c r="L89" s="88" t="b">
        <v>0</v>
      </c>
    </row>
    <row r="90" spans="1:12" ht="15">
      <c r="A90" s="85" t="s">
        <v>876</v>
      </c>
      <c r="B90" s="88" t="s">
        <v>344</v>
      </c>
      <c r="C90" s="88">
        <v>16</v>
      </c>
      <c r="D90" s="93">
        <v>0.007215750571013042</v>
      </c>
      <c r="E90" s="93">
        <v>1.2505260700788443</v>
      </c>
      <c r="F90" s="88" t="s">
        <v>321</v>
      </c>
      <c r="G90" s="88" t="b">
        <v>0</v>
      </c>
      <c r="H90" s="88" t="b">
        <v>0</v>
      </c>
      <c r="I90" s="88" t="b">
        <v>0</v>
      </c>
      <c r="J90" s="88" t="b">
        <v>0</v>
      </c>
      <c r="K90" s="88" t="b">
        <v>0</v>
      </c>
      <c r="L90" s="88" t="b">
        <v>0</v>
      </c>
    </row>
    <row r="91" spans="1:12" ht="15">
      <c r="A91" s="85" t="s">
        <v>519</v>
      </c>
      <c r="B91" s="88" t="s">
        <v>880</v>
      </c>
      <c r="C91" s="88">
        <v>16</v>
      </c>
      <c r="D91" s="93">
        <v>0.007215750571013042</v>
      </c>
      <c r="E91" s="93">
        <v>1.4219222079261458</v>
      </c>
      <c r="F91" s="88" t="s">
        <v>321</v>
      </c>
      <c r="G91" s="88" t="b">
        <v>0</v>
      </c>
      <c r="H91" s="88" t="b">
        <v>0</v>
      </c>
      <c r="I91" s="88" t="b">
        <v>0</v>
      </c>
      <c r="J91" s="88" t="b">
        <v>0</v>
      </c>
      <c r="K91" s="88" t="b">
        <v>0</v>
      </c>
      <c r="L91" s="88" t="b">
        <v>0</v>
      </c>
    </row>
    <row r="92" spans="1:12" ht="15">
      <c r="A92" s="85" t="s">
        <v>880</v>
      </c>
      <c r="B92" s="88" t="s">
        <v>881</v>
      </c>
      <c r="C92" s="88">
        <v>16</v>
      </c>
      <c r="D92" s="93">
        <v>0.007215750571013042</v>
      </c>
      <c r="E92" s="93">
        <v>1.7091639191044936</v>
      </c>
      <c r="F92" s="88" t="s">
        <v>321</v>
      </c>
      <c r="G92" s="88" t="b">
        <v>0</v>
      </c>
      <c r="H92" s="88" t="b">
        <v>0</v>
      </c>
      <c r="I92" s="88" t="b">
        <v>0</v>
      </c>
      <c r="J92" s="88" t="b">
        <v>0</v>
      </c>
      <c r="K92" s="88" t="b">
        <v>1</v>
      </c>
      <c r="L92" s="88" t="b">
        <v>0</v>
      </c>
    </row>
    <row r="93" spans="1:12" ht="15">
      <c r="A93" s="85" t="s">
        <v>881</v>
      </c>
      <c r="B93" s="88" t="s">
        <v>353</v>
      </c>
      <c r="C93" s="88">
        <v>16</v>
      </c>
      <c r="D93" s="93">
        <v>0.007215750571013042</v>
      </c>
      <c r="E93" s="93">
        <v>1.7091639191044936</v>
      </c>
      <c r="F93" s="88" t="s">
        <v>321</v>
      </c>
      <c r="G93" s="88" t="b">
        <v>0</v>
      </c>
      <c r="H93" s="88" t="b">
        <v>1</v>
      </c>
      <c r="I93" s="88" t="b">
        <v>0</v>
      </c>
      <c r="J93" s="88" t="b">
        <v>0</v>
      </c>
      <c r="K93" s="88" t="b">
        <v>0</v>
      </c>
      <c r="L93" s="88" t="b">
        <v>0</v>
      </c>
    </row>
    <row r="94" spans="1:12" ht="15">
      <c r="A94" s="85" t="s">
        <v>353</v>
      </c>
      <c r="B94" s="88" t="s">
        <v>875</v>
      </c>
      <c r="C94" s="88">
        <v>16</v>
      </c>
      <c r="D94" s="93">
        <v>0.007215750571013042</v>
      </c>
      <c r="E94" s="93">
        <v>1.4219222079261458</v>
      </c>
      <c r="F94" s="88" t="s">
        <v>321</v>
      </c>
      <c r="G94" s="88" t="b">
        <v>0</v>
      </c>
      <c r="H94" s="88" t="b">
        <v>0</v>
      </c>
      <c r="I94" s="88" t="b">
        <v>0</v>
      </c>
      <c r="J94" s="88" t="b">
        <v>0</v>
      </c>
      <c r="K94" s="88" t="b">
        <v>0</v>
      </c>
      <c r="L94" s="88" t="b">
        <v>0</v>
      </c>
    </row>
    <row r="95" spans="1:12" ht="15">
      <c r="A95" s="85" t="s">
        <v>875</v>
      </c>
      <c r="B95" s="88" t="s">
        <v>874</v>
      </c>
      <c r="C95" s="88">
        <v>16</v>
      </c>
      <c r="D95" s="93">
        <v>0.007215750571013042</v>
      </c>
      <c r="E95" s="93">
        <v>0.9539443326463531</v>
      </c>
      <c r="F95" s="88" t="s">
        <v>321</v>
      </c>
      <c r="G95" s="88" t="b">
        <v>0</v>
      </c>
      <c r="H95" s="88" t="b">
        <v>0</v>
      </c>
      <c r="I95" s="88" t="b">
        <v>0</v>
      </c>
      <c r="J95" s="88" t="b">
        <v>0</v>
      </c>
      <c r="K95" s="88" t="b">
        <v>0</v>
      </c>
      <c r="L95" s="88" t="b">
        <v>0</v>
      </c>
    </row>
    <row r="96" spans="1:12" ht="15">
      <c r="A96" s="85" t="s">
        <v>538</v>
      </c>
      <c r="B96" s="88" t="s">
        <v>372</v>
      </c>
      <c r="C96" s="88">
        <v>16</v>
      </c>
      <c r="D96" s="93">
        <v>0.007215750571013042</v>
      </c>
      <c r="E96" s="93">
        <v>1.1139433523068367</v>
      </c>
      <c r="F96" s="88" t="s">
        <v>321</v>
      </c>
      <c r="G96" s="88" t="b">
        <v>0</v>
      </c>
      <c r="H96" s="88" t="b">
        <v>0</v>
      </c>
      <c r="I96" s="88" t="b">
        <v>0</v>
      </c>
      <c r="J96" s="88" t="b">
        <v>0</v>
      </c>
      <c r="K96" s="88" t="b">
        <v>0</v>
      </c>
      <c r="L96" s="88" t="b">
        <v>0</v>
      </c>
    </row>
    <row r="97" spans="1:12" ht="15">
      <c r="A97" s="85" t="s">
        <v>372</v>
      </c>
      <c r="B97" s="88" t="s">
        <v>538</v>
      </c>
      <c r="C97" s="88">
        <v>16</v>
      </c>
      <c r="D97" s="93">
        <v>0.007215750571013042</v>
      </c>
      <c r="E97" s="93">
        <v>1.1139433523068367</v>
      </c>
      <c r="F97" s="88" t="s">
        <v>321</v>
      </c>
      <c r="G97" s="88" t="b">
        <v>0</v>
      </c>
      <c r="H97" s="88" t="b">
        <v>0</v>
      </c>
      <c r="I97" s="88" t="b">
        <v>0</v>
      </c>
      <c r="J97" s="88" t="b">
        <v>0</v>
      </c>
      <c r="K97" s="88" t="b">
        <v>0</v>
      </c>
      <c r="L97" s="88" t="b">
        <v>0</v>
      </c>
    </row>
    <row r="98" spans="1:12" ht="15">
      <c r="A98" s="85" t="s">
        <v>538</v>
      </c>
      <c r="B98" s="88" t="s">
        <v>356</v>
      </c>
      <c r="C98" s="88">
        <v>16</v>
      </c>
      <c r="D98" s="93">
        <v>0.007215750571013042</v>
      </c>
      <c r="E98" s="93">
        <v>0.6553055032811874</v>
      </c>
      <c r="F98" s="88" t="s">
        <v>321</v>
      </c>
      <c r="G98" s="88" t="b">
        <v>0</v>
      </c>
      <c r="H98" s="88" t="b">
        <v>0</v>
      </c>
      <c r="I98" s="88" t="b">
        <v>0</v>
      </c>
      <c r="J98" s="88" t="b">
        <v>0</v>
      </c>
      <c r="K98" s="88" t="b">
        <v>0</v>
      </c>
      <c r="L98" s="88" t="b">
        <v>0</v>
      </c>
    </row>
    <row r="99" spans="1:12" ht="15">
      <c r="A99" s="85" t="s">
        <v>356</v>
      </c>
      <c r="B99" s="88" t="s">
        <v>347</v>
      </c>
      <c r="C99" s="88">
        <v>16</v>
      </c>
      <c r="D99" s="93">
        <v>0.007215750571013042</v>
      </c>
      <c r="E99" s="93">
        <v>1.4219222079261458</v>
      </c>
      <c r="F99" s="88" t="s">
        <v>321</v>
      </c>
      <c r="G99" s="88" t="b">
        <v>0</v>
      </c>
      <c r="H99" s="88" t="b">
        <v>0</v>
      </c>
      <c r="I99" s="88" t="b">
        <v>0</v>
      </c>
      <c r="J99" s="88" t="b">
        <v>0</v>
      </c>
      <c r="K99" s="88" t="b">
        <v>0</v>
      </c>
      <c r="L99" s="88" t="b">
        <v>0</v>
      </c>
    </row>
    <row r="100" spans="1:12" ht="15">
      <c r="A100" s="85" t="s">
        <v>347</v>
      </c>
      <c r="B100" s="88" t="s">
        <v>366</v>
      </c>
      <c r="C100" s="88">
        <v>16</v>
      </c>
      <c r="D100" s="93">
        <v>0.007215750571013042</v>
      </c>
      <c r="E100" s="93">
        <v>1.7091639191044936</v>
      </c>
      <c r="F100" s="88" t="s">
        <v>321</v>
      </c>
      <c r="G100" s="88" t="b">
        <v>0</v>
      </c>
      <c r="H100" s="88" t="b">
        <v>0</v>
      </c>
      <c r="I100" s="88" t="b">
        <v>0</v>
      </c>
      <c r="J100" s="88" t="b">
        <v>0</v>
      </c>
      <c r="K100" s="88" t="b">
        <v>0</v>
      </c>
      <c r="L100" s="88" t="b">
        <v>0</v>
      </c>
    </row>
    <row r="101" spans="1:12" ht="15">
      <c r="A101" s="85" t="s">
        <v>366</v>
      </c>
      <c r="B101" s="88" t="s">
        <v>359</v>
      </c>
      <c r="C101" s="88">
        <v>16</v>
      </c>
      <c r="D101" s="93">
        <v>0.007215750571013042</v>
      </c>
      <c r="E101" s="93">
        <v>1.7091639191044936</v>
      </c>
      <c r="F101" s="88" t="s">
        <v>321</v>
      </c>
      <c r="G101" s="88" t="b">
        <v>0</v>
      </c>
      <c r="H101" s="88" t="b">
        <v>0</v>
      </c>
      <c r="I101" s="88" t="b">
        <v>0</v>
      </c>
      <c r="J101" s="88" t="b">
        <v>0</v>
      </c>
      <c r="K101" s="88" t="b">
        <v>0</v>
      </c>
      <c r="L101" s="88" t="b">
        <v>0</v>
      </c>
    </row>
    <row r="102" spans="1:12" ht="15">
      <c r="A102" s="85" t="s">
        <v>359</v>
      </c>
      <c r="B102" s="88" t="s">
        <v>882</v>
      </c>
      <c r="C102" s="88">
        <v>16</v>
      </c>
      <c r="D102" s="93">
        <v>0.007215750571013042</v>
      </c>
      <c r="E102" s="93">
        <v>1.7091639191044936</v>
      </c>
      <c r="F102" s="88" t="s">
        <v>321</v>
      </c>
      <c r="G102" s="88" t="b">
        <v>0</v>
      </c>
      <c r="H102" s="88" t="b">
        <v>0</v>
      </c>
      <c r="I102" s="88" t="b">
        <v>0</v>
      </c>
      <c r="J102" s="88" t="b">
        <v>0</v>
      </c>
      <c r="K102" s="88" t="b">
        <v>0</v>
      </c>
      <c r="L102" s="88" t="b">
        <v>0</v>
      </c>
    </row>
    <row r="103" spans="1:12" ht="15">
      <c r="A103" s="85" t="s">
        <v>882</v>
      </c>
      <c r="B103" s="88" t="s">
        <v>351</v>
      </c>
      <c r="C103" s="88">
        <v>16</v>
      </c>
      <c r="D103" s="93">
        <v>0.007215750571013042</v>
      </c>
      <c r="E103" s="93">
        <v>1.7091639191044936</v>
      </c>
      <c r="F103" s="88" t="s">
        <v>321</v>
      </c>
      <c r="G103" s="88" t="b">
        <v>0</v>
      </c>
      <c r="H103" s="88" t="b">
        <v>0</v>
      </c>
      <c r="I103" s="88" t="b">
        <v>0</v>
      </c>
      <c r="J103" s="88" t="b">
        <v>0</v>
      </c>
      <c r="K103" s="88" t="b">
        <v>0</v>
      </c>
      <c r="L103" s="88" t="b">
        <v>0</v>
      </c>
    </row>
    <row r="104" spans="1:12" ht="15">
      <c r="A104" s="85" t="s">
        <v>351</v>
      </c>
      <c r="B104" s="88" t="s">
        <v>538</v>
      </c>
      <c r="C104" s="88">
        <v>16</v>
      </c>
      <c r="D104" s="93">
        <v>0.007215750571013042</v>
      </c>
      <c r="E104" s="93">
        <v>1.1139433523068367</v>
      </c>
      <c r="F104" s="88" t="s">
        <v>321</v>
      </c>
      <c r="G104" s="88" t="b">
        <v>0</v>
      </c>
      <c r="H104" s="88" t="b">
        <v>0</v>
      </c>
      <c r="I104" s="88" t="b">
        <v>0</v>
      </c>
      <c r="J104" s="88" t="b">
        <v>0</v>
      </c>
      <c r="K104" s="88" t="b">
        <v>0</v>
      </c>
      <c r="L104" s="88" t="b">
        <v>0</v>
      </c>
    </row>
    <row r="105" spans="1:12" ht="15">
      <c r="A105" s="85" t="s">
        <v>538</v>
      </c>
      <c r="B105" s="88" t="s">
        <v>883</v>
      </c>
      <c r="C105" s="88">
        <v>16</v>
      </c>
      <c r="D105" s="93">
        <v>0.007215750571013042</v>
      </c>
      <c r="E105" s="93">
        <v>1.1139433523068367</v>
      </c>
      <c r="F105" s="88" t="s">
        <v>321</v>
      </c>
      <c r="G105" s="88" t="b">
        <v>0</v>
      </c>
      <c r="H105" s="88" t="b">
        <v>0</v>
      </c>
      <c r="I105" s="88" t="b">
        <v>0</v>
      </c>
      <c r="J105" s="88" t="b">
        <v>0</v>
      </c>
      <c r="K105" s="88" t="b">
        <v>0</v>
      </c>
      <c r="L105" s="88" t="b">
        <v>0</v>
      </c>
    </row>
    <row r="106" spans="1:12" ht="15">
      <c r="A106" s="85" t="s">
        <v>883</v>
      </c>
      <c r="B106" s="88" t="s">
        <v>874</v>
      </c>
      <c r="C106" s="88">
        <v>16</v>
      </c>
      <c r="D106" s="93">
        <v>0.007215750571013042</v>
      </c>
      <c r="E106" s="93">
        <v>1.241186043824701</v>
      </c>
      <c r="F106" s="88" t="s">
        <v>321</v>
      </c>
      <c r="G106" s="88" t="b">
        <v>0</v>
      </c>
      <c r="H106" s="88" t="b">
        <v>0</v>
      </c>
      <c r="I106" s="88" t="b">
        <v>0</v>
      </c>
      <c r="J106" s="88" t="b">
        <v>0</v>
      </c>
      <c r="K106" s="88" t="b">
        <v>0</v>
      </c>
      <c r="L106" s="88" t="b">
        <v>0</v>
      </c>
    </row>
    <row r="107" spans="1:12" ht="15">
      <c r="A107" s="85" t="s">
        <v>874</v>
      </c>
      <c r="B107" s="88" t="s">
        <v>369</v>
      </c>
      <c r="C107" s="88">
        <v>16</v>
      </c>
      <c r="D107" s="93">
        <v>0.007215750571013042</v>
      </c>
      <c r="E107" s="93">
        <v>1.241186043824701</v>
      </c>
      <c r="F107" s="88" t="s">
        <v>321</v>
      </c>
      <c r="G107" s="88" t="b">
        <v>0</v>
      </c>
      <c r="H107" s="88" t="b">
        <v>0</v>
      </c>
      <c r="I107" s="88" t="b">
        <v>0</v>
      </c>
      <c r="J107" s="88" t="b">
        <v>0</v>
      </c>
      <c r="K107" s="88" t="b">
        <v>0</v>
      </c>
      <c r="L107" s="88" t="b">
        <v>0</v>
      </c>
    </row>
    <row r="108" spans="1:12" ht="15">
      <c r="A108" s="85" t="s">
        <v>352</v>
      </c>
      <c r="B108" s="88" t="s">
        <v>373</v>
      </c>
      <c r="C108" s="88">
        <v>15</v>
      </c>
      <c r="D108" s="93">
        <v>0.007254778810678636</v>
      </c>
      <c r="E108" s="93">
        <v>1.7371926427047373</v>
      </c>
      <c r="F108" s="88" t="s">
        <v>321</v>
      </c>
      <c r="G108" s="88" t="b">
        <v>0</v>
      </c>
      <c r="H108" s="88" t="b">
        <v>1</v>
      </c>
      <c r="I108" s="88" t="b">
        <v>0</v>
      </c>
      <c r="J108" s="88" t="b">
        <v>0</v>
      </c>
      <c r="K108" s="88" t="b">
        <v>0</v>
      </c>
      <c r="L108" s="88" t="b">
        <v>0</v>
      </c>
    </row>
    <row r="109" spans="1:12" ht="15">
      <c r="A109" s="85" t="s">
        <v>373</v>
      </c>
      <c r="B109" s="88" t="s">
        <v>885</v>
      </c>
      <c r="C109" s="88">
        <v>15</v>
      </c>
      <c r="D109" s="93">
        <v>0.007254778810678636</v>
      </c>
      <c r="E109" s="93">
        <v>1.7371926427047373</v>
      </c>
      <c r="F109" s="88" t="s">
        <v>321</v>
      </c>
      <c r="G109" s="88" t="b">
        <v>0</v>
      </c>
      <c r="H109" s="88" t="b">
        <v>0</v>
      </c>
      <c r="I109" s="88" t="b">
        <v>0</v>
      </c>
      <c r="J109" s="88" t="b">
        <v>0</v>
      </c>
      <c r="K109" s="88" t="b">
        <v>0</v>
      </c>
      <c r="L109" s="88" t="b">
        <v>0</v>
      </c>
    </row>
    <row r="110" spans="1:12" ht="15">
      <c r="A110" s="85" t="s">
        <v>885</v>
      </c>
      <c r="B110" s="88" t="s">
        <v>886</v>
      </c>
      <c r="C110" s="88">
        <v>15</v>
      </c>
      <c r="D110" s="93">
        <v>0.007254778810678636</v>
      </c>
      <c r="E110" s="93">
        <v>1.7371926427047373</v>
      </c>
      <c r="F110" s="88" t="s">
        <v>321</v>
      </c>
      <c r="G110" s="88" t="b">
        <v>0</v>
      </c>
      <c r="H110" s="88" t="b">
        <v>0</v>
      </c>
      <c r="I110" s="88" t="b">
        <v>0</v>
      </c>
      <c r="J110" s="88" t="b">
        <v>0</v>
      </c>
      <c r="K110" s="88" t="b">
        <v>0</v>
      </c>
      <c r="L110" s="88" t="b">
        <v>0</v>
      </c>
    </row>
    <row r="111" spans="1:12" ht="15">
      <c r="A111" s="85" t="s">
        <v>886</v>
      </c>
      <c r="B111" s="88" t="s">
        <v>875</v>
      </c>
      <c r="C111" s="88">
        <v>15</v>
      </c>
      <c r="D111" s="93">
        <v>0.007254778810678636</v>
      </c>
      <c r="E111" s="93">
        <v>1.4219222079261458</v>
      </c>
      <c r="F111" s="88" t="s">
        <v>321</v>
      </c>
      <c r="G111" s="88" t="b">
        <v>0</v>
      </c>
      <c r="H111" s="88" t="b">
        <v>0</v>
      </c>
      <c r="I111" s="88" t="b">
        <v>0</v>
      </c>
      <c r="J111" s="88" t="b">
        <v>0</v>
      </c>
      <c r="K111" s="88" t="b">
        <v>0</v>
      </c>
      <c r="L111" s="88" t="b">
        <v>0</v>
      </c>
    </row>
    <row r="112" spans="1:12" ht="15">
      <c r="A112" s="85" t="s">
        <v>875</v>
      </c>
      <c r="B112" s="88" t="s">
        <v>887</v>
      </c>
      <c r="C112" s="88">
        <v>15</v>
      </c>
      <c r="D112" s="93">
        <v>0.007254778810678636</v>
      </c>
      <c r="E112" s="93">
        <v>1.4219222079261458</v>
      </c>
      <c r="F112" s="88" t="s">
        <v>321</v>
      </c>
      <c r="G112" s="88" t="b">
        <v>0</v>
      </c>
      <c r="H112" s="88" t="b">
        <v>0</v>
      </c>
      <c r="I112" s="88" t="b">
        <v>0</v>
      </c>
      <c r="J112" s="88" t="b">
        <v>0</v>
      </c>
      <c r="K112" s="88" t="b">
        <v>0</v>
      </c>
      <c r="L112" s="88" t="b">
        <v>0</v>
      </c>
    </row>
    <row r="113" spans="1:12" ht="15">
      <c r="A113" s="85" t="s">
        <v>887</v>
      </c>
      <c r="B113" s="88" t="s">
        <v>349</v>
      </c>
      <c r="C113" s="88">
        <v>15</v>
      </c>
      <c r="D113" s="93">
        <v>0.007254778810678636</v>
      </c>
      <c r="E113" s="93">
        <v>1.7371926427047373</v>
      </c>
      <c r="F113" s="88" t="s">
        <v>321</v>
      </c>
      <c r="G113" s="88" t="b">
        <v>0</v>
      </c>
      <c r="H113" s="88" t="b">
        <v>0</v>
      </c>
      <c r="I113" s="88" t="b">
        <v>0</v>
      </c>
      <c r="J113" s="88" t="b">
        <v>0</v>
      </c>
      <c r="K113" s="88" t="b">
        <v>0</v>
      </c>
      <c r="L113" s="88" t="b">
        <v>0</v>
      </c>
    </row>
    <row r="114" spans="1:12" ht="15">
      <c r="A114" s="85" t="s">
        <v>349</v>
      </c>
      <c r="B114" s="88" t="s">
        <v>536</v>
      </c>
      <c r="C114" s="88">
        <v>15</v>
      </c>
      <c r="D114" s="93">
        <v>0.007254778810678636</v>
      </c>
      <c r="E114" s="93">
        <v>1.7371926427047373</v>
      </c>
      <c r="F114" s="88" t="s">
        <v>321</v>
      </c>
      <c r="G114" s="88" t="b">
        <v>0</v>
      </c>
      <c r="H114" s="88" t="b">
        <v>0</v>
      </c>
      <c r="I114" s="88" t="b">
        <v>0</v>
      </c>
      <c r="J114" s="88" t="b">
        <v>0</v>
      </c>
      <c r="K114" s="88" t="b">
        <v>0</v>
      </c>
      <c r="L114" s="88" t="b">
        <v>0</v>
      </c>
    </row>
    <row r="115" spans="1:12" ht="15">
      <c r="A115" s="85" t="s">
        <v>536</v>
      </c>
      <c r="B115" s="88" t="s">
        <v>344</v>
      </c>
      <c r="C115" s="88">
        <v>15</v>
      </c>
      <c r="D115" s="93">
        <v>0.007254778810678636</v>
      </c>
      <c r="E115" s="93">
        <v>1.2505260700788443</v>
      </c>
      <c r="F115" s="88" t="s">
        <v>321</v>
      </c>
      <c r="G115" s="88" t="b">
        <v>0</v>
      </c>
      <c r="H115" s="88" t="b">
        <v>0</v>
      </c>
      <c r="I115" s="88" t="b">
        <v>0</v>
      </c>
      <c r="J115" s="88" t="b">
        <v>0</v>
      </c>
      <c r="K115" s="88" t="b">
        <v>0</v>
      </c>
      <c r="L115" s="88" t="b">
        <v>0</v>
      </c>
    </row>
    <row r="116" spans="1:12" ht="15">
      <c r="A116" s="85" t="s">
        <v>519</v>
      </c>
      <c r="B116" s="88" t="s">
        <v>356</v>
      </c>
      <c r="C116" s="88">
        <v>15</v>
      </c>
      <c r="D116" s="93">
        <v>0.007254778810678636</v>
      </c>
      <c r="E116" s="93">
        <v>0.935255635300253</v>
      </c>
      <c r="F116" s="88" t="s">
        <v>321</v>
      </c>
      <c r="G116" s="88" t="b">
        <v>0</v>
      </c>
      <c r="H116" s="88" t="b">
        <v>0</v>
      </c>
      <c r="I116" s="88" t="b">
        <v>0</v>
      </c>
      <c r="J116" s="88" t="b">
        <v>0</v>
      </c>
      <c r="K116" s="88" t="b">
        <v>0</v>
      </c>
      <c r="L116" s="88" t="b">
        <v>0</v>
      </c>
    </row>
    <row r="117" spans="1:12" ht="15">
      <c r="A117" s="85" t="s">
        <v>356</v>
      </c>
      <c r="B117" s="88" t="s">
        <v>357</v>
      </c>
      <c r="C117" s="88">
        <v>15</v>
      </c>
      <c r="D117" s="93">
        <v>0.007254778810678636</v>
      </c>
      <c r="E117" s="93">
        <v>1.4219222079261458</v>
      </c>
      <c r="F117" s="88" t="s">
        <v>321</v>
      </c>
      <c r="G117" s="88" t="b">
        <v>0</v>
      </c>
      <c r="H117" s="88" t="b">
        <v>0</v>
      </c>
      <c r="I117" s="88" t="b">
        <v>0</v>
      </c>
      <c r="J117" s="88" t="b">
        <v>0</v>
      </c>
      <c r="K117" s="88" t="b">
        <v>0</v>
      </c>
      <c r="L117" s="88" t="b">
        <v>0</v>
      </c>
    </row>
    <row r="118" spans="1:12" ht="15">
      <c r="A118" s="85" t="s">
        <v>357</v>
      </c>
      <c r="B118" s="88" t="s">
        <v>365</v>
      </c>
      <c r="C118" s="88">
        <v>15</v>
      </c>
      <c r="D118" s="93">
        <v>0.007254778810678636</v>
      </c>
      <c r="E118" s="93">
        <v>1.7371926427047373</v>
      </c>
      <c r="F118" s="88" t="s">
        <v>321</v>
      </c>
      <c r="G118" s="88" t="b">
        <v>0</v>
      </c>
      <c r="H118" s="88" t="b">
        <v>0</v>
      </c>
      <c r="I118" s="88" t="b">
        <v>0</v>
      </c>
      <c r="J118" s="88" t="b">
        <v>0</v>
      </c>
      <c r="K118" s="88" t="b">
        <v>0</v>
      </c>
      <c r="L118" s="88" t="b">
        <v>0</v>
      </c>
    </row>
    <row r="119" spans="1:12" ht="15">
      <c r="A119" s="85" t="s">
        <v>365</v>
      </c>
      <c r="B119" s="88" t="s">
        <v>874</v>
      </c>
      <c r="C119" s="88">
        <v>15</v>
      </c>
      <c r="D119" s="93">
        <v>0.007254778810678636</v>
      </c>
      <c r="E119" s="93">
        <v>1.241186043824701</v>
      </c>
      <c r="F119" s="88" t="s">
        <v>321</v>
      </c>
      <c r="G119" s="88" t="b">
        <v>0</v>
      </c>
      <c r="H119" s="88" t="b">
        <v>0</v>
      </c>
      <c r="I119" s="88" t="b">
        <v>0</v>
      </c>
      <c r="J119" s="88" t="b">
        <v>0</v>
      </c>
      <c r="K119" s="88" t="b">
        <v>0</v>
      </c>
      <c r="L119" s="88" t="b">
        <v>0</v>
      </c>
    </row>
    <row r="120" spans="1:12" ht="15">
      <c r="A120" s="85" t="s">
        <v>538</v>
      </c>
      <c r="B120" s="88" t="s">
        <v>346</v>
      </c>
      <c r="C120" s="88">
        <v>15</v>
      </c>
      <c r="D120" s="93">
        <v>0.007254778810678636</v>
      </c>
      <c r="E120" s="93">
        <v>1.1139433523068367</v>
      </c>
      <c r="F120" s="88" t="s">
        <v>321</v>
      </c>
      <c r="G120" s="88" t="b">
        <v>0</v>
      </c>
      <c r="H120" s="88" t="b">
        <v>0</v>
      </c>
      <c r="I120" s="88" t="b">
        <v>0</v>
      </c>
      <c r="J120" s="88" t="b">
        <v>0</v>
      </c>
      <c r="K120" s="88" t="b">
        <v>0</v>
      </c>
      <c r="L120" s="88" t="b">
        <v>0</v>
      </c>
    </row>
    <row r="121" spans="1:12" ht="15">
      <c r="A121" s="85" t="s">
        <v>346</v>
      </c>
      <c r="B121" s="88" t="s">
        <v>363</v>
      </c>
      <c r="C121" s="88">
        <v>15</v>
      </c>
      <c r="D121" s="93">
        <v>0.007254778810678636</v>
      </c>
      <c r="E121" s="93">
        <v>1.7371926427047373</v>
      </c>
      <c r="F121" s="88" t="s">
        <v>321</v>
      </c>
      <c r="G121" s="88" t="b">
        <v>0</v>
      </c>
      <c r="H121" s="88" t="b">
        <v>0</v>
      </c>
      <c r="I121" s="88" t="b">
        <v>0</v>
      </c>
      <c r="J121" s="88" t="b">
        <v>0</v>
      </c>
      <c r="K121" s="88" t="b">
        <v>0</v>
      </c>
      <c r="L121" s="88" t="b">
        <v>0</v>
      </c>
    </row>
    <row r="122" spans="1:12" ht="15">
      <c r="A122" s="85" t="s">
        <v>363</v>
      </c>
      <c r="B122" s="88" t="s">
        <v>344</v>
      </c>
      <c r="C122" s="88">
        <v>15</v>
      </c>
      <c r="D122" s="93">
        <v>0.007254778810678636</v>
      </c>
      <c r="E122" s="93">
        <v>1.2505260700788443</v>
      </c>
      <c r="F122" s="88" t="s">
        <v>321</v>
      </c>
      <c r="G122" s="88" t="b">
        <v>0</v>
      </c>
      <c r="H122" s="88" t="b">
        <v>0</v>
      </c>
      <c r="I122" s="88" t="b">
        <v>0</v>
      </c>
      <c r="J122" s="88" t="b">
        <v>0</v>
      </c>
      <c r="K122" s="88" t="b">
        <v>0</v>
      </c>
      <c r="L122" s="88" t="b">
        <v>0</v>
      </c>
    </row>
    <row r="123" spans="1:12" ht="15">
      <c r="A123" s="85" t="s">
        <v>344</v>
      </c>
      <c r="B123" s="88" t="s">
        <v>341</v>
      </c>
      <c r="C123" s="88">
        <v>15</v>
      </c>
      <c r="D123" s="93">
        <v>0.007254778810678636</v>
      </c>
      <c r="E123" s="93">
        <v>0.935255635300253</v>
      </c>
      <c r="F123" s="88" t="s">
        <v>321</v>
      </c>
      <c r="G123" s="88" t="b">
        <v>0</v>
      </c>
      <c r="H123" s="88" t="b">
        <v>0</v>
      </c>
      <c r="I123" s="88" t="b">
        <v>0</v>
      </c>
      <c r="J123" s="88" t="b">
        <v>0</v>
      </c>
      <c r="K123" s="88" t="b">
        <v>0</v>
      </c>
      <c r="L123" s="88" t="b">
        <v>0</v>
      </c>
    </row>
    <row r="124" spans="1:12" ht="15">
      <c r="A124" s="85" t="s">
        <v>341</v>
      </c>
      <c r="B124" s="88" t="s">
        <v>884</v>
      </c>
      <c r="C124" s="88">
        <v>15</v>
      </c>
      <c r="D124" s="93">
        <v>0.007254778810678636</v>
      </c>
      <c r="E124" s="93">
        <v>1.4219222079261458</v>
      </c>
      <c r="F124" s="88" t="s">
        <v>321</v>
      </c>
      <c r="G124" s="88" t="b">
        <v>0</v>
      </c>
      <c r="H124" s="88" t="b">
        <v>0</v>
      </c>
      <c r="I124" s="88" t="b">
        <v>0</v>
      </c>
      <c r="J124" s="88" t="b">
        <v>0</v>
      </c>
      <c r="K124" s="88" t="b">
        <v>0</v>
      </c>
      <c r="L124" s="88" t="b">
        <v>0</v>
      </c>
    </row>
    <row r="125" spans="1:12" ht="15">
      <c r="A125" s="85" t="s">
        <v>884</v>
      </c>
      <c r="B125" s="88" t="s">
        <v>367</v>
      </c>
      <c r="C125" s="88">
        <v>15</v>
      </c>
      <c r="D125" s="93">
        <v>0.007254778810678636</v>
      </c>
      <c r="E125" s="93">
        <v>1.7371926427047373</v>
      </c>
      <c r="F125" s="88" t="s">
        <v>321</v>
      </c>
      <c r="G125" s="88" t="b">
        <v>0</v>
      </c>
      <c r="H125" s="88" t="b">
        <v>0</v>
      </c>
      <c r="I125" s="88" t="b">
        <v>0</v>
      </c>
      <c r="J125" s="88" t="b">
        <v>0</v>
      </c>
      <c r="K125" s="88" t="b">
        <v>0</v>
      </c>
      <c r="L125" s="88" t="b">
        <v>0</v>
      </c>
    </row>
    <row r="126" spans="1:12" ht="15">
      <c r="A126" s="85" t="s">
        <v>367</v>
      </c>
      <c r="B126" s="88" t="s">
        <v>358</v>
      </c>
      <c r="C126" s="88">
        <v>15</v>
      </c>
      <c r="D126" s="93">
        <v>0.007254778810678636</v>
      </c>
      <c r="E126" s="93">
        <v>1.7371926427047373</v>
      </c>
      <c r="F126" s="88" t="s">
        <v>321</v>
      </c>
      <c r="G126" s="88" t="b">
        <v>0</v>
      </c>
      <c r="H126" s="88" t="b">
        <v>0</v>
      </c>
      <c r="I126" s="88" t="b">
        <v>0</v>
      </c>
      <c r="J126" s="88" t="b">
        <v>0</v>
      </c>
      <c r="K126" s="88" t="b">
        <v>0</v>
      </c>
      <c r="L126" s="88" t="b">
        <v>0</v>
      </c>
    </row>
    <row r="127" spans="1:12" ht="15">
      <c r="A127" s="85" t="s">
        <v>358</v>
      </c>
      <c r="B127" s="88" t="s">
        <v>888</v>
      </c>
      <c r="C127" s="88">
        <v>15</v>
      </c>
      <c r="D127" s="93">
        <v>0.007254778810678636</v>
      </c>
      <c r="E127" s="93">
        <v>1.7371926427047373</v>
      </c>
      <c r="F127" s="88" t="s">
        <v>321</v>
      </c>
      <c r="G127" s="88" t="b">
        <v>0</v>
      </c>
      <c r="H127" s="88" t="b">
        <v>0</v>
      </c>
      <c r="I127" s="88" t="b">
        <v>0</v>
      </c>
      <c r="J127" s="88" t="b">
        <v>0</v>
      </c>
      <c r="K127" s="88" t="b">
        <v>1</v>
      </c>
      <c r="L127" s="88" t="b">
        <v>0</v>
      </c>
    </row>
    <row r="128" spans="1:12" ht="15">
      <c r="A128" s="85" t="s">
        <v>888</v>
      </c>
      <c r="B128" s="88" t="s">
        <v>356</v>
      </c>
      <c r="C128" s="88">
        <v>15</v>
      </c>
      <c r="D128" s="93">
        <v>0.007254778810678636</v>
      </c>
      <c r="E128" s="93">
        <v>1.2505260700788443</v>
      </c>
      <c r="F128" s="88" t="s">
        <v>321</v>
      </c>
      <c r="G128" s="88" t="b">
        <v>0</v>
      </c>
      <c r="H128" s="88" t="b">
        <v>1</v>
      </c>
      <c r="I128" s="88" t="b">
        <v>0</v>
      </c>
      <c r="J128" s="88" t="b">
        <v>0</v>
      </c>
      <c r="K128" s="88" t="b">
        <v>0</v>
      </c>
      <c r="L128" s="88" t="b">
        <v>0</v>
      </c>
    </row>
    <row r="129" spans="1:12" ht="15">
      <c r="A129" s="85" t="s">
        <v>559</v>
      </c>
      <c r="B129" s="88" t="s">
        <v>889</v>
      </c>
      <c r="C129" s="88">
        <v>4</v>
      </c>
      <c r="D129" s="93">
        <v>0.004610744129130708</v>
      </c>
      <c r="E129" s="93">
        <v>2.010193914768475</v>
      </c>
      <c r="F129" s="88" t="s">
        <v>321</v>
      </c>
      <c r="G129" s="88" t="b">
        <v>0</v>
      </c>
      <c r="H129" s="88" t="b">
        <v>0</v>
      </c>
      <c r="I129" s="88" t="b">
        <v>0</v>
      </c>
      <c r="J129" s="88" t="b">
        <v>0</v>
      </c>
      <c r="K129" s="88" t="b">
        <v>1</v>
      </c>
      <c r="L129" s="88" t="b">
        <v>0</v>
      </c>
    </row>
    <row r="130" spans="1:12" ht="15">
      <c r="A130" s="85" t="s">
        <v>889</v>
      </c>
      <c r="B130" s="88" t="s">
        <v>890</v>
      </c>
      <c r="C130" s="88">
        <v>4</v>
      </c>
      <c r="D130" s="93">
        <v>0.004610744129130708</v>
      </c>
      <c r="E130" s="93">
        <v>2.311223910432456</v>
      </c>
      <c r="F130" s="88" t="s">
        <v>321</v>
      </c>
      <c r="G130" s="88" t="b">
        <v>0</v>
      </c>
      <c r="H130" s="88" t="b">
        <v>1</v>
      </c>
      <c r="I130" s="88" t="b">
        <v>0</v>
      </c>
      <c r="J130" s="88" t="b">
        <v>0</v>
      </c>
      <c r="K130" s="88" t="b">
        <v>0</v>
      </c>
      <c r="L130" s="88" t="b">
        <v>0</v>
      </c>
    </row>
    <row r="131" spans="1:12" ht="15">
      <c r="A131" s="85" t="s">
        <v>890</v>
      </c>
      <c r="B131" s="88" t="s">
        <v>891</v>
      </c>
      <c r="C131" s="88">
        <v>4</v>
      </c>
      <c r="D131" s="93">
        <v>0.004610744129130708</v>
      </c>
      <c r="E131" s="93">
        <v>2.311223910432456</v>
      </c>
      <c r="F131" s="88" t="s">
        <v>321</v>
      </c>
      <c r="G131" s="88" t="b">
        <v>0</v>
      </c>
      <c r="H131" s="88" t="b">
        <v>0</v>
      </c>
      <c r="I131" s="88" t="b">
        <v>0</v>
      </c>
      <c r="J131" s="88" t="b">
        <v>0</v>
      </c>
      <c r="K131" s="88" t="b">
        <v>0</v>
      </c>
      <c r="L131" s="88" t="b">
        <v>0</v>
      </c>
    </row>
    <row r="132" spans="1:12" ht="15">
      <c r="A132" s="85" t="s">
        <v>891</v>
      </c>
      <c r="B132" s="88" t="s">
        <v>368</v>
      </c>
      <c r="C132" s="88">
        <v>4</v>
      </c>
      <c r="D132" s="93">
        <v>0.004610744129130708</v>
      </c>
      <c r="E132" s="93">
        <v>2.311223910432456</v>
      </c>
      <c r="F132" s="88" t="s">
        <v>321</v>
      </c>
      <c r="G132" s="88" t="b">
        <v>0</v>
      </c>
      <c r="H132" s="88" t="b">
        <v>0</v>
      </c>
      <c r="I132" s="88" t="b">
        <v>0</v>
      </c>
      <c r="J132" s="88" t="b">
        <v>0</v>
      </c>
      <c r="K132" s="88" t="b">
        <v>0</v>
      </c>
      <c r="L132" s="88" t="b">
        <v>0</v>
      </c>
    </row>
    <row r="133" spans="1:12" ht="15">
      <c r="A133" s="85" t="s">
        <v>368</v>
      </c>
      <c r="B133" s="88" t="s">
        <v>375</v>
      </c>
      <c r="C133" s="88">
        <v>4</v>
      </c>
      <c r="D133" s="93">
        <v>0.004610744129130708</v>
      </c>
      <c r="E133" s="93">
        <v>2.311223910432456</v>
      </c>
      <c r="F133" s="88" t="s">
        <v>321</v>
      </c>
      <c r="G133" s="88" t="b">
        <v>0</v>
      </c>
      <c r="H133" s="88" t="b">
        <v>0</v>
      </c>
      <c r="I133" s="88" t="b">
        <v>0</v>
      </c>
      <c r="J133" s="88" t="b">
        <v>0</v>
      </c>
      <c r="K133" s="88" t="b">
        <v>0</v>
      </c>
      <c r="L133" s="88" t="b">
        <v>0</v>
      </c>
    </row>
    <row r="134" spans="1:12" ht="15">
      <c r="A134" s="85" t="s">
        <v>375</v>
      </c>
      <c r="B134" s="88" t="s">
        <v>537</v>
      </c>
      <c r="C134" s="88">
        <v>4</v>
      </c>
      <c r="D134" s="93">
        <v>0.004610744129130708</v>
      </c>
      <c r="E134" s="93">
        <v>1.8718912166021935</v>
      </c>
      <c r="F134" s="88" t="s">
        <v>321</v>
      </c>
      <c r="G134" s="88" t="b">
        <v>0</v>
      </c>
      <c r="H134" s="88" t="b">
        <v>0</v>
      </c>
      <c r="I134" s="88" t="b">
        <v>0</v>
      </c>
      <c r="J134" s="88" t="b">
        <v>0</v>
      </c>
      <c r="K134" s="88" t="b">
        <v>0</v>
      </c>
      <c r="L134" s="88" t="b">
        <v>0</v>
      </c>
    </row>
    <row r="135" spans="1:12" ht="15">
      <c r="A135" s="85" t="s">
        <v>537</v>
      </c>
      <c r="B135" s="88" t="s">
        <v>892</v>
      </c>
      <c r="C135" s="88">
        <v>4</v>
      </c>
      <c r="D135" s="93">
        <v>0.004610744129130708</v>
      </c>
      <c r="E135" s="93">
        <v>2.311223910432456</v>
      </c>
      <c r="F135" s="88" t="s">
        <v>321</v>
      </c>
      <c r="G135" s="88" t="b">
        <v>0</v>
      </c>
      <c r="H135" s="88" t="b">
        <v>0</v>
      </c>
      <c r="I135" s="88" t="b">
        <v>0</v>
      </c>
      <c r="J135" s="88" t="b">
        <v>0</v>
      </c>
      <c r="K135" s="88" t="b">
        <v>0</v>
      </c>
      <c r="L135" s="88" t="b">
        <v>0</v>
      </c>
    </row>
    <row r="136" spans="1:12" ht="15">
      <c r="A136" s="85" t="s">
        <v>892</v>
      </c>
      <c r="B136" s="88" t="s">
        <v>360</v>
      </c>
      <c r="C136" s="88">
        <v>4</v>
      </c>
      <c r="D136" s="93">
        <v>0.004610744129130708</v>
      </c>
      <c r="E136" s="93">
        <v>2.311223910432456</v>
      </c>
      <c r="F136" s="88" t="s">
        <v>321</v>
      </c>
      <c r="G136" s="88" t="b">
        <v>0</v>
      </c>
      <c r="H136" s="88" t="b">
        <v>0</v>
      </c>
      <c r="I136" s="88" t="b">
        <v>0</v>
      </c>
      <c r="J136" s="88" t="b">
        <v>0</v>
      </c>
      <c r="K136" s="88" t="b">
        <v>0</v>
      </c>
      <c r="L136" s="88" t="b">
        <v>0</v>
      </c>
    </row>
    <row r="137" spans="1:12" ht="15">
      <c r="A137" s="85" t="s">
        <v>360</v>
      </c>
      <c r="B137" s="88" t="s">
        <v>893</v>
      </c>
      <c r="C137" s="88">
        <v>4</v>
      </c>
      <c r="D137" s="93">
        <v>0.004610744129130708</v>
      </c>
      <c r="E137" s="93">
        <v>2.311223910432456</v>
      </c>
      <c r="F137" s="88" t="s">
        <v>321</v>
      </c>
      <c r="G137" s="88" t="b">
        <v>0</v>
      </c>
      <c r="H137" s="88" t="b">
        <v>0</v>
      </c>
      <c r="I137" s="88" t="b">
        <v>0</v>
      </c>
      <c r="J137" s="88" t="b">
        <v>0</v>
      </c>
      <c r="K137" s="88" t="b">
        <v>0</v>
      </c>
      <c r="L137" s="88" t="b">
        <v>0</v>
      </c>
    </row>
    <row r="138" spans="1:12" ht="15">
      <c r="A138" s="85" t="s">
        <v>893</v>
      </c>
      <c r="B138" s="88" t="s">
        <v>370</v>
      </c>
      <c r="C138" s="88">
        <v>4</v>
      </c>
      <c r="D138" s="93">
        <v>0.004610744129130708</v>
      </c>
      <c r="E138" s="93">
        <v>2.311223910432456</v>
      </c>
      <c r="F138" s="88" t="s">
        <v>321</v>
      </c>
      <c r="G138" s="88" t="b">
        <v>0</v>
      </c>
      <c r="H138" s="88" t="b">
        <v>0</v>
      </c>
      <c r="I138" s="88" t="b">
        <v>0</v>
      </c>
      <c r="J138" s="88" t="b">
        <v>0</v>
      </c>
      <c r="K138" s="88" t="b">
        <v>1</v>
      </c>
      <c r="L138" s="88" t="b">
        <v>0</v>
      </c>
    </row>
    <row r="139" spans="1:12" ht="15">
      <c r="A139" s="85" t="s">
        <v>370</v>
      </c>
      <c r="B139" s="88" t="s">
        <v>537</v>
      </c>
      <c r="C139" s="88">
        <v>4</v>
      </c>
      <c r="D139" s="93">
        <v>0.004610744129130708</v>
      </c>
      <c r="E139" s="93">
        <v>1.8718912166021935</v>
      </c>
      <c r="F139" s="88" t="s">
        <v>321</v>
      </c>
      <c r="G139" s="88" t="b">
        <v>0</v>
      </c>
      <c r="H139" s="88" t="b">
        <v>1</v>
      </c>
      <c r="I139" s="88" t="b">
        <v>0</v>
      </c>
      <c r="J139" s="88" t="b">
        <v>0</v>
      </c>
      <c r="K139" s="88" t="b">
        <v>0</v>
      </c>
      <c r="L139" s="88" t="b">
        <v>0</v>
      </c>
    </row>
    <row r="140" spans="1:12" ht="15">
      <c r="A140" s="85" t="s">
        <v>559</v>
      </c>
      <c r="B140" s="88" t="s">
        <v>374</v>
      </c>
      <c r="C140" s="88">
        <v>3</v>
      </c>
      <c r="D140" s="93">
        <v>0.003894906826247681</v>
      </c>
      <c r="E140" s="93">
        <v>2.010193914768475</v>
      </c>
      <c r="F140" s="88" t="s">
        <v>321</v>
      </c>
      <c r="G140" s="88" t="b">
        <v>0</v>
      </c>
      <c r="H140" s="88" t="b">
        <v>0</v>
      </c>
      <c r="I140" s="88" t="b">
        <v>0</v>
      </c>
      <c r="J140" s="88" t="b">
        <v>0</v>
      </c>
      <c r="K140" s="88" t="b">
        <v>0</v>
      </c>
      <c r="L140" s="88" t="b">
        <v>0</v>
      </c>
    </row>
    <row r="141" spans="1:12" ht="15">
      <c r="A141" s="85" t="s">
        <v>374</v>
      </c>
      <c r="B141" s="88" t="s">
        <v>342</v>
      </c>
      <c r="C141" s="88">
        <v>3</v>
      </c>
      <c r="D141" s="93">
        <v>0.003894906826247681</v>
      </c>
      <c r="E141" s="93">
        <v>2.436162647040756</v>
      </c>
      <c r="F141" s="88" t="s">
        <v>321</v>
      </c>
      <c r="G141" s="88" t="b">
        <v>0</v>
      </c>
      <c r="H141" s="88" t="b">
        <v>0</v>
      </c>
      <c r="I141" s="88" t="b">
        <v>0</v>
      </c>
      <c r="J141" s="88" t="b">
        <v>0</v>
      </c>
      <c r="K141" s="88" t="b">
        <v>0</v>
      </c>
      <c r="L141" s="88" t="b">
        <v>0</v>
      </c>
    </row>
    <row r="142" spans="1:12" ht="15">
      <c r="A142" s="85" t="s">
        <v>342</v>
      </c>
      <c r="B142" s="88" t="s">
        <v>894</v>
      </c>
      <c r="C142" s="88">
        <v>3</v>
      </c>
      <c r="D142" s="93">
        <v>0.003894906826247681</v>
      </c>
      <c r="E142" s="93">
        <v>2.436162647040756</v>
      </c>
      <c r="F142" s="88" t="s">
        <v>321</v>
      </c>
      <c r="G142" s="88" t="b">
        <v>0</v>
      </c>
      <c r="H142" s="88" t="b">
        <v>0</v>
      </c>
      <c r="I142" s="88" t="b">
        <v>0</v>
      </c>
      <c r="J142" s="88" t="b">
        <v>0</v>
      </c>
      <c r="K142" s="88" t="b">
        <v>0</v>
      </c>
      <c r="L142" s="88" t="b">
        <v>0</v>
      </c>
    </row>
    <row r="143" spans="1:12" ht="15">
      <c r="A143" s="85" t="s">
        <v>894</v>
      </c>
      <c r="B143" s="88" t="s">
        <v>537</v>
      </c>
      <c r="C143" s="88">
        <v>3</v>
      </c>
      <c r="D143" s="93">
        <v>0.003894906826247681</v>
      </c>
      <c r="E143" s="93">
        <v>1.8718912166021935</v>
      </c>
      <c r="F143" s="88" t="s">
        <v>321</v>
      </c>
      <c r="G143" s="88" t="b">
        <v>0</v>
      </c>
      <c r="H143" s="88" t="b">
        <v>0</v>
      </c>
      <c r="I143" s="88" t="b">
        <v>0</v>
      </c>
      <c r="J143" s="88" t="b">
        <v>0</v>
      </c>
      <c r="K143" s="88" t="b">
        <v>0</v>
      </c>
      <c r="L143" s="88" t="b">
        <v>0</v>
      </c>
    </row>
    <row r="144" spans="1:12" ht="15">
      <c r="A144" s="85" t="s">
        <v>874</v>
      </c>
      <c r="B144" s="88" t="s">
        <v>538</v>
      </c>
      <c r="C144" s="88">
        <v>4</v>
      </c>
      <c r="D144" s="93">
        <v>0.0074730518060476545</v>
      </c>
      <c r="E144" s="93">
        <v>0.9852767431792937</v>
      </c>
      <c r="F144" s="88" t="s">
        <v>322</v>
      </c>
      <c r="G144" s="88" t="b">
        <v>0</v>
      </c>
      <c r="H144" s="88" t="b">
        <v>0</v>
      </c>
      <c r="I144" s="88" t="b">
        <v>0</v>
      </c>
      <c r="J144" s="88" t="b">
        <v>0</v>
      </c>
      <c r="K144" s="88" t="b">
        <v>0</v>
      </c>
      <c r="L144" s="88" t="b">
        <v>0</v>
      </c>
    </row>
    <row r="145" spans="1:12" ht="15">
      <c r="A145" s="85" t="s">
        <v>344</v>
      </c>
      <c r="B145" s="88" t="s">
        <v>519</v>
      </c>
      <c r="C145" s="88">
        <v>3</v>
      </c>
      <c r="D145" s="93">
        <v>0.0073644893701456</v>
      </c>
      <c r="E145" s="93">
        <v>1.4835872969688941</v>
      </c>
      <c r="F145" s="88" t="s">
        <v>322</v>
      </c>
      <c r="G145" s="88" t="b">
        <v>0</v>
      </c>
      <c r="H145" s="88" t="b">
        <v>0</v>
      </c>
      <c r="I145" s="88" t="b">
        <v>0</v>
      </c>
      <c r="J145" s="88" t="b">
        <v>0</v>
      </c>
      <c r="K145" s="88" t="b">
        <v>0</v>
      </c>
      <c r="L145" s="88" t="b">
        <v>0</v>
      </c>
    </row>
    <row r="146" spans="1:12" ht="15">
      <c r="A146" s="85" t="s">
        <v>884</v>
      </c>
      <c r="B146" s="88" t="s">
        <v>367</v>
      </c>
      <c r="C146" s="88">
        <v>3</v>
      </c>
      <c r="D146" s="93">
        <v>0.0073644893701456</v>
      </c>
      <c r="E146" s="93">
        <v>1.8303747831935504</v>
      </c>
      <c r="F146" s="88" t="s">
        <v>322</v>
      </c>
      <c r="G146" s="88" t="b">
        <v>0</v>
      </c>
      <c r="H146" s="88" t="b">
        <v>0</v>
      </c>
      <c r="I146" s="88" t="b">
        <v>0</v>
      </c>
      <c r="J146" s="88" t="b">
        <v>0</v>
      </c>
      <c r="K146" s="88" t="b">
        <v>0</v>
      </c>
      <c r="L146" s="88" t="b">
        <v>0</v>
      </c>
    </row>
    <row r="147" spans="1:12" ht="15">
      <c r="A147" s="85" t="s">
        <v>341</v>
      </c>
      <c r="B147" s="88" t="s">
        <v>362</v>
      </c>
      <c r="C147" s="88">
        <v>3</v>
      </c>
      <c r="D147" s="93">
        <v>0.0073644893701456</v>
      </c>
      <c r="E147" s="93">
        <v>1.608526033577194</v>
      </c>
      <c r="F147" s="88" t="s">
        <v>322</v>
      </c>
      <c r="G147" s="88" t="b">
        <v>0</v>
      </c>
      <c r="H147" s="88" t="b">
        <v>0</v>
      </c>
      <c r="I147" s="88" t="b">
        <v>0</v>
      </c>
      <c r="J147" s="88" t="b">
        <v>0</v>
      </c>
      <c r="K147" s="88" t="b">
        <v>0</v>
      </c>
      <c r="L147" s="88" t="b">
        <v>0</v>
      </c>
    </row>
    <row r="148" spans="1:12" ht="15">
      <c r="A148" s="85" t="s">
        <v>876</v>
      </c>
      <c r="B148" s="88" t="s">
        <v>344</v>
      </c>
      <c r="C148" s="88">
        <v>3</v>
      </c>
      <c r="D148" s="93">
        <v>0.0073644893701456</v>
      </c>
      <c r="E148" s="93">
        <v>1.608526033577194</v>
      </c>
      <c r="F148" s="88" t="s">
        <v>322</v>
      </c>
      <c r="G148" s="88" t="b">
        <v>0</v>
      </c>
      <c r="H148" s="88" t="b">
        <v>0</v>
      </c>
      <c r="I148" s="88" t="b">
        <v>0</v>
      </c>
      <c r="J148" s="88" t="b">
        <v>0</v>
      </c>
      <c r="K148" s="88" t="b">
        <v>0</v>
      </c>
      <c r="L148" s="88" t="b">
        <v>0</v>
      </c>
    </row>
    <row r="149" spans="1:12" ht="15">
      <c r="A149" s="85" t="s">
        <v>875</v>
      </c>
      <c r="B149" s="88" t="s">
        <v>874</v>
      </c>
      <c r="C149" s="88">
        <v>3</v>
      </c>
      <c r="D149" s="93">
        <v>0.0073644893701456</v>
      </c>
      <c r="E149" s="93">
        <v>1.2405492482825997</v>
      </c>
      <c r="F149" s="88" t="s">
        <v>322</v>
      </c>
      <c r="G149" s="88" t="b">
        <v>0</v>
      </c>
      <c r="H149" s="88" t="b">
        <v>0</v>
      </c>
      <c r="I149" s="88" t="b">
        <v>0</v>
      </c>
      <c r="J149" s="88" t="b">
        <v>0</v>
      </c>
      <c r="K149" s="88" t="b">
        <v>0</v>
      </c>
      <c r="L149" s="88" t="b">
        <v>0</v>
      </c>
    </row>
    <row r="150" spans="1:12" ht="15">
      <c r="A150" s="85" t="s">
        <v>367</v>
      </c>
      <c r="B150" s="88" t="s">
        <v>358</v>
      </c>
      <c r="C150" s="88">
        <v>2</v>
      </c>
      <c r="D150" s="93">
        <v>0.006563098632263088</v>
      </c>
      <c r="E150" s="93">
        <v>1.8303747831935504</v>
      </c>
      <c r="F150" s="88" t="s">
        <v>322</v>
      </c>
      <c r="G150" s="88" t="b">
        <v>0</v>
      </c>
      <c r="H150" s="88" t="b">
        <v>0</v>
      </c>
      <c r="I150" s="88" t="b">
        <v>0</v>
      </c>
      <c r="J150" s="88" t="b">
        <v>0</v>
      </c>
      <c r="K150" s="88" t="b">
        <v>0</v>
      </c>
      <c r="L150" s="88" t="b">
        <v>0</v>
      </c>
    </row>
    <row r="151" spans="1:12" ht="15">
      <c r="A151" s="85" t="s">
        <v>877</v>
      </c>
      <c r="B151" s="88" t="s">
        <v>878</v>
      </c>
      <c r="C151" s="88">
        <v>2</v>
      </c>
      <c r="D151" s="93">
        <v>0.006563098632263088</v>
      </c>
      <c r="E151" s="93">
        <v>2.0064660422492318</v>
      </c>
      <c r="F151" s="88" t="s">
        <v>322</v>
      </c>
      <c r="G151" s="88" t="b">
        <v>0</v>
      </c>
      <c r="H151" s="88" t="b">
        <v>1</v>
      </c>
      <c r="I151" s="88" t="b">
        <v>0</v>
      </c>
      <c r="J151" s="88" t="b">
        <v>0</v>
      </c>
      <c r="K151" s="88" t="b">
        <v>1</v>
      </c>
      <c r="L151" s="88" t="b">
        <v>0</v>
      </c>
    </row>
    <row r="152" spans="1:12" ht="15">
      <c r="A152" s="85" t="s">
        <v>878</v>
      </c>
      <c r="B152" s="88" t="s">
        <v>879</v>
      </c>
      <c r="C152" s="88">
        <v>2</v>
      </c>
      <c r="D152" s="93">
        <v>0.006563098632263088</v>
      </c>
      <c r="E152" s="93">
        <v>2.0064660422492318</v>
      </c>
      <c r="F152" s="88" t="s">
        <v>322</v>
      </c>
      <c r="G152" s="88" t="b">
        <v>0</v>
      </c>
      <c r="H152" s="88" t="b">
        <v>1</v>
      </c>
      <c r="I152" s="88" t="b">
        <v>0</v>
      </c>
      <c r="J152" s="88" t="b">
        <v>0</v>
      </c>
      <c r="K152" s="88" t="b">
        <v>1</v>
      </c>
      <c r="L152" s="88" t="b">
        <v>0</v>
      </c>
    </row>
    <row r="153" spans="1:12" ht="15">
      <c r="A153" s="85" t="s">
        <v>879</v>
      </c>
      <c r="B153" s="88" t="s">
        <v>341</v>
      </c>
      <c r="C153" s="88">
        <v>2</v>
      </c>
      <c r="D153" s="93">
        <v>0.006563098632263088</v>
      </c>
      <c r="E153" s="93">
        <v>1.608526033577194</v>
      </c>
      <c r="F153" s="88" t="s">
        <v>322</v>
      </c>
      <c r="G153" s="88" t="b">
        <v>0</v>
      </c>
      <c r="H153" s="88" t="b">
        <v>1</v>
      </c>
      <c r="I153" s="88" t="b">
        <v>0</v>
      </c>
      <c r="J153" s="88" t="b">
        <v>0</v>
      </c>
      <c r="K153" s="88" t="b">
        <v>0</v>
      </c>
      <c r="L153" s="88" t="b">
        <v>0</v>
      </c>
    </row>
    <row r="154" spans="1:12" ht="15">
      <c r="A154" s="85" t="s">
        <v>362</v>
      </c>
      <c r="B154" s="88" t="s">
        <v>258</v>
      </c>
      <c r="C154" s="88">
        <v>2</v>
      </c>
      <c r="D154" s="93">
        <v>0.006563098632263088</v>
      </c>
      <c r="E154" s="93">
        <v>1.8303747831935504</v>
      </c>
      <c r="F154" s="88" t="s">
        <v>322</v>
      </c>
      <c r="G154" s="88" t="b">
        <v>0</v>
      </c>
      <c r="H154" s="88" t="b">
        <v>0</v>
      </c>
      <c r="I154" s="88" t="b">
        <v>0</v>
      </c>
      <c r="J154" s="88" t="b">
        <v>0</v>
      </c>
      <c r="K154" s="88" t="b">
        <v>0</v>
      </c>
      <c r="L154" s="88" t="b">
        <v>0</v>
      </c>
    </row>
    <row r="155" spans="1:12" ht="15">
      <c r="A155" s="85" t="s">
        <v>258</v>
      </c>
      <c r="B155" s="88" t="s">
        <v>876</v>
      </c>
      <c r="C155" s="88">
        <v>2</v>
      </c>
      <c r="D155" s="93">
        <v>0.006563098632263088</v>
      </c>
      <c r="E155" s="93">
        <v>1.6542835241378693</v>
      </c>
      <c r="F155" s="88" t="s">
        <v>322</v>
      </c>
      <c r="G155" s="88" t="b">
        <v>0</v>
      </c>
      <c r="H155" s="88" t="b">
        <v>0</v>
      </c>
      <c r="I155" s="88" t="b">
        <v>0</v>
      </c>
      <c r="J155" s="88" t="b">
        <v>0</v>
      </c>
      <c r="K155" s="88" t="b">
        <v>0</v>
      </c>
      <c r="L155" s="88" t="b">
        <v>0</v>
      </c>
    </row>
    <row r="156" spans="1:12" ht="15">
      <c r="A156" s="85" t="s">
        <v>519</v>
      </c>
      <c r="B156" s="88" t="s">
        <v>880</v>
      </c>
      <c r="C156" s="88">
        <v>2</v>
      </c>
      <c r="D156" s="93">
        <v>0.006563098632263088</v>
      </c>
      <c r="E156" s="93">
        <v>1.7054360465852505</v>
      </c>
      <c r="F156" s="88" t="s">
        <v>322</v>
      </c>
      <c r="G156" s="88" t="b">
        <v>0</v>
      </c>
      <c r="H156" s="88" t="b">
        <v>0</v>
      </c>
      <c r="I156" s="88" t="b">
        <v>0</v>
      </c>
      <c r="J156" s="88" t="b">
        <v>0</v>
      </c>
      <c r="K156" s="88" t="b">
        <v>0</v>
      </c>
      <c r="L156" s="88" t="b">
        <v>0</v>
      </c>
    </row>
    <row r="157" spans="1:12" ht="15">
      <c r="A157" s="85" t="s">
        <v>880</v>
      </c>
      <c r="B157" s="88" t="s">
        <v>881</v>
      </c>
      <c r="C157" s="88">
        <v>2</v>
      </c>
      <c r="D157" s="93">
        <v>0.006563098632263088</v>
      </c>
      <c r="E157" s="93">
        <v>2.0064660422492318</v>
      </c>
      <c r="F157" s="88" t="s">
        <v>322</v>
      </c>
      <c r="G157" s="88" t="b">
        <v>0</v>
      </c>
      <c r="H157" s="88" t="b">
        <v>0</v>
      </c>
      <c r="I157" s="88" t="b">
        <v>0</v>
      </c>
      <c r="J157" s="88" t="b">
        <v>0</v>
      </c>
      <c r="K157" s="88" t="b">
        <v>1</v>
      </c>
      <c r="L157" s="88" t="b">
        <v>0</v>
      </c>
    </row>
    <row r="158" spans="1:12" ht="15">
      <c r="A158" s="85" t="s">
        <v>881</v>
      </c>
      <c r="B158" s="88" t="s">
        <v>353</v>
      </c>
      <c r="C158" s="88">
        <v>2</v>
      </c>
      <c r="D158" s="93">
        <v>0.006563098632263088</v>
      </c>
      <c r="E158" s="93">
        <v>2.0064660422492318</v>
      </c>
      <c r="F158" s="88" t="s">
        <v>322</v>
      </c>
      <c r="G158" s="88" t="b">
        <v>0</v>
      </c>
      <c r="H158" s="88" t="b">
        <v>1</v>
      </c>
      <c r="I158" s="88" t="b">
        <v>0</v>
      </c>
      <c r="J158" s="88" t="b">
        <v>0</v>
      </c>
      <c r="K158" s="88" t="b">
        <v>0</v>
      </c>
      <c r="L158" s="88" t="b">
        <v>0</v>
      </c>
    </row>
    <row r="159" spans="1:12" ht="15">
      <c r="A159" s="85" t="s">
        <v>353</v>
      </c>
      <c r="B159" s="88" t="s">
        <v>875</v>
      </c>
      <c r="C159" s="88">
        <v>2</v>
      </c>
      <c r="D159" s="93">
        <v>0.006563098632263088</v>
      </c>
      <c r="E159" s="93">
        <v>1.608526033577194</v>
      </c>
      <c r="F159" s="88" t="s">
        <v>322</v>
      </c>
      <c r="G159" s="88" t="b">
        <v>0</v>
      </c>
      <c r="H159" s="88" t="b">
        <v>0</v>
      </c>
      <c r="I159" s="88" t="b">
        <v>0</v>
      </c>
      <c r="J159" s="88" t="b">
        <v>0</v>
      </c>
      <c r="K159" s="88" t="b">
        <v>0</v>
      </c>
      <c r="L159" s="88" t="b">
        <v>0</v>
      </c>
    </row>
    <row r="160" spans="1:12" ht="15">
      <c r="A160" s="85" t="s">
        <v>538</v>
      </c>
      <c r="B160" s="88" t="s">
        <v>372</v>
      </c>
      <c r="C160" s="88">
        <v>2</v>
      </c>
      <c r="D160" s="93">
        <v>0.006563098632263088</v>
      </c>
      <c r="E160" s="93">
        <v>1.2283147918655881</v>
      </c>
      <c r="F160" s="88" t="s">
        <v>322</v>
      </c>
      <c r="G160" s="88" t="b">
        <v>0</v>
      </c>
      <c r="H160" s="88" t="b">
        <v>0</v>
      </c>
      <c r="I160" s="88" t="b">
        <v>0</v>
      </c>
      <c r="J160" s="88" t="b">
        <v>0</v>
      </c>
      <c r="K160" s="88" t="b">
        <v>0</v>
      </c>
      <c r="L160" s="88" t="b">
        <v>0</v>
      </c>
    </row>
    <row r="161" spans="1:12" ht="15">
      <c r="A161" s="85" t="s">
        <v>372</v>
      </c>
      <c r="B161" s="88" t="s">
        <v>538</v>
      </c>
      <c r="C161" s="88">
        <v>2</v>
      </c>
      <c r="D161" s="93">
        <v>0.006563098632263088</v>
      </c>
      <c r="E161" s="93">
        <v>1.2283147918655881</v>
      </c>
      <c r="F161" s="88" t="s">
        <v>322</v>
      </c>
      <c r="G161" s="88" t="b">
        <v>0</v>
      </c>
      <c r="H161" s="88" t="b">
        <v>0</v>
      </c>
      <c r="I161" s="88" t="b">
        <v>0</v>
      </c>
      <c r="J161" s="88" t="b">
        <v>0</v>
      </c>
      <c r="K161" s="88" t="b">
        <v>0</v>
      </c>
      <c r="L161" s="88" t="b">
        <v>0</v>
      </c>
    </row>
    <row r="162" spans="1:12" ht="15">
      <c r="A162" s="85" t="s">
        <v>538</v>
      </c>
      <c r="B162" s="88" t="s">
        <v>356</v>
      </c>
      <c r="C162" s="88">
        <v>2</v>
      </c>
      <c r="D162" s="93">
        <v>0.006563098632263088</v>
      </c>
      <c r="E162" s="93">
        <v>0.8303747831935505</v>
      </c>
      <c r="F162" s="88" t="s">
        <v>322</v>
      </c>
      <c r="G162" s="88" t="b">
        <v>0</v>
      </c>
      <c r="H162" s="88" t="b">
        <v>0</v>
      </c>
      <c r="I162" s="88" t="b">
        <v>0</v>
      </c>
      <c r="J162" s="88" t="b">
        <v>0</v>
      </c>
      <c r="K162" s="88" t="b">
        <v>0</v>
      </c>
      <c r="L162" s="88" t="b">
        <v>0</v>
      </c>
    </row>
    <row r="163" spans="1:12" ht="15">
      <c r="A163" s="85" t="s">
        <v>356</v>
      </c>
      <c r="B163" s="88" t="s">
        <v>347</v>
      </c>
      <c r="C163" s="88">
        <v>2</v>
      </c>
      <c r="D163" s="93">
        <v>0.006563098632263088</v>
      </c>
      <c r="E163" s="93">
        <v>1.7054360465852505</v>
      </c>
      <c r="F163" s="88" t="s">
        <v>322</v>
      </c>
      <c r="G163" s="88" t="b">
        <v>0</v>
      </c>
      <c r="H163" s="88" t="b">
        <v>0</v>
      </c>
      <c r="I163" s="88" t="b">
        <v>0</v>
      </c>
      <c r="J163" s="88" t="b">
        <v>0</v>
      </c>
      <c r="K163" s="88" t="b">
        <v>0</v>
      </c>
      <c r="L163" s="88" t="b">
        <v>0</v>
      </c>
    </row>
    <row r="164" spans="1:12" ht="15">
      <c r="A164" s="85" t="s">
        <v>347</v>
      </c>
      <c r="B164" s="88" t="s">
        <v>366</v>
      </c>
      <c r="C164" s="88">
        <v>2</v>
      </c>
      <c r="D164" s="93">
        <v>0.006563098632263088</v>
      </c>
      <c r="E164" s="93">
        <v>2.0064660422492318</v>
      </c>
      <c r="F164" s="88" t="s">
        <v>322</v>
      </c>
      <c r="G164" s="88" t="b">
        <v>0</v>
      </c>
      <c r="H164" s="88" t="b">
        <v>0</v>
      </c>
      <c r="I164" s="88" t="b">
        <v>0</v>
      </c>
      <c r="J164" s="88" t="b">
        <v>0</v>
      </c>
      <c r="K164" s="88" t="b">
        <v>0</v>
      </c>
      <c r="L164" s="88" t="b">
        <v>0</v>
      </c>
    </row>
    <row r="165" spans="1:12" ht="15">
      <c r="A165" s="85" t="s">
        <v>366</v>
      </c>
      <c r="B165" s="88" t="s">
        <v>359</v>
      </c>
      <c r="C165" s="88">
        <v>2</v>
      </c>
      <c r="D165" s="93">
        <v>0.006563098632263088</v>
      </c>
      <c r="E165" s="93">
        <v>2.0064660422492318</v>
      </c>
      <c r="F165" s="88" t="s">
        <v>322</v>
      </c>
      <c r="G165" s="88" t="b">
        <v>0</v>
      </c>
      <c r="H165" s="88" t="b">
        <v>0</v>
      </c>
      <c r="I165" s="88" t="b">
        <v>0</v>
      </c>
      <c r="J165" s="88" t="b">
        <v>0</v>
      </c>
      <c r="K165" s="88" t="b">
        <v>0</v>
      </c>
      <c r="L165" s="88" t="b">
        <v>0</v>
      </c>
    </row>
    <row r="166" spans="1:12" ht="15">
      <c r="A166" s="85" t="s">
        <v>359</v>
      </c>
      <c r="B166" s="88" t="s">
        <v>882</v>
      </c>
      <c r="C166" s="88">
        <v>2</v>
      </c>
      <c r="D166" s="93">
        <v>0.006563098632263088</v>
      </c>
      <c r="E166" s="93">
        <v>2.0064660422492318</v>
      </c>
      <c r="F166" s="88" t="s">
        <v>322</v>
      </c>
      <c r="G166" s="88" t="b">
        <v>0</v>
      </c>
      <c r="H166" s="88" t="b">
        <v>0</v>
      </c>
      <c r="I166" s="88" t="b">
        <v>0</v>
      </c>
      <c r="J166" s="88" t="b">
        <v>0</v>
      </c>
      <c r="K166" s="88" t="b">
        <v>0</v>
      </c>
      <c r="L166" s="88" t="b">
        <v>0</v>
      </c>
    </row>
    <row r="167" spans="1:12" ht="15">
      <c r="A167" s="85" t="s">
        <v>882</v>
      </c>
      <c r="B167" s="88" t="s">
        <v>351</v>
      </c>
      <c r="C167" s="88">
        <v>2</v>
      </c>
      <c r="D167" s="93">
        <v>0.006563098632263088</v>
      </c>
      <c r="E167" s="93">
        <v>2.0064660422492318</v>
      </c>
      <c r="F167" s="88" t="s">
        <v>322</v>
      </c>
      <c r="G167" s="88" t="b">
        <v>0</v>
      </c>
      <c r="H167" s="88" t="b">
        <v>0</v>
      </c>
      <c r="I167" s="88" t="b">
        <v>0</v>
      </c>
      <c r="J167" s="88" t="b">
        <v>0</v>
      </c>
      <c r="K167" s="88" t="b">
        <v>0</v>
      </c>
      <c r="L167" s="88" t="b">
        <v>0</v>
      </c>
    </row>
    <row r="168" spans="1:12" ht="15">
      <c r="A168" s="85" t="s">
        <v>351</v>
      </c>
      <c r="B168" s="88" t="s">
        <v>538</v>
      </c>
      <c r="C168" s="88">
        <v>2</v>
      </c>
      <c r="D168" s="93">
        <v>0.006563098632263088</v>
      </c>
      <c r="E168" s="93">
        <v>1.2283147918655881</v>
      </c>
      <c r="F168" s="88" t="s">
        <v>322</v>
      </c>
      <c r="G168" s="88" t="b">
        <v>0</v>
      </c>
      <c r="H168" s="88" t="b">
        <v>0</v>
      </c>
      <c r="I168" s="88" t="b">
        <v>0</v>
      </c>
      <c r="J168" s="88" t="b">
        <v>0</v>
      </c>
      <c r="K168" s="88" t="b">
        <v>0</v>
      </c>
      <c r="L168" s="88" t="b">
        <v>0</v>
      </c>
    </row>
    <row r="169" spans="1:12" ht="15">
      <c r="A169" s="85" t="s">
        <v>538</v>
      </c>
      <c r="B169" s="88" t="s">
        <v>883</v>
      </c>
      <c r="C169" s="88">
        <v>2</v>
      </c>
      <c r="D169" s="93">
        <v>0.006563098632263088</v>
      </c>
      <c r="E169" s="93">
        <v>1.2283147918655881</v>
      </c>
      <c r="F169" s="88" t="s">
        <v>322</v>
      </c>
      <c r="G169" s="88" t="b">
        <v>0</v>
      </c>
      <c r="H169" s="88" t="b">
        <v>0</v>
      </c>
      <c r="I169" s="88" t="b">
        <v>0</v>
      </c>
      <c r="J169" s="88" t="b">
        <v>0</v>
      </c>
      <c r="K169" s="88" t="b">
        <v>0</v>
      </c>
      <c r="L169" s="88" t="b">
        <v>0</v>
      </c>
    </row>
    <row r="170" spans="1:12" ht="15">
      <c r="A170" s="85" t="s">
        <v>883</v>
      </c>
      <c r="B170" s="88" t="s">
        <v>874</v>
      </c>
      <c r="C170" s="88">
        <v>2</v>
      </c>
      <c r="D170" s="93">
        <v>0.006563098632263088</v>
      </c>
      <c r="E170" s="93">
        <v>1.462397997898956</v>
      </c>
      <c r="F170" s="88" t="s">
        <v>322</v>
      </c>
      <c r="G170" s="88" t="b">
        <v>0</v>
      </c>
      <c r="H170" s="88" t="b">
        <v>0</v>
      </c>
      <c r="I170" s="88" t="b">
        <v>0</v>
      </c>
      <c r="J170" s="88" t="b">
        <v>0</v>
      </c>
      <c r="K170" s="88" t="b">
        <v>0</v>
      </c>
      <c r="L170" s="88" t="b">
        <v>0</v>
      </c>
    </row>
    <row r="171" spans="1:12" ht="15">
      <c r="A171" s="85" t="s">
        <v>874</v>
      </c>
      <c r="B171" s="88" t="s">
        <v>369</v>
      </c>
      <c r="C171" s="88">
        <v>2</v>
      </c>
      <c r="D171" s="93">
        <v>0.006563098632263088</v>
      </c>
      <c r="E171" s="93">
        <v>0.9183299535486805</v>
      </c>
      <c r="F171" s="88" t="s">
        <v>322</v>
      </c>
      <c r="G171" s="88" t="b">
        <v>0</v>
      </c>
      <c r="H171" s="88" t="b">
        <v>0</v>
      </c>
      <c r="I171" s="88" t="b">
        <v>0</v>
      </c>
      <c r="J171" s="88" t="b">
        <v>0</v>
      </c>
      <c r="K171" s="88" t="b">
        <v>0</v>
      </c>
      <c r="L171" s="88" t="b">
        <v>0</v>
      </c>
    </row>
    <row r="172" spans="1:12" ht="15">
      <c r="A172" s="85" t="s">
        <v>896</v>
      </c>
      <c r="B172" s="88" t="s">
        <v>897</v>
      </c>
      <c r="C172" s="88">
        <v>2</v>
      </c>
      <c r="D172" s="93">
        <v>0.006563098632263088</v>
      </c>
      <c r="E172" s="93">
        <v>2.0064660422492318</v>
      </c>
      <c r="F172" s="88" t="s">
        <v>322</v>
      </c>
      <c r="G172" s="88" t="b">
        <v>0</v>
      </c>
      <c r="H172" s="88" t="b">
        <v>0</v>
      </c>
      <c r="I172" s="88" t="b">
        <v>0</v>
      </c>
      <c r="J172" s="88" t="b">
        <v>0</v>
      </c>
      <c r="K172" s="88" t="b">
        <v>0</v>
      </c>
      <c r="L172" s="88" t="b">
        <v>0</v>
      </c>
    </row>
    <row r="173" spans="1:12" ht="15">
      <c r="A173" s="85" t="s">
        <v>897</v>
      </c>
      <c r="B173" s="88" t="s">
        <v>355</v>
      </c>
      <c r="C173" s="88">
        <v>2</v>
      </c>
      <c r="D173" s="93">
        <v>0.006563098632263088</v>
      </c>
      <c r="E173" s="93">
        <v>2.0064660422492318</v>
      </c>
      <c r="F173" s="88" t="s">
        <v>322</v>
      </c>
      <c r="G173" s="88" t="b">
        <v>0</v>
      </c>
      <c r="H173" s="88" t="b">
        <v>0</v>
      </c>
      <c r="I173" s="88" t="b">
        <v>0</v>
      </c>
      <c r="J173" s="88" t="b">
        <v>0</v>
      </c>
      <c r="K173" s="88" t="b">
        <v>0</v>
      </c>
      <c r="L173" s="88" t="b">
        <v>0</v>
      </c>
    </row>
    <row r="174" spans="1:12" ht="15">
      <c r="A174" s="85" t="s">
        <v>355</v>
      </c>
      <c r="B174" s="88" t="s">
        <v>898</v>
      </c>
      <c r="C174" s="88">
        <v>2</v>
      </c>
      <c r="D174" s="93">
        <v>0.006563098632263088</v>
      </c>
      <c r="E174" s="93">
        <v>2.0064660422492318</v>
      </c>
      <c r="F174" s="88" t="s">
        <v>322</v>
      </c>
      <c r="G174" s="88" t="b">
        <v>0</v>
      </c>
      <c r="H174" s="88" t="b">
        <v>0</v>
      </c>
      <c r="I174" s="88" t="b">
        <v>0</v>
      </c>
      <c r="J174" s="88" t="b">
        <v>0</v>
      </c>
      <c r="K174" s="88" t="b">
        <v>0</v>
      </c>
      <c r="L174" s="88" t="b">
        <v>0</v>
      </c>
    </row>
    <row r="175" spans="1:12" ht="15">
      <c r="A175" s="85" t="s">
        <v>898</v>
      </c>
      <c r="B175" s="88" t="s">
        <v>536</v>
      </c>
      <c r="C175" s="88">
        <v>2</v>
      </c>
      <c r="D175" s="93">
        <v>0.006563098632263088</v>
      </c>
      <c r="E175" s="93">
        <v>1.8303747831935504</v>
      </c>
      <c r="F175" s="88" t="s">
        <v>322</v>
      </c>
      <c r="G175" s="88" t="b">
        <v>0</v>
      </c>
      <c r="H175" s="88" t="b">
        <v>0</v>
      </c>
      <c r="I175" s="88" t="b">
        <v>0</v>
      </c>
      <c r="J175" s="88" t="b">
        <v>0</v>
      </c>
      <c r="K175" s="88" t="b">
        <v>0</v>
      </c>
      <c r="L175" s="88" t="b">
        <v>0</v>
      </c>
    </row>
    <row r="176" spans="1:12" ht="15">
      <c r="A176" s="85" t="s">
        <v>536</v>
      </c>
      <c r="B176" s="88" t="s">
        <v>899</v>
      </c>
      <c r="C176" s="88">
        <v>2</v>
      </c>
      <c r="D176" s="93">
        <v>0.006563098632263088</v>
      </c>
      <c r="E176" s="93">
        <v>1.8303747831935504</v>
      </c>
      <c r="F176" s="88" t="s">
        <v>322</v>
      </c>
      <c r="G176" s="88" t="b">
        <v>0</v>
      </c>
      <c r="H176" s="88" t="b">
        <v>0</v>
      </c>
      <c r="I176" s="88" t="b">
        <v>0</v>
      </c>
      <c r="J176" s="88" t="b">
        <v>0</v>
      </c>
      <c r="K176" s="88" t="b">
        <v>0</v>
      </c>
      <c r="L176" s="88" t="b">
        <v>0</v>
      </c>
    </row>
    <row r="177" spans="1:12" ht="15">
      <c r="A177" s="85" t="s">
        <v>899</v>
      </c>
      <c r="B177" s="88" t="s">
        <v>900</v>
      </c>
      <c r="C177" s="88">
        <v>2</v>
      </c>
      <c r="D177" s="93">
        <v>0.006563098632263088</v>
      </c>
      <c r="E177" s="93">
        <v>2.0064660422492318</v>
      </c>
      <c r="F177" s="88" t="s">
        <v>322</v>
      </c>
      <c r="G177" s="88" t="b">
        <v>0</v>
      </c>
      <c r="H177" s="88" t="b">
        <v>0</v>
      </c>
      <c r="I177" s="88" t="b">
        <v>0</v>
      </c>
      <c r="J177" s="88" t="b">
        <v>0</v>
      </c>
      <c r="K177" s="88" t="b">
        <v>0</v>
      </c>
      <c r="L177" s="88" t="b">
        <v>0</v>
      </c>
    </row>
    <row r="178" spans="1:12" ht="15">
      <c r="A178" s="85" t="s">
        <v>900</v>
      </c>
      <c r="B178" s="88" t="s">
        <v>901</v>
      </c>
      <c r="C178" s="88">
        <v>2</v>
      </c>
      <c r="D178" s="93">
        <v>0.006563098632263088</v>
      </c>
      <c r="E178" s="93">
        <v>2.0064660422492318</v>
      </c>
      <c r="F178" s="88" t="s">
        <v>322</v>
      </c>
      <c r="G178" s="88" t="b">
        <v>0</v>
      </c>
      <c r="H178" s="88" t="b">
        <v>0</v>
      </c>
      <c r="I178" s="88" t="b">
        <v>0</v>
      </c>
      <c r="J178" s="88" t="b">
        <v>0</v>
      </c>
      <c r="K178" s="88" t="b">
        <v>0</v>
      </c>
      <c r="L178" s="88" t="b">
        <v>0</v>
      </c>
    </row>
    <row r="179" spans="1:12" ht="15">
      <c r="A179" s="85" t="s">
        <v>901</v>
      </c>
      <c r="B179" s="88" t="s">
        <v>902</v>
      </c>
      <c r="C179" s="88">
        <v>2</v>
      </c>
      <c r="D179" s="93">
        <v>0.006563098632263088</v>
      </c>
      <c r="E179" s="93">
        <v>2.0064660422492318</v>
      </c>
      <c r="F179" s="88" t="s">
        <v>322</v>
      </c>
      <c r="G179" s="88" t="b">
        <v>0</v>
      </c>
      <c r="H179" s="88" t="b">
        <v>0</v>
      </c>
      <c r="I179" s="88" t="b">
        <v>0</v>
      </c>
      <c r="J179" s="88" t="b">
        <v>0</v>
      </c>
      <c r="K179" s="88" t="b">
        <v>0</v>
      </c>
      <c r="L179" s="88" t="b">
        <v>0</v>
      </c>
    </row>
    <row r="180" spans="1:12" ht="15">
      <c r="A180" s="85" t="s">
        <v>902</v>
      </c>
      <c r="B180" s="88" t="s">
        <v>903</v>
      </c>
      <c r="C180" s="88">
        <v>2</v>
      </c>
      <c r="D180" s="93">
        <v>0.006563098632263088</v>
      </c>
      <c r="E180" s="93">
        <v>2.0064660422492318</v>
      </c>
      <c r="F180" s="88" t="s">
        <v>322</v>
      </c>
      <c r="G180" s="88" t="b">
        <v>0</v>
      </c>
      <c r="H180" s="88" t="b">
        <v>0</v>
      </c>
      <c r="I180" s="88" t="b">
        <v>0</v>
      </c>
      <c r="J180" s="88" t="b">
        <v>0</v>
      </c>
      <c r="K180" s="88" t="b">
        <v>0</v>
      </c>
      <c r="L180" s="88" t="b">
        <v>0</v>
      </c>
    </row>
    <row r="181" spans="1:12" ht="15">
      <c r="A181" s="85" t="s">
        <v>903</v>
      </c>
      <c r="B181" s="88" t="s">
        <v>904</v>
      </c>
      <c r="C181" s="88">
        <v>2</v>
      </c>
      <c r="D181" s="93">
        <v>0.006563098632263088</v>
      </c>
      <c r="E181" s="93">
        <v>2.0064660422492318</v>
      </c>
      <c r="F181" s="88" t="s">
        <v>322</v>
      </c>
      <c r="G181" s="88" t="b">
        <v>0</v>
      </c>
      <c r="H181" s="88" t="b">
        <v>0</v>
      </c>
      <c r="I181" s="88" t="b">
        <v>0</v>
      </c>
      <c r="J181" s="88" t="b">
        <v>0</v>
      </c>
      <c r="K181" s="88" t="b">
        <v>0</v>
      </c>
      <c r="L181" s="88" t="b">
        <v>0</v>
      </c>
    </row>
    <row r="182" spans="1:12" ht="15">
      <c r="A182" s="85" t="s">
        <v>904</v>
      </c>
      <c r="B182" s="88" t="s">
        <v>343</v>
      </c>
      <c r="C182" s="88">
        <v>2</v>
      </c>
      <c r="D182" s="93">
        <v>0.006563098632263088</v>
      </c>
      <c r="E182" s="93">
        <v>2.0064660422492318</v>
      </c>
      <c r="F182" s="88" t="s">
        <v>322</v>
      </c>
      <c r="G182" s="88" t="b">
        <v>0</v>
      </c>
      <c r="H182" s="88" t="b">
        <v>0</v>
      </c>
      <c r="I182" s="88" t="b">
        <v>0</v>
      </c>
      <c r="J182" s="88" t="b">
        <v>0</v>
      </c>
      <c r="K182" s="88" t="b">
        <v>0</v>
      </c>
      <c r="L182" s="88" t="b">
        <v>0</v>
      </c>
    </row>
    <row r="183" spans="1:12" ht="15">
      <c r="A183" s="85" t="s">
        <v>343</v>
      </c>
      <c r="B183" s="88" t="s">
        <v>345</v>
      </c>
      <c r="C183" s="88">
        <v>2</v>
      </c>
      <c r="D183" s="93">
        <v>0.006563098632263088</v>
      </c>
      <c r="E183" s="93">
        <v>2.0064660422492318</v>
      </c>
      <c r="F183" s="88" t="s">
        <v>322</v>
      </c>
      <c r="G183" s="88" t="b">
        <v>0</v>
      </c>
      <c r="H183" s="88" t="b">
        <v>0</v>
      </c>
      <c r="I183" s="88" t="b">
        <v>0</v>
      </c>
      <c r="J183" s="88" t="b">
        <v>0</v>
      </c>
      <c r="K183" s="88" t="b">
        <v>0</v>
      </c>
      <c r="L183" s="88" t="b">
        <v>0</v>
      </c>
    </row>
    <row r="184" spans="1:12" ht="15">
      <c r="A184" s="85" t="s">
        <v>345</v>
      </c>
      <c r="B184" s="88" t="s">
        <v>905</v>
      </c>
      <c r="C184" s="88">
        <v>2</v>
      </c>
      <c r="D184" s="93">
        <v>0.006563098632263088</v>
      </c>
      <c r="E184" s="93">
        <v>2.0064660422492318</v>
      </c>
      <c r="F184" s="88" t="s">
        <v>322</v>
      </c>
      <c r="G184" s="88" t="b">
        <v>0</v>
      </c>
      <c r="H184" s="88" t="b">
        <v>0</v>
      </c>
      <c r="I184" s="88" t="b">
        <v>0</v>
      </c>
      <c r="J184" s="88" t="b">
        <v>0</v>
      </c>
      <c r="K184" s="88" t="b">
        <v>0</v>
      </c>
      <c r="L184" s="88" t="b">
        <v>0</v>
      </c>
    </row>
    <row r="185" spans="1:12" ht="15">
      <c r="A185" s="85" t="s">
        <v>905</v>
      </c>
      <c r="B185" s="88" t="s">
        <v>348</v>
      </c>
      <c r="C185" s="88">
        <v>2</v>
      </c>
      <c r="D185" s="93">
        <v>0.006563098632263088</v>
      </c>
      <c r="E185" s="93">
        <v>2.0064660422492318</v>
      </c>
      <c r="F185" s="88" t="s">
        <v>322</v>
      </c>
      <c r="G185" s="88" t="b">
        <v>0</v>
      </c>
      <c r="H185" s="88" t="b">
        <v>0</v>
      </c>
      <c r="I185" s="88" t="b">
        <v>0</v>
      </c>
      <c r="J185" s="88" t="b">
        <v>1</v>
      </c>
      <c r="K185" s="88" t="b">
        <v>0</v>
      </c>
      <c r="L185" s="88" t="b">
        <v>0</v>
      </c>
    </row>
    <row r="186" spans="1:12" ht="15">
      <c r="A186" s="85" t="s">
        <v>348</v>
      </c>
      <c r="B186" s="88" t="s">
        <v>578</v>
      </c>
      <c r="C186" s="88">
        <v>2</v>
      </c>
      <c r="D186" s="93">
        <v>0.006563098632263088</v>
      </c>
      <c r="E186" s="93">
        <v>2.0064660422492318</v>
      </c>
      <c r="F186" s="88" t="s">
        <v>322</v>
      </c>
      <c r="G186" s="88" t="b">
        <v>1</v>
      </c>
      <c r="H186" s="88" t="b">
        <v>0</v>
      </c>
      <c r="I186" s="88" t="b">
        <v>0</v>
      </c>
      <c r="J186" s="88" t="b">
        <v>0</v>
      </c>
      <c r="K186" s="88" t="b">
        <v>0</v>
      </c>
      <c r="L186" s="88" t="b">
        <v>0</v>
      </c>
    </row>
    <row r="187" spans="1:12" ht="15">
      <c r="A187" s="85" t="s">
        <v>559</v>
      </c>
      <c r="B187" s="88" t="s">
        <v>520</v>
      </c>
      <c r="C187" s="88">
        <v>2</v>
      </c>
      <c r="D187" s="93">
        <v>0.010204406632677328</v>
      </c>
      <c r="E187" s="93">
        <v>1.4393326938302626</v>
      </c>
      <c r="F187" s="88" t="s">
        <v>324</v>
      </c>
      <c r="G187" s="88" t="b">
        <v>0</v>
      </c>
      <c r="H187" s="88" t="b">
        <v>0</v>
      </c>
      <c r="I187" s="88" t="b">
        <v>0</v>
      </c>
      <c r="J187" s="88" t="b">
        <v>0</v>
      </c>
      <c r="K187" s="88" t="b">
        <v>0</v>
      </c>
      <c r="L187" s="88" t="b">
        <v>0</v>
      </c>
    </row>
    <row r="188" spans="1:12" ht="15">
      <c r="A188" s="85" t="s">
        <v>520</v>
      </c>
      <c r="B188" s="88" t="s">
        <v>906</v>
      </c>
      <c r="C188" s="88">
        <v>2</v>
      </c>
      <c r="D188" s="93">
        <v>0.010204406632677328</v>
      </c>
      <c r="E188" s="93">
        <v>1.4393326938302626</v>
      </c>
      <c r="F188" s="88" t="s">
        <v>324</v>
      </c>
      <c r="G188" s="88" t="b">
        <v>0</v>
      </c>
      <c r="H188" s="88" t="b">
        <v>0</v>
      </c>
      <c r="I188" s="88" t="b">
        <v>0</v>
      </c>
      <c r="J188" s="88" t="b">
        <v>0</v>
      </c>
      <c r="K188" s="88" t="b">
        <v>1</v>
      </c>
      <c r="L188" s="88" t="b">
        <v>0</v>
      </c>
    </row>
    <row r="189" spans="1:12" ht="15">
      <c r="A189" s="85" t="s">
        <v>906</v>
      </c>
      <c r="B189" s="88" t="s">
        <v>364</v>
      </c>
      <c r="C189" s="88">
        <v>2</v>
      </c>
      <c r="D189" s="93">
        <v>0.010204406632677328</v>
      </c>
      <c r="E189" s="93">
        <v>1.4393326938302626</v>
      </c>
      <c r="F189" s="88" t="s">
        <v>324</v>
      </c>
      <c r="G189" s="88" t="b">
        <v>0</v>
      </c>
      <c r="H189" s="88" t="b">
        <v>1</v>
      </c>
      <c r="I189" s="88" t="b">
        <v>0</v>
      </c>
      <c r="J189" s="88" t="b">
        <v>0</v>
      </c>
      <c r="K189" s="88" t="b">
        <v>0</v>
      </c>
      <c r="L189" s="88" t="b">
        <v>0</v>
      </c>
    </row>
    <row r="190" spans="1:12" ht="15">
      <c r="A190" s="85" t="s">
        <v>344</v>
      </c>
      <c r="B190" s="88" t="s">
        <v>519</v>
      </c>
      <c r="C190" s="88">
        <v>2</v>
      </c>
      <c r="D190" s="93">
        <v>0.010204406632677328</v>
      </c>
      <c r="E190" s="93">
        <v>1.2632414347745815</v>
      </c>
      <c r="F190" s="88" t="s">
        <v>324</v>
      </c>
      <c r="G190" s="88" t="b">
        <v>0</v>
      </c>
      <c r="H190" s="88" t="b">
        <v>0</v>
      </c>
      <c r="I190" s="88" t="b">
        <v>0</v>
      </c>
      <c r="J190" s="88" t="b">
        <v>0</v>
      </c>
      <c r="K190" s="88" t="b">
        <v>0</v>
      </c>
      <c r="L190" s="88" t="b">
        <v>0</v>
      </c>
    </row>
    <row r="191" spans="1:12" ht="15">
      <c r="A191" s="85" t="s">
        <v>874</v>
      </c>
      <c r="B191" s="88" t="s">
        <v>538</v>
      </c>
      <c r="C191" s="88">
        <v>2</v>
      </c>
      <c r="D191" s="93">
        <v>0.010204406632677328</v>
      </c>
      <c r="E191" s="93">
        <v>0.9622114391106003</v>
      </c>
      <c r="F191" s="88" t="s">
        <v>324</v>
      </c>
      <c r="G191" s="88" t="b">
        <v>0</v>
      </c>
      <c r="H191" s="88" t="b">
        <v>0</v>
      </c>
      <c r="I191" s="88" t="b">
        <v>0</v>
      </c>
      <c r="J191" s="88" t="b">
        <v>0</v>
      </c>
      <c r="K191" s="88" t="b">
        <v>0</v>
      </c>
      <c r="L19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CF4672-5C7C-4403-BA30-261F6ECEC1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2022-05-17T01:00:52Z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