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Default Extension="wmf" ContentType="image/x-wmf"/>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128"/>
  <workbookPr codeName="ThisWorkbook" defaultThemeVersion="124226"/>
  <bookViews>
    <workbookView xWindow="65428" yWindow="65428" windowWidth="23256" windowHeight="12456"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Group Edges" sheetId="10" r:id="rId10"/>
    <sheet name="Export Options" sheetId="11" r:id="rId11"/>
    <sheet name="Top Items" sheetId="12" r:id="rId12"/>
    <sheet name="Time Series Edges" sheetId="14" state="hidden" r:id="rId13"/>
    <sheet name="Network Top Items" sheetId="13" r:id="rId14"/>
    <sheet name="Time Series" sheetId="15" r:id="rId15"/>
  </sheets>
  <definedNames>
    <definedName name="BinDivisor">'Overall Metrics'!$X$2</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 r:id="rId16"/>
  </pivotCaches>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<sst xmlns="http://schemas.openxmlformats.org/spreadsheetml/2006/main" count="1846" uniqueCount="607">
  <si>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</si>
  <si>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</si>
  <si>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</si>
  <si>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</si>
  <si>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</si>
  <si>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</si>
  <si>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</si>
  <si>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</si>
  <si>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</si>
  <si>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</si>
  <si>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</si>
  <si>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</si>
  <si>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</si>
  <si>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</si>
  <si>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</si>
  <si>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</si>
  <si>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</si>
  <si>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</si>
  <si>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</si>
  <si>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</si>
  <si>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</si>
  <si>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</si>
  <si>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</si>
  <si>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</si>
  <si>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</si>
  <si>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</si>
  <si>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</si>
  <si>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</si>
  <si>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</si>
  <si>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</si>
  <si>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</si>
  <si>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</si>
  <si>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</si>
  <si>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</si>
  <si>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</si>
  <si>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</si>
  <si>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</si>
  <si>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</si>
  <si>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</si>
  <si>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</si>
  <si>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</si>
  <si>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</si>
  <si>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</si>
  <si>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</si>
  <si>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</si>
  <si>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</si>
  <si>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</si>
  <si>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</si>
  <si>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</si>
  <si>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</si>
  <si>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</si>
  <si>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</si>
  <si>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</si>
  <si>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</si>
  <si>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</si>
  <si>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</si>
  <si>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</si>
  <si>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</si>
  <si>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</si>
  <si>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</si>
  <si>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</si>
  <si>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</si>
  <si>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</si>
  <si>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</si>
  <si>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</si>
  <si>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</si>
  <si>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</si>
  <si>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</si>
  <si>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</si>
  <si>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</si>
  <si>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</si>
  <si>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</si>
  <si>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</si>
  <si>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</si>
  <si>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</si>
  <si>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</si>
  <si>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</si>
  <si>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</si>
  <si>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</si>
  <si>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</si>
  <si>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</si>
  <si>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</si>
  <si>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</si>
  <si>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</si>
  <si>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</si>
  <si>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</si>
  <si>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</si>
  <si>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</si>
  <si>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</si>
  <si>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</si>
  <si>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</si>
  <si>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</si>
  <si>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</si>
  <si>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</si>
  <si>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</si>
  <si>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</si>
  <si>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</si>
  <si>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</si>
  <si>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</si>
  <si>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</si>
  <si>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</si>
  <si>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</si>
  <si>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</si>
  <si>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</si>
  <si>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</si>
  <si>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</si>
  <si>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</si>
  <si>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</si>
  <si>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</si>
  <si>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</si>
  <si>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</si>
  <si>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</si>
  <si>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</si>
  <si>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</si>
  <si>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</si>
  <si>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</si>
  <si>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</si>
  <si>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</si>
  <si>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</si>
  <si>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</si>
  <si>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</si>
  <si>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</si>
  <si>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</si>
  <si>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</si>
  <si>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</si>
  <si>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</si>
  <si>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</si>
  <si>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</si>
  <si>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</si>
  <si>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</si>
  <si>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</si>
  <si>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</si>
  <si>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</si>
  <si>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</si>
  <si>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</si>
  <si>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</si>
  <si>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</si>
  <si>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</si>
  <si>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</si>
  <si>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</si>
  <si>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</si>
  <si>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</si>
  <si>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</si>
  <si>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</si>
  <si>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</si>
  <si>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</si>
  <si>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</si>
  <si>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</si>
  <si>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</si>
  <si>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</si>
  <si>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</si>
  <si>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</si>
  <si>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</si>
  <si>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</si>
  <si>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</si>
  <si>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</si>
  <si>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</si>
  <si>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</si>
  <si>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</si>
  <si>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</si>
  <si>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</si>
  <si>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</si>
  <si>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</si>
  <si>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</si>
  <si>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</si>
  <si>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</si>
  <si>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</si>
  <si>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</si>
  <si>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</si>
  <si>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</si>
  <si>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</si>
  <si>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</si>
  <si>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</si>
  <si>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</si>
  <si>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</si>
  <si>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</si>
  <si>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</si>
  <si>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</si>
  <si>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</si>
  <si>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</si>
  <si>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</si>
  <si>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</si>
  <si>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</si>
  <si>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</si>
  <si>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</si>
  <si>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</si>
  <si>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</si>
  <si>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</si>
  <si>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</si>
  <si>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</si>
  <si>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</si>
  <si>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</si>
  <si>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name="WordMetricUserSettingsDialog" type="System.Configuration.ClientSettingsSection, System, Version=2.0.0.0, Culture=neutral, PublicKeyToken=b77a5c561934e089" allowExeDefinition="MachineToLocalUser" requirePermission="false" /&gt;
      &lt;section name="GroupUserSettingsDialog" type="System.Configuration.ClientSettingsSection, System, Version=2.0.0.0, Culture=neutral, PublicKeyToken=b77a5c561934e089" allowExeDefinition="MachineToLocalUser" requirePermission="false" /&gt;
      &lt;section name="TimeSeriesUserSettingsDialog" type="System.Configuration.ClientSettingsSection, System, Version=2.0.0.0, Culture=neutral, PublicKeyToken=b77a5c561934e089" allowExeDefinition="MachineToLocalUser" requirePermission="false" /&gt;
      &lt;section name="ExportToNodeXLGraphGalleryDialog" type="System.Configuration.ClientSettingsSection, System, Version=2.0.0.0, Culture=neutral, PublicKeyToken=b77a5c561934e089" allowExeDefinition="MachineToLocalUser" requirePermission="false" /&gt;
      &lt;section name="PasswordUserSettings" type="System.Configuration.ClientSettingsSection, System, Version=2.0.0.0, Culture=neutral, PublicKeyToken=b77a5c561934e089" allowExeDefinition="MachineToLocalUser" requirePermission="false" /&gt;
      &lt;section name="GraphSummaryDialog" type="System.Configuration.ClientSettingsSection, System, Version=2.0.0.0, Culture=neutral, PublicKeyToken=b77a5c561934e089" allowExeDefinition="MachineToLocalUser" requirePermission="false" /&gt;
      &lt;section name="OverallMetricsUserSettingsDialog" type="System.Configuration.ClientSettingsSection, System, Version=2.0.0.0, Culture=neutral, PublicKeyToken=b77a5c561934e089" allowExeDefinition="MachineToLocalUser" requirePermission="false" /&gt;
      &lt;section name="NumericComparisonColumnAutoFillUserSettingsDialog2" type="System.Configuration.ClientSettingsSection, System, Version=2.0.0.0, Culture=neutral, PublicKeyToken=b77a5c561934e089" allowExeDefinition="MachineToLocalUser" requirePermission="false" /&gt;
      &lt;section name="ExportDataUserSettingsDialog" type="System.Configuration.ClientSettingsSection, System, Version=2.0.0.0, Culture=neutral, PublicKeyToken=b77a5c561934e089" allowExeDefinition="MachineToLocalUser" requirePermission="false" /&gt;
      &lt;section name="CreateSubgraphImagesDialog3" type="System.Configuration.ClientSettingsSection, System, Version=2.0.0.0, Culture=neutral, PublicKeyToken=b77a5c561934e089" allowExeDefinition="MachineToLocalUser" requirePermission="false" /&gt;
      &lt;section name="AlphaDialog" type="System.Configuration.ClientSettingsSection, System, Version=2.0.0.0, Culture=neutral, PublicKeyToken=b77a5c561934e089" allowExeDefinition="MachineToLocalUser" requirePermission="false" /&gt;
      &lt;section name="NetworkTopItemsUserSettingsDialog" type="System.Configuration.ClientSettingsSection, System, Version=2.0.0.0, Culture=neutral, PublicKeyToken=b77a5c561934e089" allowExeDefinition="MachineToLocalUser" requirePermission="false" /&gt;
      &lt;section name="NotificationDialog2" type="System.Configuration.ClientSettingsSection, System, Version=2.0.0.0, Culture=neutral, PublicKeyToken=b77a5c561934e089" allowExeDefinition="MachineToLocalUser" requirePermission="false" /&gt;
      &lt;section name="NumericRangeColumnAutoFillUserSettingsDialog" type="System.Configuration.ClientSettingsSection, System, Version=2.0.0.0, Culture=neutral, PublicKeyToken=b77a5c561934e089" allowExeDefinition="MachineToLocalUser" requirePermission="false" /&gt;
      &lt;section name="GeneralUserSettingsDialog5" type="System.Configuration.ClientSettingsSection, System, Version=2.0.0.0, Culture=neutral, PublicKeyToken=b77a5c561934e089" allowExeDefinition="MachineToLocalUser" requirePermission="false" /&gt;
      &lt;section name="LabelUserSettingsDialog" type="System.Configuration.ClientSettingsSection, System, Version=2.0.0.0, Culture=neutral, PublicKeyToken=b77a5c561934e089" allowExeDefinition="MachineToLocalUser" requirePermission="false" /&gt;
      &lt;section name="LayoutUserSettingsDialog4" type="System.Configuration.ClientSettingsSection, System, Version=2.0.0.0, Culture=neutral, PublicKeyToken=b77a5c561934e089" allowExeDefinition="MachineToLocalUser" requirePermission="false" /&gt;
      &lt;section name="GroupLabelColumnAutoFillUserSettingsDialog" type="System.Configuration.ClientSettingsSection, System, Version=2.0.0.0, Culture=neutral, PublicKeyToken=b77a5c561934e089" allowExeDefinition="MachineToLocalUser" requirePermission="false" /&gt;
      &lt;section name="NotificationUserSettings" type="System.Configuration.ClientSettingsSection, System, Version=2.0.0.0, Culture=neutral, PublicKeyToken=b77a5c561934e089" allowExeDefinition="MachineToLocalUser" requirePermission="false" /&gt;
      &lt;section name="CalculateGraphMetricsDialog" type="System.Configuration.ClientSettingsSection, System, Version=2.0.0.0, Culture=neutral, PublicKeyToken=b77a5c561934e089" allowExeDefinition="MachineToLocalUser" requirePermission="false" /&gt;
      &lt;section name="GraphMetricsDialog6" type="System.Configuration.ClientSettingsSection, System, Version=2.0.0.0, Culture=neutral, PublicKeyToken=b77a5c561934e089" allowExeDefinition="MachineToLocalUser" requirePermission="false" /&gt;
      &lt;section name="NetworkTopItemsUserSettingsListDialogUserSettings" type="System.Configuration.ClientSettingsSection, System, Version=2.0.0.0, Culture=neutral, PublicKeyToken=b77a5c561934e089" allowExeDefinition="MachineToLocalUser" requirePermission="false" /&gt;
      &lt;section name="AutoFillWorkbookDialog5" type="System.Configuration.ClientSettingsSection, System, Version=2.0.0.0, Culture=neutral, PublicKeyToken=b77a5c561934e089" allowExeDefinition="MachineToLocalUser" requirePermission="false" /&gt;
      &lt;section name="AutomateTasksDialog2" type="System.Configuration.ClientSettingsSection, Syst</t>
  </si>
  <si>
    <t>em, Version=2.0.0.0, Culture=neutral, PublicKeyToken=b77a5c561934e089" allowExeDefinition="MachineToLocalUser" requirePermission="false" /&gt;
      &lt;section name="GraphImageUserSettingsDialog3" type="System.Configuration.ClientSettingsSection, System, Version=2.0.0.0, Culture=neutral, PublicKeyToken=b77a5c561934e089" allowExeDefinition="MachineToLocalUser" requirePermission="false" /&gt;
      &lt;section name="ImportDataUserSettingsDialog"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&lt;/sectionGroup&gt;
  &lt;/configSections&gt;
  &lt;userSettings&gt;
    &lt;WordMetricUserSettingsDialog&gt;
      &lt;setting name="FormLocation" serializeAs="String"&gt;
        &lt;value&gt;26, 26&lt;/value&gt;
      &lt;/setting&gt;
      &lt;setting name="FormWindowState" serializeAs="String"&gt;
        &lt;value&gt;Normal&lt;/value&gt;
      &lt;/setting&gt;
      &lt;setting name="FormSize" serializeAs="String"&gt;
        &lt;value&gt;582, 469&lt;/value&gt;
      &lt;/setting&gt;
      &lt;setting name="HasBeenSaved" serializeAs="String"&gt;
        &lt;value&gt;True&lt;/value&gt;
      &lt;/setting&gt;
    &lt;/WordMetricUserSettingsDialog&gt;
    &lt;GroupUserSettingsDialog&gt;
      &lt;setting name="FormLocation" serializeAs="String"&gt;
        &lt;value&gt;208, 208&lt;/value&gt;
      &lt;/setting&gt;
      &lt;setting name="FormWindowState" serializeAs="String"&gt;
        &lt;va</t>
  </si>
  <si>
    <t>lue&gt;Normal&lt;/value&gt;
      &lt;/setting&gt;
      &lt;setting name="FormSize" serializeAs="String"&gt;
        &lt;value&gt;442, 401&lt;/value&gt;
      &lt;/setting&gt;
      &lt;setting name="HasBeenSaved" serializeAs="String"&gt;
        &lt;value&gt;True&lt;/value&gt;
      &lt;/setting&gt;
    &lt;/GroupUserSettingsDialog&gt;
    &lt;TimeSeriesUserSettingsDialog&gt;
      &lt;setting name="FormLocation" serializeAs="String"&gt;
        &lt;value&gt;52, 52&lt;/value&gt;
      &lt;/setting&gt;
      &lt;setting name="FormWindowState" serializeAs="String"&gt;
        &lt;value&gt;Normal&lt;/value&gt;
      &lt;/setting&gt;
      &lt;setting name="FormSize" serializeAs="String"&gt;
        &lt;value&gt;323, 491&lt;/value&gt;
      &lt;/setting&gt;
      &lt;setting name="HasBeenSaved" serializeAs="String"&gt;
        &lt;value&gt;True&lt;/value&gt;
      &lt;/setting&gt;
    &lt;/TimeSeriesUserSettingsDialog&gt;
    &lt;ExportToNodeXLGraphGalleryDialog&gt;
      &lt;setting name="FormLocation" serializeAs="String"&gt;
        &lt;value&gt;26, 26&lt;/value&gt;
      &lt;/setting&gt;
      &lt;setting name="FormWindowState" serializeAs="String"&gt;
        &lt;value&gt;Normal&lt;/value&gt;
      &lt;/setting&gt;
      &lt;setting name="FormSize" serializeAs="String"&gt;
        &lt;value&gt;596, 600&lt;/value&gt;
      &lt;/setting&gt;
      &lt;setting name="HasBeenSaved" serializeAs="String"&gt;
        &lt;value&gt;True&lt;/value&gt;
      &lt;/setting&gt;
    &lt;/ExportToNodeXLGraphGalleryDialog&gt;
    &lt;PasswordUserSettings&gt;
      &lt;setting name="NodeXLGraphGalleryPassword" serializeAs="String"&gt;
        &lt;value&gt;SmurfTurf19&lt;/value&gt;
      &lt;/setting&gt;
    &lt;/PasswordUserSettings&gt;
    &lt;GraphSummaryDialog&gt;
      &lt;setting name="FormLocation" serializeAs="String"&gt;
        &lt;value&gt;234, 234&lt;/value&gt;
      &lt;/setting&gt;
      &lt;setting name="FormWindowState" serializeAs="String"&gt;
        &lt;value&gt;Normal&lt;/value&gt;
      &lt;/setting&gt;
      &lt;setting name="FormSize" serializeAs="String"&gt;
        &lt;value&gt;487, 633&lt;/value&gt;
      &lt;/setting&gt;
      &lt;setting name="HasBeenSaved" serializeAs="String"&gt;
        &lt;value&gt;True&lt;/value&gt;
      &lt;/setting&gt;
    &lt;/GraphSummaryDialog&gt;
    &lt;OverallMetricsUserSettingsDialog&gt;
      &lt;setting name="FormLocation" serializeAs="String"&gt;
        &lt;value&gt;78, 78&lt;/value&gt;
      &lt;/setting&gt;
      &lt;setting name="FormWindowState" serializeAs="String"&gt;
        &lt;value&gt;Normal&lt;/value&gt;
      &lt;/setting&gt;
      &lt;setting name="FormSize" serializeAs="String"&gt;
        &lt;value&gt;337, 181&lt;/value&gt;
      &lt;/setting&gt;
      &lt;setting name="HasBeenSaved" serializeAs="String"&gt;
        &lt;value&gt;True&lt;/value&gt;
      &lt;/setting&gt;
    &lt;/OverallMetricsUserSettingsDialog&gt;
    &lt;NumericComparisonColumnAutoFillUserSettingsDialog2&gt;
      &lt;setting name="FormLocation" serializeAs="String"&gt;
        &lt;value&gt;182, 182&lt;/value&gt;
      &lt;/setting&gt;
      &lt;setting name="FormWindowState" serializeAs="String"&gt;
        &lt;value&gt;Normal&lt;/value&gt;
      &lt;/setting&gt;
      &lt;setting name="FormSize" serializeAs="String"&gt;
        &lt;value&gt;279, 264&lt;/value&gt;
      &lt;/setting&gt;
      &lt;setting name="HasBeenSaved" serializeAs="String"&gt;
        &lt;value&gt;True&lt;/value&gt;
      &lt;/setting&gt;
    &lt;/NumericComparisonColumnAutoFillUserSettingsDialog2&gt;
    &lt;ExportDataUserSettingsDialog&gt;
      &lt;setting name="FormLocation" serializeAs="String"&gt;
        &lt;value&gt;182, 182&lt;/value&gt;
      &lt;/setting&gt;
      &lt;setting name="FormWindowState" serializeAs="String"&gt;
        &lt;value&gt;Normal&lt;/value&gt;
      &lt;/setting&gt;
      &lt;setting name="FormSize" serializeAs="String"&gt;
        &lt;value&gt;411, 374&lt;/value&gt;
      &lt;/setting&gt;
      &lt;setting name="HasBeenSaved" serializeAs="String"&gt;
        &lt;value&gt;True&lt;/value&gt;
      &lt;/setting&gt;
    &lt;/ExportDataUserSettingsDialog&gt;
    &lt;CreateSubgraphImagesDialog3&gt;
      &lt;setting name="SelectIncidentEdges" serializeAs="String"&gt;
        &lt;value&gt;False&lt;/value&gt;
      &lt;/setting&gt;
      &lt;setting name="SelectedVerticesOnly" serializeAs="String"&gt;
        &lt;value&gt;False&lt;/value&gt;
      &lt;/setting&gt;
      &lt;setting name="HasBeenSaved" serializeAs="String"&gt;
        &lt;value&gt;True&lt;/value&gt;
      &lt;/setting&gt;
      &lt;setting name="ThumbnailSizePx" serializeAs="String"&gt;
        &lt;value&gt;76, 50&lt;/value&gt;
      &lt;/setting&gt;
      &lt;setting name="SaveToFolder" serializeAs="String"&gt;
        &lt;value&gt;False&lt;/value&gt;
      &lt;/setting&gt;
      &lt;setting name="InsertThumbnails" serializeAs="String"&gt;
        &lt;value&gt;True&lt;/value&gt;
      &lt;/setting&gt;
      &lt;setting name="SelectVertex" serializeAs="String"&gt;
        &lt;value&gt;True&lt;/value&gt;
      &lt;/setting&gt;
      &lt;setting name="Levels" serializeAs="String"&gt;
        &lt;value&gt;1.5&lt;/value&gt;
      &lt;/setting&gt;
      &lt;setting name="FormSize" serializeAs="String"&gt;
        &lt;value&gt;584, 504&lt;/value&gt;
      &lt;/setting&gt;
      &lt;setting name="FormLocation" serializeAs="String"&gt;
        &lt;value&gt;234, 234&lt;/value&gt;
      &lt;/setting&gt;
      &lt;setting name="ImageSizePx" serializeAs="String"&gt;
        &lt;value&gt;200, 200&lt;/value&gt;
      &lt;/setting&gt;
      &lt;setting name="FormWindowState" serializeAs="String"&gt;
        &lt;value&gt;Normal&lt;/value&gt;
      &lt;/setting&gt;
      &lt;setting name="ImageFormat" serializeAs="String"&gt;
        &lt;value&gt;Png&lt;/value&gt;
      &lt;/setting&gt;
    &lt;/CreateSubgraphImagesDialog3&gt;
    &lt;AlphaDialog&gt;
      &lt;setting name="FormLocation" serializeAs="String"&gt;
        &lt;value&gt;26, 26&lt;/value&gt;
      &lt;/setting&gt;
      &lt;setting name="FormWindowState" serializeAs="String"&gt;
        &lt;value&gt;Normal&lt;/value&gt;
      &lt;/setting&gt;
      &lt;setting name="FormSize" serializeAs="String"&gt;
        &lt;value&gt;211, 128&lt;/value&gt;
      &lt;/setting&gt;
      &lt;setting name="HasBeenSaved" serializeAs="String"&gt;
        &lt;value&gt;True&lt;/value&gt;
      &lt;/setting&gt;
    &lt;/AlphaDialog&gt;
    &lt;NetworkTopItemsUserSettingsDialog&gt;
      &lt;setting name="FormLocation" serializeAs="String"&gt;
        &lt;value&gt;104, 104&lt;/value&gt;
      &lt;/setting&gt;
      &lt;setting name="FormWindowState" serializeAs="String"&gt;
        &lt;value&gt;Normal&lt;/value&gt;
      &lt;/setting&gt;
      &lt;setting name="FormSize" serializeAs="String"&gt;
        &lt;value&gt;379, 240&lt;/value&gt;
      &lt;/setting&gt;
      &lt;setting name="HasBeenSaved" serializeAs="String"&gt;
        &lt;value&gt;True&lt;/value&gt;
      &lt;/setting&gt;
    &lt;/NetworkTopItemsUserSettingsDialog&gt;
    &lt;NotificationDialog2&gt;
      &lt;setting name=</t>
  </si>
  <si>
    <t xml:space="preserve">"FormLocation" serializeAs="String"&gt;
        &lt;value&gt;234, 234&lt;/value&gt;
      &lt;/setting&gt;
      &lt;setting name="FormWindowState" serializeAs="String"&gt;
        &lt;value&gt;Normal&lt;/value&gt;
      &lt;/setting&gt;
      &lt;setting name="FormSize" serializeAs="String"&gt;
        &lt;value&gt;357, 228&lt;/value&gt;
      &lt;/setting&gt;
      &lt;setting name="HasBeenSaved" serializeAs="String"&gt;
        &lt;value&gt;True&lt;/value&gt;
      &lt;/setting&gt;
    &lt;/NotificationDialog2&gt;
    &lt;NumericRangeColumnAutoFillUserSettingsDialog&gt;
      &lt;setting name="FormLocation" serializeAs="String"&gt;
        &lt;value&gt;26, 26&lt;/value&gt;
      &lt;/setting&gt;
      &lt;setting name="FormWindowState" serializeAs="String"&gt;
        &lt;value&gt;Normal&lt;/value&gt;
      &lt;/setting&gt;
      &lt;setting name="FormSize" serializeAs="String"&gt;
        &lt;value&gt;508, 271&lt;/value&gt;
      &lt;/setting&gt;
      &lt;setting name="HasBeenSaved" serializeAs="String"&gt;
        &lt;value&gt;True&lt;/value&gt;
      &lt;/setting&gt;
    &lt;/NumericRangeColumnAutoFillUserSettingsDialog&gt;
    &lt;GeneralUserSettingsDialog5&gt;
      &lt;setting name="FormLocation" serializeAs="String"&gt;
        &lt;value&gt;294, 179&lt;/value&gt;
      &lt;/setting&gt;
      &lt;setting name="FormWindowState" serializeAs="String"&gt;
        &lt;value&gt;Normal&lt;/value&gt;
      &lt;/setting&gt;
      &lt;setting name="TabControlSelectedIndex" serializeAs="String"&gt;
        &lt;value&gt;0&lt;/value&gt;
      &lt;/setting&gt;
      &lt;setting name="FormSize" serializeAs="String"&gt;
        &lt;value&gt;427, 525&lt;/value&gt;
      &lt;/setting&gt;
      &lt;setting name="HasBeenSaved" serializeAs="String"&gt;
        &lt;value&gt;True&lt;/value&gt;
      &lt;/setting&gt;
    &lt;/GeneralUserSettingsDialog5&gt;
    &lt;LabelUserSettingsDialog&gt;
      &lt;setting name="FormLocation" serializeAs="String"&gt;
        &lt;value&gt;104, 104&lt;/value&gt;
      &lt;/setting&gt;
      &lt;setting name="FormWindowState" serializeAs="String"&gt;
        &lt;value&gt;Normal&lt;/value&gt;
      &lt;/setting&gt;
      &lt;setting name="FormSize" serializeAs="String"&gt;
        &lt;value&gt;702, 459&lt;/value&gt;
      &lt;/setting&gt;
      &lt;setting name="HasBeenSaved" serializeAs="String"&gt;
        &lt;value&gt;True&lt;/value&gt;
      &lt;/setting&gt;
    &lt;/LabelUserSettingsDialog&gt;
    &lt;LayoutUserSettingsDialog4&gt;
      &lt;setting name="FormLocation" serializeAs="String"&gt;
        &lt;value&gt;52, 52&lt;/value&gt;
      &lt;/setting&gt;
      &lt;setting name="FormWindowState" serializeAs="String"&gt;
        &lt;value&gt;Normal&lt;/value&gt;
      &lt;/setting&gt;
      &lt;setting name="FormSize" serializeAs="String"&gt;
        &lt;value&gt;385, 552&lt;/value&gt;
      &lt;/setting&gt;
      &lt;setting name="HasBeenSaved" serializeAs="String"&gt;
        &lt;value&gt;True&lt;/value&gt;
      &lt;/setting&gt;
    &lt;/LayoutUserSettingsDialog4&gt;
    &lt;GroupLabelColumnAutoFillUserSettingsDialog&gt;
      &lt;setting name="FormLocation" serializeAs="String"&gt;
        &lt;value&gt;26, 26&lt;/value&gt;
      &lt;/setting&gt;
      &lt;setting name="FormWindowState" serializeAs="String"&gt;
        &lt;value&gt;Normal&lt;/value&gt;
      &lt;/setting&gt;
      &lt;setting name="FormSize" serializeAs="String"&gt;
        &lt;value&gt;276, 125&lt;/value&gt;
      &lt;/setting&gt;
      &lt;setting name="HasBeenSaved" serializeAs="String"&gt;
        &lt;value&gt;True&lt;/value&gt;
      &lt;/setting&gt;
    &lt;/GroupLabelColumnAutoFillUserSettingsDialog&gt;
    &lt;NotificationUserSettings&gt;
      &lt;setting name="LayoutTypeIsNull" serializeAs="String"&gt;
        &lt;value&gt;True&lt;/value&gt;
      &lt;/setting&gt;
      &lt;setting name="TextWrapWillBeTurnedOff" serializeAs="String"&gt;
        &lt;value&gt;False&lt;/value&gt;
      &lt;/setting&gt;
    &lt;/NotificationUserSettings&gt;
    &lt;CalculateGraphMetricsDialog&gt;
      &lt;setting name="FormLocation" serializeAs="String"&gt;
        &lt;value&gt;78, 78&lt;/value&gt;
      &lt;/setting&gt;
      &lt;setting name="FormWindowState" serializeAs="String"&gt;
        &lt;value&gt;Normal&lt;/value&gt;
      &lt;/setting&gt;
      &lt;setting name="FormSize" serializeAs="String"&gt;
        &lt;value&gt;325, 173&lt;/value&gt;
      &lt;/setting&gt;
      &lt;setting name="HasBeenSaved" serializeAs="String"&gt;
        &lt;value&gt;True&lt;/value&gt;
      &lt;/setting&gt;
    &lt;/CalculateGraphMetricsDialog&gt;
    &lt;GraphMetricsDialog6&gt;
      &lt;setting name="FormLocation" serializeAs="String"&gt;
        &lt;value&gt;234, 234&lt;/value&gt;
      &lt;/setting&gt;
      &lt;setting name="FormWindowState" serializeAs="String"&gt;
        &lt;value&gt;Normal&lt;/value&gt;
      &lt;/setting&gt;
      &lt;setting name="FormSize" serializeAs="String"&gt;
        &lt;value&gt;499, 624&lt;/value&gt;
      &lt;/setting&gt;
      &lt;setting name="HasBeenSaved" serializeAs="String"&gt;
        &lt;value&gt;True&lt;/value&gt;
      &lt;/setting&gt;
    &lt;/GraphMetricsDialog6&gt;
    &lt;NetworkTopItemsUserSettingsListDialogUserSettings&gt;
      &lt;setting name="FormLocation" serializeAs="String"&gt;
        &lt;value&gt;26, 26&lt;/value&gt;
      &lt;/setting&gt;
      &lt;setting name="FormWindowState" serializeAs="String"&gt;
        &lt;value&gt;Normal&lt;/value&gt;
      &lt;/setting&gt;
      &lt;setting name="FormSize" serializeAs="String"&gt;
        &lt;value&gt;493, 457&lt;/value&gt;
      &lt;/setting&gt;
      &lt;setting name="HasBeenSaved" serializeAs="String"&gt;
        &lt;value&gt;True&lt;/value&gt;
      &lt;/setting&gt;
    &lt;/NetworkTopItemsUserSettingsListDialogUserSettings&gt;
    &lt;AutoFillWorkbookDialog5&gt;
      &lt;setting name="FormLocation" serializeAs="String"&gt;
        &lt;value&gt;156, 156&lt;/value&gt;
      &lt;/setting&gt;
      &lt;setting name="FormWindowState" serializeAs="String"&gt;
        &lt;value&gt;Normal&lt;/value&gt;
      &lt;/setting&gt;
      &lt;setting name="TabControlSelectedIndex" serializeAs="String"&gt;
        &lt;value&gt;0&lt;/value&gt;
      &lt;/setting&gt;
      &lt;setting name="FormSize" serializeAs="String"&gt;
        &lt;value&gt;470, 598&lt;/value&gt;
      &lt;/setting&gt;
      &lt;setting name="HasBeenSaved" serializeAs="String"&gt;
        &lt;value&gt;True&lt;/value&gt;
      &lt;/setting&gt;
    &lt;/AutoFillWorkbookDialog5&gt;
    &lt;AutomateTasksDialog2&gt;
      &lt;setting name="FormLocation" serializeAs="String"&gt;
        &lt;value&gt;104, 104&lt;/value&gt;
      &lt;/setting&gt;
      &lt;setting name="FormWindowState" serializeAs="String"&gt;
        &lt;value&gt;Normal&lt;/value&gt;
      &lt;/setting&gt;
      &lt;setting name="FormSize" serializeAs="String"&gt;
        &lt;value&gt;460, 464&lt;/value&gt;
      &lt;/setting&gt;
      &lt;setting name="HasBeenSaved" serializeAs="String"&gt;
        &lt;value&gt;True&lt;/value&gt;
      &lt;/setting&gt;
    &lt;/AutomateTasksDialog2&gt;
</t>
  </si>
  <si>
    <t xml:space="preserve">    &lt;GraphImageUserSettingsDialog3&gt;
      &lt;setting name="FormLocation" serializeAs="String"&gt;
        &lt;value&gt;52, 52&lt;/value&gt;
      &lt;/setting&gt;
      &lt;setting name="FormWindowState" serializeAs="String"&gt;
        &lt;value&gt;Normal&lt;/value&gt;
      &lt;/setting&gt;
      &lt;setting name="FormSize" serializeAs="String"&gt;
        &lt;value&gt;386, 468&lt;/value&gt;
      &lt;/setting&gt;
      &lt;setting name="HasBeenSaved" serializeAs="String"&gt;
        &lt;value&gt;True&lt;/value&gt;
      &lt;/setting&gt;
    &lt;/GraphImageUserSettingsDialog3&gt;
    &lt;ImportDataUserSettingsDialog&gt;
      &lt;setting name="FormLocation" serializeAs="String"&gt;
        &lt;value&gt;26, 26&lt;/value&gt;
      &lt;/setting&gt;
      &lt;setting name="FormWindowState" serializeAs="String"&gt;
        &lt;value&gt;Normal&lt;/value&gt;
      &lt;/setting&gt;
      &lt;setting name="FormSize" serializeAs="String"&gt;
        &lt;value&gt;366, 248&lt;/value&gt;
      &lt;/setting&gt;
      &lt;setting name="HasBeenSaved" serializeAs="String"&gt;
        &lt;value&gt;True&lt;/value&gt;
      &lt;/setting&gt;
    &lt;/ImportDataUserSettingsDialog&gt;
    &lt;ExportDataUserSettings&gt;
      &lt;setting name="BrandURL" serializeAs="String"&gt;
        &lt;value&gt;http://www.smrfoundation.org/&lt;/value&gt;
      &lt;/setting&gt;
      &lt;setting name="URL" serializeAs="String"&gt;
        &lt;value /&gt;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&lt;setting name="Hashtag" serializeAs="String"&gt;
        &lt;value&gt;#NodeXL&lt;/value&gt;
      &lt;/setting&gt;
    &lt;/ExportDataUserSettings&gt;
    &lt;AutoScaleUserSettings&gt;
      &lt;setting name="AutoScale" serializeAs="String"&gt;
        &lt;value&gt;True&lt;/value&gt;
      &lt;/setting&gt;
    &lt;/AutoScaleUserSettings&gt;
    &lt;PlugInUserSettings&gt;
      &lt;setting name="PlugInFolderPath" serializeAs="String"&gt;
        &lt;value /&gt;
      &lt;/setting&gt;
    &lt;/PlugInUserSettings&gt;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t>
  </si>
  <si>
    <t>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t>
  </si>
  <si>
    <t>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&lt;value&gt;Smartkiwi&lt;/value&gt;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&lt;MergeDuplicateEdgesUserSettings&gt;
      &lt;setting name="ThirdColumnNameForDuplicateDetection" serializeAs="String"&gt;
        &lt;value /&gt;
      &lt;/setting&gt;
      &lt;setting name="CountDuplicates" serializeAs="String"&gt;
        &lt;value&gt;True&lt;/value&gt;
      &lt;/setting&gt;
      &lt;setting name="DeleteDuplicates" serializeAs="String"&gt;
        &lt;value&gt;False&lt;/value&gt;
      &lt;/setting&gt;
    &lt;/MergeDuplicateEdgesUserSettings&gt;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 /&gt;
      &lt;/setting&gt;
      &lt;setting name="FooterText" serializeAs="String"&gt;
        &lt;value&gt;Created with NodeXL (http://nodexl.codeplex.com) from the Social Media Research Foundation (http://www.smrfoundation.org)&lt;/value&gt;
      &lt;/setting&gt;
      &lt;setting name="HeaderFooterFont" serializeAs="String"&gt;
        &lt;value&gt;Microsoft Sans Ser</t>
  </si>
  <si>
    <t>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zur▓SentimentList1Name░Positive▓SentimentList2Name░Negative▓SentimentList3Name░(Add your own word list)▓SentimentWordsInList1░a+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t>
  </si>
  <si>
    <t xml:space="preserve">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t>
  </si>
  <si>
    <t xml:space="preserve">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t>
  </si>
  <si>
    <t xml:space="preserve">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t>
  </si>
  <si>
    <t xml:space="preserve">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t>
  </si>
  <si>
    <t>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t>
  </si>
  <si>
    <t>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t>
  </si>
  <si>
    <t xml:space="preserve">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
  </si>
  <si>
    <t>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t>
  </si>
  <si>
    <t>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
  </si>
  <si>
    <t>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t>
  </si>
  <si>
    <t>Workbook Settings 19</t>
  </si>
  <si>
    <t>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zombie&lt;/value&gt;
      &lt;/setting&gt;
      &lt;setting name="TimeSeriesUserSettings" serializeAs="String"&gt;
        &lt;value&gt;TimeColumnName░Relationship Date (UTC)▓TimeSlice░Days▓UniqueEdges░True▓UniqueColumnName░Imported ID&lt;/value&gt;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&lt;value&gt;C:\Users\Space Lab\Desktop&lt;/value&gt;
      &lt;/setting&gt;
    &lt;/Au</t>
  </si>
  <si>
    <t>Workbook Settings 20</t>
  </si>
  <si>
    <t>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 /&gt;
      &lt;/setting&gt;
      &lt;setting name="EdgeStyleSourceColumnName" serializeAs="String"&gt;
        &lt;value /&gt;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50 15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0 100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t>
  </si>
  <si>
    <t>Workbook Settings 21</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</si>
  <si>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</si>
  <si>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</si>
  <si>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</si>
  <si>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</si>
  <si>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</si>
  <si>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</si>
  <si>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</si>
  <si>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</si>
  <si>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</si>
  <si>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</si>
  <si>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</si>
  <si>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</si>
  <si>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</si>
  <si>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</si>
  <si>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</si>
  <si>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</si>
  <si>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</si>
  <si>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</si>
  <si>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</si>
  <si>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</si>
  <si>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</si>
  <si>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</si>
  <si>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</si>
  <si>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</si>
  <si>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</si>
  <si>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</si>
  <si>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</si>
  <si>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</si>
  <si>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</si>
  <si>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</si>
  <si>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</si>
  <si>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</si>
  <si>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</si>
  <si>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</si>
  <si>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</si>
  <si>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</si>
  <si>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</si>
  <si>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</si>
  <si>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</si>
  <si>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</si>
  <si>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</si>
  <si>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</si>
  <si>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savvyvanuatu</t>
  </si>
  <si>
    <t>drmiryounis</t>
  </si>
  <si>
    <t>valespinedi</t>
  </si>
  <si>
    <t>floridatlango</t>
  </si>
  <si>
    <t>unescap</t>
  </si>
  <si>
    <t>jmdjossoujean</t>
  </si>
  <si>
    <t>florarantakari</t>
  </si>
  <si>
    <t>sprepchannel</t>
  </si>
  <si>
    <t>swedeninth</t>
  </si>
  <si>
    <t>eupasifika</t>
  </si>
  <si>
    <t>govtofvanuatu</t>
  </si>
  <si>
    <t>meselianne</t>
  </si>
  <si>
    <t>MentionsInRetweet</t>
  </si>
  <si>
    <t>Retweet</t>
  </si>
  <si>
    <t>Mentions</t>
  </si>
  <si>
    <t>Replies to</t>
  </si>
  <si>
    <t>The #SPREP led #bieminiti under #EU and #SIDA funded #PEUMP programme is working in #Vanuatu to support turtle conservation through nest data collection
@EUPasifika @SwedeninTH @SprepChannel @GovtOfVanuatu 
#worldturtleday2022 https://t.co/NxiImSrFrM</t>
  </si>
  <si>
    <t>"Effective and sustainable support is now needed more than ever to regain regional momentum for advancing the #2030Agenda, while building inclusive economies and resilient societies." 
—@GovtOfVanuatu Prime Minister Bob Loughman Weibur at #CS78. https://t.co/EBKfl5o1zf</t>
  </si>
  <si>
    <t>@GovtOfVanuatu THANK  YOU  for wanting to pull  OUT of  WHO.
Citizens of other countries are fighting their leaders to stop WHO in their country.</t>
  </si>
  <si>
    <t>@meselianne @GovtOfVanuatu They are actually enjoying their life OFF the phone.</t>
  </si>
  <si>
    <t>twitter.com</t>
  </si>
  <si>
    <t>sprep bieminiti eu sida peump vanuatu worldturtleday2022</t>
  </si>
  <si>
    <t>2030agenda cs78</t>
  </si>
  <si>
    <t>06:35:27</t>
  </si>
  <si>
    <t>15:54:28</t>
  </si>
  <si>
    <t>05:08:23</t>
  </si>
  <si>
    <t>22:19:04</t>
  </si>
  <si>
    <t>06:22:24</t>
  </si>
  <si>
    <t>11:54:43</t>
  </si>
  <si>
    <t>03:40:07</t>
  </si>
  <si>
    <t>03:41:19</t>
  </si>
  <si>
    <t>1528625639850266625</t>
  </si>
  <si>
    <t>1528766318656118785</t>
  </si>
  <si>
    <t>1528603726130208769</t>
  </si>
  <si>
    <t>1528863106243657728</t>
  </si>
  <si>
    <t>1528622354624290816</t>
  </si>
  <si>
    <t>1529068373321125889</t>
  </si>
  <si>
    <t>1529668677674541056</t>
  </si>
  <si>
    <t>1529668979186225152</t>
  </si>
  <si>
    <t>1528621697548820480</t>
  </si>
  <si>
    <t>1282884350464323585</t>
  </si>
  <si>
    <t>1310443280048377857</t>
  </si>
  <si>
    <t/>
  </si>
  <si>
    <t>44031134</t>
  </si>
  <si>
    <t>1266171892777357313</t>
  </si>
  <si>
    <t>80744574</t>
  </si>
  <si>
    <t>en</t>
  </si>
  <si>
    <t>1528525324421541888</t>
  </si>
  <si>
    <t>Twitter Web App</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</si>
  <si>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</si>
  <si>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</si>
  <si>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</si>
  <si>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</si>
  <si>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</si>
  <si>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</si>
  <si>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</si>
  <si>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</si>
  <si>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</si>
  <si>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</si>
  <si>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</si>
  <si>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</si>
  <si>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</si>
  <si>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</si>
  <si>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</si>
  <si>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</si>
  <si>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</si>
  <si>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</si>
  <si>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</si>
  <si>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</si>
  <si>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</si>
  <si>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</si>
  <si>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</si>
  <si>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</si>
  <si>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Government of Vanuatu</t>
  </si>
  <si>
    <t>SPREP</t>
  </si>
  <si>
    <t>Ambassador of Sweden in Thailand</t>
  </si>
  <si>
    <t>EU Pacific _xD83C__xDDEA__xD83C__xDDFA_</t>
  </si>
  <si>
    <t>Valentina Spinedi</t>
  </si>
  <si>
    <t>Global Coordinator #Covid19... Dr MIR YOUNIS</t>
  </si>
  <si>
    <t>United Nations ESCAP</t>
  </si>
  <si>
    <t>Florida Tumulango</t>
  </si>
  <si>
    <t>Jean Maurice Djossou</t>
  </si>
  <si>
    <t>Katrina</t>
  </si>
  <si>
    <t>Anne_xD83C__xDF40_</t>
  </si>
  <si>
    <t>Lisa Macalister</t>
  </si>
  <si>
    <t>282866169</t>
  </si>
  <si>
    <t>145476250</t>
  </si>
  <si>
    <t>2507156402</t>
  </si>
  <si>
    <t>4797465459</t>
  </si>
  <si>
    <t>273819343</t>
  </si>
  <si>
    <t>1336151276896153601</t>
  </si>
  <si>
    <t>3028678097</t>
  </si>
  <si>
    <t>1492636446557044737</t>
  </si>
  <si>
    <t>1129176401565773824</t>
  </si>
  <si>
    <t>Vanuatu, officially the Republic of Vanuatu, is a Pacific island country located in the South Pacific Ocean.</t>
  </si>
  <si>
    <t>The official channel for the Secretariat of the Pacific Regional Environment Programme.  Retweets do not always mean endorsement.</t>
  </si>
  <si>
    <t>Official Twitter of Embassy of Sweden in Thailand in the capacity of H.E. Mr. Jon Åström Gröndahl, covering Thailand, Myanmar, Cambodia and Lao PDR.</t>
  </si>
  <si>
    <t>This is the official account of the Delegation of the European Union for the Pacific. _xD83C__xDDEA__xD83C__xDDFA_
You can also Follow the EU Ambassador for the Pacific H.E @sujiseam</t>
  </si>
  <si>
    <t>Communications Officer for PEUMP at @spc_cps , previously @UN_Pasifika.  @unibocconi &amp; @unitar alumni, currently @SOAS #SDG14 
**thoughts/opinions are my own**</t>
  </si>
  <si>
    <t>Chief coordinator(***) Global Defence and Foreign Affairs...In association with #UN  for #MULTILATERALISM,  #DEVELOPMENT AND #PEACE!!!
Top Focus on #MDG/#SDG</t>
  </si>
  <si>
    <t>United Nations Economic and Social Commission for Asia and the Pacific.</t>
  </si>
  <si>
    <t>_xD83C__xDDFB__xD83C__xDDFA_</t>
  </si>
  <si>
    <t>University Professor,    Doctor of Law,LL.D. (Ph.D.) And Author</t>
  </si>
  <si>
    <t>Love</t>
  </si>
  <si>
    <t>Self-taught artist || Art, Math, Astronomy || Monet, Picasso || Abraham Lincoln || Albert Einstein || Mozart, Johann Strauss II, Linkin Park, BTS _xD83D__xDC9C_ #6️⃣5️⃣_xD83C__xDFB9_</t>
  </si>
  <si>
    <t>Communications Specialist | founder Facebook LivingInVanuatuNews | Views my own | RTs are not endorsements | #Communications #Marketing #ProjectManagement</t>
  </si>
  <si>
    <t>Samoa</t>
  </si>
  <si>
    <t>Bangkok, Thailand</t>
  </si>
  <si>
    <t>Suva, Fiji Islands</t>
  </si>
  <si>
    <t>Fiji</t>
  </si>
  <si>
    <t>Phone No = +917006375573</t>
  </si>
  <si>
    <t>Vanuatu</t>
  </si>
  <si>
    <t>Cosmopolitan</t>
  </si>
  <si>
    <t>World</t>
  </si>
  <si>
    <t>#Vanuatu</t>
  </si>
  <si>
    <t>Open Twitter Page for This Person</t>
  </si>
  <si>
    <t xml:space="preserve">govtofvanuatu
</t>
  </si>
  <si>
    <t xml:space="preserve">sprepchannel
</t>
  </si>
  <si>
    <t xml:space="preserve">swedeninth
</t>
  </si>
  <si>
    <t xml:space="preserve">eupasifika
</t>
  </si>
  <si>
    <t>valespinedi
The #SPREP led #bieminiti under
#EU and #SIDA funded #PEUMP programme
is working in #Vanuatu to support
turtle conservation through nest
data collection @EUPasifika @SwedeninTH
@SprepChannel @GovtOfVanuatu #worldturtleday2022
https://t.co/NxiImSrFrM</t>
  </si>
  <si>
    <t>drmiryounis
"Effective and sustainable support
is now needed more than ever to
regain regional momentum for advancing
the #2030Agenda, while building
inclusive economies and resilient
societies." —@GovtOfVanuatu Prime
Minister Bob Loughman Weibur at
#CS78. https://t.co/EBKfl5o1zf</t>
  </si>
  <si>
    <t>unescap
"Effective and sustainable support
is now needed more than ever to
regain regional momentum for advancing
the #2030Agenda, while building
inclusive economies and resilient
societies." —@GovtOfVanuatu Prime
Minister Bob Loughman Weibur at
#CS78. https://t.co/EBKfl5o1zf</t>
  </si>
  <si>
    <t>floridatlango
The #SPREP led #bieminiti under
#EU and #SIDA funded #PEUMP programme
is working in #Vanuatu to support
turtle conservation through nest
data collection @EUPasifika @SwedeninTH
@SprepChannel @GovtOfVanuatu #worldturtleday2022
https://t.co/NxiImSrFrM</t>
  </si>
  <si>
    <t>jmdjossoujean
"Effective and sustainable support
is now needed more than ever to
regain regional momentum for advancing
the #2030Agenda, while building
inclusive economies and resilient
societies." —@GovtOfVanuatu Prime
Minister Bob Loughman Weibur at
#CS78. https://t.co/EBKfl5o1zf</t>
  </si>
  <si>
    <t>florarantakari
@meselianne @GovtOfVanuatu They
are actually enjoying their life
OFF the phone.</t>
  </si>
  <si>
    <t xml:space="preserve">meselianne
</t>
  </si>
  <si>
    <t>savvyvanuatu
The #SPREP led #bieminiti under
#EU and #SIDA funded #PEUMP programme
is working in #Vanuatu to support
turtle conservation through nest
data collection @EUPasifika @SwedeninTH
@SprepChannel @GovtOfVanuatu #worldturtleday2022
https://t.co/NxiImSrFrM</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</si>
  <si>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</si>
  <si>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</si>
  <si>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</si>
  <si>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</si>
  <si>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</si>
  <si>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</si>
  <si>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</si>
  <si>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</si>
  <si>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</si>
  <si>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</si>
  <si>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</si>
  <si>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</si>
  <si>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</si>
  <si>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</si>
  <si>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</si>
  <si>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</si>
  <si>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</si>
  <si>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support</t>
  </si>
  <si>
    <t>effective</t>
  </si>
  <si>
    <t>sustainable</t>
  </si>
  <si>
    <t>needed</t>
  </si>
  <si>
    <t>more</t>
  </si>
  <si>
    <t>regain</t>
  </si>
  <si>
    <t>regional</t>
  </si>
  <si>
    <t>momentum</t>
  </si>
  <si>
    <t>advancing</t>
  </si>
  <si>
    <t>#2030agenda</t>
  </si>
  <si>
    <t>building</t>
  </si>
  <si>
    <t>inclusive</t>
  </si>
  <si>
    <t>economies</t>
  </si>
  <si>
    <t>resilient</t>
  </si>
  <si>
    <t>societies</t>
  </si>
  <si>
    <t>prime</t>
  </si>
  <si>
    <t>minister</t>
  </si>
  <si>
    <t>bob</t>
  </si>
  <si>
    <t>loughman</t>
  </si>
  <si>
    <t>weibur</t>
  </si>
  <si>
    <t>#cs78</t>
  </si>
  <si>
    <t>#sprep</t>
  </si>
  <si>
    <t>led</t>
  </si>
  <si>
    <t>#bieminiti</t>
  </si>
  <si>
    <t>under</t>
  </si>
  <si>
    <t>#eu</t>
  </si>
  <si>
    <t>#sida</t>
  </si>
  <si>
    <t>funded</t>
  </si>
  <si>
    <t>#peump</t>
  </si>
  <si>
    <t>programme</t>
  </si>
  <si>
    <t>working</t>
  </si>
  <si>
    <t>#vanuatu</t>
  </si>
  <si>
    <t>turtle</t>
  </si>
  <si>
    <t>conservation</t>
  </si>
  <si>
    <t>nest</t>
  </si>
  <si>
    <t>data</t>
  </si>
  <si>
    <t>collection</t>
  </si>
  <si>
    <t>#worldturtleday2022</t>
  </si>
  <si>
    <t>Count</t>
  </si>
  <si>
    <t>Positive</t>
  </si>
  <si>
    <t>Negative</t>
  </si>
  <si>
    <t>(Add your own word list)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</si>
  <si>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</si>
  <si>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</si>
  <si>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</si>
  <si>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</si>
  <si>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</si>
  <si>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</si>
  <si>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</si>
  <si>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</si>
  <si>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</si>
  <si>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</si>
  <si>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</si>
  <si>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</si>
  <si>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</si>
  <si>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</si>
  <si>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</si>
  <si>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</si>
  <si>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</si>
  <si>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</si>
  <si>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</si>
  <si>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</si>
  <si>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</si>
  <si>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</si>
  <si>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</si>
  <si>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</si>
  <si>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</si>
  <si>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</si>
  <si>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</si>
  <si>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</si>
  <si>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</si>
  <si>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</si>
  <si>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</si>
  <si>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</si>
  <si>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</si>
  <si>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</si>
  <si>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</si>
  <si>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</si>
  <si>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</si>
  <si>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</si>
  <si>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</si>
  <si>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</si>
  <si>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</si>
  <si>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</si>
  <si>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</si>
  <si>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</si>
  <si>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</si>
  <si>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</si>
  <si>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</si>
  <si>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</si>
  <si>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</si>
  <si>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</si>
  <si>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</si>
  <si>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</si>
  <si>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</si>
  <si>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</si>
  <si>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</si>
  <si>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</si>
  <si>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</si>
  <si>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</si>
  <si>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</si>
  <si>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</si>
  <si>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</si>
  <si>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https://twitter.com/SavvyVanuatu/status/1528525324421541888</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</si>
  <si>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</si>
  <si>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</si>
  <si>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</si>
  <si>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</si>
  <si>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</si>
  <si>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</si>
  <si>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</si>
  <si>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</si>
  <si>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</si>
  <si>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</si>
  <si>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</si>
  <si>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2030agenda</t>
  </si>
  <si>
    <t>cs78</t>
  </si>
  <si>
    <t>sprep</t>
  </si>
  <si>
    <t>bieminiti</t>
  </si>
  <si>
    <t>eu</t>
  </si>
  <si>
    <t>sida</t>
  </si>
  <si>
    <t>peump</t>
  </si>
  <si>
    <t>vanuatu</t>
  </si>
  <si>
    <t>worldturtleday2022</t>
  </si>
  <si>
    <t>Top Hashtags in Tweet in G1</t>
  </si>
  <si>
    <t>Top Hashtags in Tweet in G2</t>
  </si>
  <si>
    <t>Top Hashtags in Tweet</t>
  </si>
  <si>
    <t>Top Words in Tweet in Entire Graph</t>
  </si>
  <si>
    <t>Top Words in Tweet in G1</t>
  </si>
  <si>
    <t>Top Words in Tweet in G2</t>
  </si>
  <si>
    <t>Top Words in Tweet</t>
  </si>
  <si>
    <t>govtofvanuatu effective sustainable support needed more regain regional momentum advancing</t>
  </si>
  <si>
    <t>#sprep led #bieminiti under #eu #sida funded #peump programme working</t>
  </si>
  <si>
    <t>Top Word Pairs in Tweet in Entire Graph</t>
  </si>
  <si>
    <t>effective,sustainable</t>
  </si>
  <si>
    <t>sustainable,support</t>
  </si>
  <si>
    <t>support,needed</t>
  </si>
  <si>
    <t>needed,more</t>
  </si>
  <si>
    <t>more,regain</t>
  </si>
  <si>
    <t>regain,regional</t>
  </si>
  <si>
    <t>regional,momentum</t>
  </si>
  <si>
    <t>momentum,advancing</t>
  </si>
  <si>
    <t>advancing,#2030agenda</t>
  </si>
  <si>
    <t>#2030agenda,building</t>
  </si>
  <si>
    <t>Top Word Pairs in Tweet in G1</t>
  </si>
  <si>
    <t>Top Word Pairs in Tweet in G2</t>
  </si>
  <si>
    <t>#sprep,led</t>
  </si>
  <si>
    <t>led,#bieminiti</t>
  </si>
  <si>
    <t>#bieminiti,under</t>
  </si>
  <si>
    <t>under,#eu</t>
  </si>
  <si>
    <t>#eu,#sida</t>
  </si>
  <si>
    <t>#sida,funded</t>
  </si>
  <si>
    <t>funded,#peump</t>
  </si>
  <si>
    <t>#peump,programme</t>
  </si>
  <si>
    <t>programme,working</t>
  </si>
  <si>
    <t>working,#vanuatu</t>
  </si>
  <si>
    <t>Top Word Pairs in Tweet</t>
  </si>
  <si>
    <t>effective,sustainable  sustainable,support  support,needed  needed,more  more,regain  regain,regional  regional,momentum  momentum,advancing  advancing,#2030agenda  #2030agenda,building</t>
  </si>
  <si>
    <t>#sprep,led  led,#bieminiti  #bieminiti,under  under,#eu  #eu,#sida  #sida,funded  funded,#peump  #peump,programme  programme,working  working,#vanuatu</t>
  </si>
  <si>
    <t>Top Replied-To in Entire Graph</t>
  </si>
  <si>
    <t>Top Mentioned in Entire Graph</t>
  </si>
  <si>
    <t>Top Replied-To in G1</t>
  </si>
  <si>
    <t>Top Replied-To in G2</t>
  </si>
  <si>
    <t>Top Mentioned in G1</t>
  </si>
  <si>
    <t>Top Mentioned in G2</t>
  </si>
  <si>
    <t>Top Replied-To in Tweet</t>
  </si>
  <si>
    <t>meselianne govtofvanuatu</t>
  </si>
  <si>
    <t>Top Mentioned in Tweet</t>
  </si>
  <si>
    <t>eupasifika swedeninth sprepchannel govtofvanuatu</t>
  </si>
  <si>
    <t>Top Tweeters in Entire Graph</t>
  </si>
  <si>
    <t>Top Tweeters in G1</t>
  </si>
  <si>
    <t>Top Tweeters in G2</t>
  </si>
  <si>
    <t>Top Tweeters</t>
  </si>
  <si>
    <t>drmiryounis meselianne jmdjossoujean unescap florarantakari govtofvanuatu</t>
  </si>
  <si>
    <t>eupasifika sprepchannel swedeninth savvyvanuatu floridatlango valespinedi</t>
  </si>
  <si>
    <t>URLs in Tweet by Count</t>
  </si>
  <si>
    <t>URLs in Tweet by Salience</t>
  </si>
  <si>
    <t>Domains in Tweet by Count</t>
  </si>
  <si>
    <t>Domains in Tweet by Salience</t>
  </si>
  <si>
    <t>Hashtags in Tweet by Count</t>
  </si>
  <si>
    <t>Hashtags in Tweet by Salience</t>
  </si>
  <si>
    <t>Top Words in Tweet by Count</t>
  </si>
  <si>
    <t>effective sustainable support needed more regain regional momentum advancing #2030agenda</t>
  </si>
  <si>
    <t>meselianne actually enjoying life phone thank wanting pull citizens countries</t>
  </si>
  <si>
    <t>Top Words in Tweet by Salience</t>
  </si>
  <si>
    <t>Top Word Pairs in Tweet by Count</t>
  </si>
  <si>
    <t>meselianne,govtofvanuatu  govtofvanuatu,actually  actually,enjoying  enjoying,life  life,phone  govtofvanuatu,thank  thank,wanting  wanting,pull  pull,citizens  citizens,countries</t>
  </si>
  <si>
    <t>Top Word Pairs in Tweet by Salience</t>
  </si>
  <si>
    <t>Count of Relationship Date (UTC)</t>
  </si>
  <si>
    <t>Row Labels</t>
  </si>
  <si>
    <t>Grand Total</t>
  </si>
  <si>
    <t>128, 128, 128</t>
  </si>
  <si>
    <t>Red</t>
  </si>
  <si>
    <t>G1: 2030agenda cs78</t>
  </si>
  <si>
    <t>G2: sprep bieminiti eu sida peump vanuatu worldturtleday2022</t>
  </si>
  <si>
    <t>Edge Weight▓1▓1▓0▓True▓Gray▓Red▓▓Edge Weight▓1▓1▓0▓5▓10▓False▓Edge Weight▓1▓1▓0▓50▓15▓False▓▓0▓0▓0▓True▓Black▓Black▓▓Betweenness Centrality▓0▓20▓3▓100▓1000▓False▓▓0▓0▓0▓0▓0▓False▓▓0▓0▓0▓0▓0▓False▓▓0▓0▓0▓0▓0▓False</t>
  </si>
  <si>
    <t>GraphSource░TwitterSearch▓GraphTerm░GovtOfVanuatu▓ImportDescription░The graph represents a network of 12 Twitter users whose recent tweets contained "GovtOfVanuatu", or who were replied to or mentioned in those tweets, taken from a data set limited to a maximum of 18,000 tweets.  The network was obtained from Twitter on Saturday, 28 May 2022 at 06:23 UTC.
The tweets in the network were tweeted over the 2-day, 22-hour, 32-minute period from Monday, 23 May 2022 at 05:08 UTC to Thursday, 26 May 2022 at 03:41 UTC.
There is an edge for each "replies-to" relationship in a tweet, an edge for each "mentions" relationship in a tweet, and a self-loop edge for each tweet that is not a "replies-to" or "mentions".▓ImportSuggestedTitle░GovtOfVanuatu Twitter NodeXL SNA Map and Report for Saturday, 28 May 2022 at 06:23 UTC▓ImportSuggestedFileNameNoExtension░2022-05-28 06-23-45 NodeXL Twitter Search GovtOfVanuatu▓GroupingDescription░The graph's vertices were grouped by cluster using the Clauset-Newman-Moore cluster algorithm.▓LayoutAlgorithm░The graph was laid out using the Harel-Koren Fast Multiscale layout algorithm.▓GraphDirectedness░The graph is directed.</t>
  </si>
  <si>
    <t>TwitterSearch</t>
  </si>
  <si>
    <t>GovtOfVanuatu</t>
  </si>
  <si>
    <t>The graph represents a network of 12 Twitter users whose recent tweets contained "GovtOfVanuatu", or who were replied to or mentioned in those tweets, taken from a data set limited to a maximum of 18,000 tweets.  The network was obtained from Twitter on Saturday, 28 May 2022 at 06:23 UTC.
The tweets in the network were tweeted over the 2-day, 22-hour, 32-minute period from Monday, 23 May 2022 at 05:08 UTC to Thursday, 26 May 2022 at 03:41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</si>
  <si>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</si>
  <si>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</si>
  <si>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https://nodexlgraphgallery.org/Pages/Graph.aspx?graphID=277199</t>
  </si>
  <si>
    <t>https://nodexlgraphgallery.org/Images/Image.ashx?graphID=277199&amp;type=f</t>
  </si>
  <si>
    <t>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&lt;value&gt;3&lt;/value&gt;
      &lt;/setting&gt;
      &lt;setting name="AutoSelect" serializeAs="String"&gt;
        &lt;value&gt;True&lt;/value&gt;
      &lt;/setting&gt;
      &lt;setting name="LabelUserSettings" serializeAs="String"&gt;
        &lt;value&gt;Microsoft Sans Serif, 15.75pt White BottomCenter 40 2147483647 Black True 397 Black 86 TopLeft Microsoft Sans Serif, 48pt Microsoft Sans Serif, 9pt&lt;/value&gt;
      &lt;/setting&gt;
      &lt;setting name="EdgeAlpha" serializeAs="String"&gt;
        &lt;value&gt;100&lt;/value&gt;
      &lt;/setting&gt;
      &lt;setting name="SelectedVertexColor" serializeAs="String"&gt;
        &lt;value&gt;Red&lt;/value&gt;
      &lt;/setting&gt;
      &lt;setting name="VertexColor" serializeAs="String"&gt;
        &lt;value&gt;Gray&lt;/value&gt;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&lt;value&gt;0.1&lt;/value&gt;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&lt;ClusterUserSettings&gt;
      &lt;setting name="ClusterAlgorithm" serializeAs="String"&gt;
        &lt;value&gt;ClausetNewmanMoore&lt;/value&gt;
      &lt;/setting&gt;
      &lt;setting name="PutNeighborlessVerticesInOneCluster" serializeAs="String"&gt;
        &lt;value&gt;True&lt;/value&gt;
      &lt;/setting&gt;
    &lt;/ClusterUserSettings&gt;
    &lt;DynamicFiltersUserSettings&gt;
      &lt;setting name="FilterNonNumericCells" serializeAs="String"&gt;
        &lt;value&gt;False&lt;/value&gt;
      &lt;/setting&gt;
      &lt;setting name="FilteredAlpha" serializeAs="String"&gt;
        &lt;value&gt;0&lt;/value&gt;
      &lt;/setting&gt;
    &lt;/DynamicFiltersUserSettings&gt;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</si>
</sst>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6"/>
      <tableStyleElement type="headerRow" dxfId="375"/>
    </tableStyle>
    <tableStyle name="NodeXL Table" pivot="0" count="1">
      <tableStyleElement type="headerRow" dxfId="37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6444123"/>
        <c:axId val="36670516"/>
      </c:barChart>
      <c:catAx>
        <c:axId val="2644412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670516"/>
        <c:crosses val="autoZero"/>
        <c:auto val="1"/>
        <c:lblOffset val="100"/>
        <c:noMultiLvlLbl val="0"/>
      </c:catAx>
      <c:valAx>
        <c:axId val="36670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441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GovtOfVanuatu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Series'!$A$26:$A$34</c:f>
              <c:strCache>
                <c:ptCount val="8"/>
                <c:pt idx="0">
                  <c:v>23/05/2022 5:08</c:v>
                </c:pt>
                <c:pt idx="1">
                  <c:v>23/05/2022 6:22</c:v>
                </c:pt>
                <c:pt idx="2">
                  <c:v>23/05/2022 6:35</c:v>
                </c:pt>
                <c:pt idx="3">
                  <c:v>23/05/2022 15:54</c:v>
                </c:pt>
                <c:pt idx="4">
                  <c:v>23/05/2022 22:19</c:v>
                </c:pt>
                <c:pt idx="5">
                  <c:v>24/05/2022 11:54</c:v>
                </c:pt>
                <c:pt idx="6">
                  <c:v>26/05/2022 3:40</c:v>
                </c:pt>
                <c:pt idx="7">
                  <c:v>26/05/2022 3:41</c:v>
                </c:pt>
              </c:strCache>
            </c:strRef>
          </c:cat>
          <c:val>
            <c:numRef>
              <c:f>'Time Series'!$B$26:$B$34</c:f>
              <c:numCache>
                <c:formatCode>General</c:formatCode>
                <c:ptCount val="8"/>
                <c:pt idx="0">
                  <c:v>1</c:v>
                </c:pt>
                <c:pt idx="1">
                  <c:v>1</c:v>
                </c:pt>
                <c:pt idx="2">
                  <c:v>1</c:v>
                </c:pt>
                <c:pt idx="3">
                  <c:v>1</c:v>
                </c:pt>
                <c:pt idx="4">
                  <c:v>1</c:v>
                </c:pt>
                <c:pt idx="5">
                  <c:v>1</c:v>
                </c:pt>
                <c:pt idx="6">
                  <c:v>1</c:v>
                </c:pt>
                <c:pt idx="7">
                  <c:v>1</c:v>
                </c:pt>
              </c:numCache>
            </c:numRef>
          </c:val>
        </c:ser>
        <c:axId val="41301541"/>
        <c:axId val="36169550"/>
      </c:barChart>
      <c:catAx>
        <c:axId val="41301541"/>
        <c:scaling>
          <c:orientation val="minMax"/>
        </c:scaling>
        <c:axPos val="b"/>
        <c:delete val="0"/>
        <c:numFmt formatCode="General" sourceLinked="1"/>
        <c:majorTickMark val="out"/>
        <c:minorTickMark val="none"/>
        <c:tickLblPos val="nextTo"/>
        <c:crossAx val="36169550"/>
        <c:crosses val="autoZero"/>
        <c:auto val="1"/>
        <c:lblOffset val="100"/>
        <c:noMultiLvlLbl val="0"/>
      </c:catAx>
      <c:valAx>
        <c:axId val="36169550"/>
        <c:scaling>
          <c:orientation val="minMax"/>
        </c:scaling>
        <c:axPos val="l"/>
        <c:majorGridlines/>
        <c:delete val="0"/>
        <c:numFmt formatCode="General" sourceLinked="1"/>
        <c:majorTickMark val="out"/>
        <c:minorTickMark val="none"/>
        <c:tickLblPos val="nextTo"/>
        <c:crossAx val="413015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1599189"/>
        <c:axId val="17521790"/>
      </c:barChart>
      <c:catAx>
        <c:axId val="6159918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7521790"/>
        <c:crosses val="autoZero"/>
        <c:auto val="1"/>
        <c:lblOffset val="100"/>
        <c:noMultiLvlLbl val="0"/>
      </c:catAx>
      <c:valAx>
        <c:axId val="1752179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599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3478383"/>
        <c:axId val="9978856"/>
      </c:barChart>
      <c:catAx>
        <c:axId val="2347838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978856"/>
        <c:crosses val="autoZero"/>
        <c:auto val="1"/>
        <c:lblOffset val="100"/>
        <c:noMultiLvlLbl val="0"/>
      </c:catAx>
      <c:valAx>
        <c:axId val="9978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78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2700841"/>
        <c:axId val="2980978"/>
      </c:barChart>
      <c:catAx>
        <c:axId val="2270084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80978"/>
        <c:crosses val="autoZero"/>
        <c:auto val="1"/>
        <c:lblOffset val="100"/>
        <c:noMultiLvlLbl val="0"/>
      </c:catAx>
      <c:valAx>
        <c:axId val="29809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7008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828803"/>
        <c:axId val="40132636"/>
      </c:barChart>
      <c:catAx>
        <c:axId val="2682880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132636"/>
        <c:crosses val="autoZero"/>
        <c:auto val="1"/>
        <c:lblOffset val="100"/>
        <c:noMultiLvlLbl val="0"/>
      </c:catAx>
      <c:valAx>
        <c:axId val="401326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288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5649405"/>
        <c:axId val="29518054"/>
      </c:barChart>
      <c:catAx>
        <c:axId val="256494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9518054"/>
        <c:crosses val="autoZero"/>
        <c:auto val="1"/>
        <c:lblOffset val="100"/>
        <c:noMultiLvlLbl val="0"/>
      </c:catAx>
      <c:valAx>
        <c:axId val="29518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6494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335895"/>
        <c:axId val="42152144"/>
      </c:barChart>
      <c:catAx>
        <c:axId val="64335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152144"/>
        <c:crosses val="autoZero"/>
        <c:auto val="1"/>
        <c:lblOffset val="100"/>
        <c:noMultiLvlLbl val="0"/>
      </c:catAx>
      <c:valAx>
        <c:axId val="42152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35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824977"/>
        <c:axId val="58880474"/>
      </c:barChart>
      <c:catAx>
        <c:axId val="4382497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8880474"/>
        <c:crosses val="autoZero"/>
        <c:auto val="1"/>
        <c:lblOffset val="100"/>
        <c:noMultiLvlLbl val="0"/>
      </c:catAx>
      <c:valAx>
        <c:axId val="588804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824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162219"/>
        <c:axId val="4589060"/>
      </c:barChart>
      <c:catAx>
        <c:axId val="60162219"/>
        <c:scaling>
          <c:orientation val="minMax"/>
        </c:scaling>
        <c:axPos val="b"/>
        <c:delete val="1"/>
        <c:majorTickMark val="out"/>
        <c:minorTickMark val="none"/>
        <c:tickLblPos val="none"/>
        <c:crossAx val="4589060"/>
        <c:crosses val="autoZero"/>
        <c:auto val="1"/>
        <c:lblOffset val="100"/>
        <c:noMultiLvlLbl val="0"/>
      </c:catAx>
      <c:valAx>
        <c:axId val="4589060"/>
        <c:scaling>
          <c:orientation val="minMax"/>
        </c:scaling>
        <c:axPos val="l"/>
        <c:delete val="1"/>
        <c:majorTickMark val="out"/>
        <c:minorTickMark val="none"/>
        <c:tickLblPos val="none"/>
        <c:crossAx val="6016221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13</xdr:col>
      <xdr:colOff>514350</xdr:colOff>
      <xdr:row>21</xdr:row>
      <xdr:rowOff>95250</xdr:rowOff>
    </xdr:to>
    <xdr:graphicFrame macro="">
      <xdr:nvGraphicFramePr>
        <xdr:cNvPr id="2" name="Chart 1"/>
        <xdr:cNvGraphicFramePr/>
      </xdr:nvGraphicFramePr>
      <xdr:xfrm>
        <a:off x="123825" y="123825"/>
        <a:ext cx="10086975" cy="3971925"/>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 refreshedBy="Liz Stedman" refreshedVersion="7">
  <cacheSource type="worksheet">
    <worksheetSource ref="A2:BN1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0"/>
    </cacheField>
    <cacheField name="Relationship Date (UTC)" numFmtId="22">
      <sharedItems containsSemiMixedTypes="0" containsNonDate="0" containsDate="1" containsString="0" containsMixedTypes="0" count="8">
        <d v="2022-05-23T06:35:27.000"/>
        <d v="2022-05-23T15:54:28.000"/>
        <d v="2022-05-23T05:08:23.000"/>
        <d v="2022-05-23T22:19:04.000"/>
        <d v="2022-05-23T06:22:24.000"/>
        <d v="2022-05-24T11:54:43.000"/>
        <d v="2022-05-26T03:40:07.000"/>
        <d v="2022-05-26T03:41:19.000"/>
      </sharedItems>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0"/>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pivotCacheDefinition>
</file>

<file path=xl/pivotCache/pivotCacheRecords1.xml><?xml version="1.0" encoding="utf-8"?>
<pivotCacheRecords xmlns="http://schemas.openxmlformats.org/spreadsheetml/2006/main" xmlns:r="http://schemas.openxmlformats.org/officeDocument/2006/relationships" count="8">
  <r>
    <s v="savvyvanuatu"/>
    <s v="govtofvanuatu"/>
    <m/>
    <m/>
    <m/>
    <m/>
    <m/>
    <m/>
    <m/>
    <m/>
    <s v="No"/>
    <n v="3"/>
    <m/>
    <m/>
    <s v="MentionsInRetweet"/>
    <x v="0"/>
    <s v="The #SPREP led #bieminiti under #EU and #SIDA funded #PEUMP programme is working in #Vanuatu to support turtle conservation through nest data collection_x000a_@EUPasifika @SwedeninTH @SprepChannel @GovtOfVanuatu _x000a_#worldturtleday2022 https://t.co/NxiImSrFrM"/>
    <s v="https://twitter.com/SavvyVanuatu/status/1528525324421541888"/>
    <s v="twitter.com"/>
    <s v="sprep bieminiti eu sida peump vanuatu worldturtleday2022"/>
    <m/>
    <s v="https://pbs.twimg.com/profile_images/1511983894358523907/qUCGGohF_normal.jpg"/>
    <d v="2022-05-23T06:35:27.000"/>
    <d v="2022-05-23T00:00:00.000"/>
    <s v="06:35:27"/>
    <s v="https://twitter.com/savvyvanuatu/status/1528625639850266625"/>
    <m/>
    <m/>
    <s v="1528625639850266625"/>
    <m/>
    <b v="0"/>
    <n v="0"/>
    <s v=""/>
    <b v="1"/>
    <s v="en"/>
    <m/>
    <s v="1528525324421541888"/>
    <b v="0"/>
    <n v="2"/>
    <s v="1528603726130208769"/>
    <s v="Twitter Web App"/>
    <b v="0"/>
    <s v="1528603726130208769"/>
    <s v="Tweet"/>
    <n v="0"/>
    <n v="0"/>
    <m/>
    <m/>
    <m/>
    <m/>
    <m/>
    <m/>
    <m/>
    <m/>
    <n v="1"/>
    <s v="2"/>
    <s v="1"/>
    <m/>
    <m/>
    <m/>
    <m/>
    <m/>
    <m/>
    <m/>
    <m/>
    <m/>
  </r>
  <r>
    <s v="drmiryounis"/>
    <s v="govtofvanuatu"/>
    <m/>
    <m/>
    <m/>
    <m/>
    <m/>
    <m/>
    <m/>
    <m/>
    <s v="No"/>
    <n v="8"/>
    <m/>
    <m/>
    <s v="MentionsInRetweet"/>
    <x v="1"/>
    <s v="&quot;Effective and sustainable support is now needed more than ever to regain regional momentum for advancing the #2030Agenda, while building inclusive economies and resilient societies.&quot; _x000a__x000a_—@GovtOfVanuatu Prime Minister Bob Loughman Weibur at #CS78. https://t.co/EBKfl5o1zf"/>
    <m/>
    <m/>
    <s v="2030agenda cs78"/>
    <s v="https://pbs.twimg.com/media/FTbBlmNacAEj0Qb.jpg"/>
    <s v="https://pbs.twimg.com/media/FTbBlmNacAEj0Qb.jpg"/>
    <d v="2022-05-23T15:54:28.000"/>
    <d v="2022-05-23T00:00:00.000"/>
    <s v="15:54:28"/>
    <s v="https://twitter.com/drmiryounis/status/1528766318656118785"/>
    <m/>
    <m/>
    <s v="1528766318656118785"/>
    <m/>
    <b v="0"/>
    <n v="0"/>
    <s v=""/>
    <b v="0"/>
    <s v="en"/>
    <m/>
    <s v=""/>
    <b v="0"/>
    <n v="2"/>
    <s v="1528622354624290816"/>
    <s v="Twitter for Android"/>
    <b v="0"/>
    <s v="1528622354624290816"/>
    <s v="Tweet"/>
    <n v="0"/>
    <n v="0"/>
    <m/>
    <m/>
    <m/>
    <m/>
    <m/>
    <m/>
    <m/>
    <m/>
    <n v="1"/>
    <s v="1"/>
    <s v="1"/>
    <m/>
    <m/>
    <m/>
    <m/>
    <m/>
    <m/>
    <m/>
    <m/>
    <m/>
  </r>
  <r>
    <s v="valespinedi"/>
    <s v="sprepchannel"/>
    <m/>
    <m/>
    <m/>
    <m/>
    <m/>
    <m/>
    <m/>
    <m/>
    <s v="No"/>
    <n v="10"/>
    <m/>
    <m/>
    <s v="Mentions"/>
    <x v="2"/>
    <s v="The #SPREP led #bieminiti under #EU and #SIDA funded #PEUMP programme is working in #Vanuatu to support turtle conservation through nest data collection_x000a_@EUPasifika @SwedeninTH @SprepChannel @GovtOfVanuatu _x000a_#worldturtleday2022 https://t.co/NxiImSrFrM"/>
    <s v="https://twitter.com/SavvyVanuatu/status/1528525324421541888"/>
    <s v="twitter.com"/>
    <s v="sprep bieminiti eu sida peump vanuatu worldturtleday2022"/>
    <m/>
    <s v="https://pbs.twimg.com/profile_images/1297989560971014145/NrsqUm9u_normal.jpg"/>
    <d v="2022-05-23T05:08:23.000"/>
    <d v="2022-05-23T00:00:00.000"/>
    <s v="05:08:23"/>
    <s v="https://twitter.com/valespinedi/status/1528603726130208769"/>
    <m/>
    <m/>
    <s v="1528603726130208769"/>
    <m/>
    <b v="0"/>
    <n v="3"/>
    <s v=""/>
    <b v="1"/>
    <s v="en"/>
    <m/>
    <s v="1528525324421541888"/>
    <b v="0"/>
    <n v="2"/>
    <s v=""/>
    <s v="Twitter for iPhone"/>
    <b v="0"/>
    <s v="1528603726130208769"/>
    <s v="Tweet"/>
    <n v="0"/>
    <n v="0"/>
    <m/>
    <m/>
    <m/>
    <m/>
    <m/>
    <m/>
    <m/>
    <m/>
    <n v="1"/>
    <s v="2"/>
    <s v="2"/>
    <m/>
    <m/>
    <m/>
    <m/>
    <m/>
    <m/>
    <m/>
    <m/>
    <m/>
  </r>
  <r>
    <s v="floridatlango"/>
    <s v="sprepchannel"/>
    <m/>
    <m/>
    <m/>
    <m/>
    <m/>
    <m/>
    <m/>
    <m/>
    <s v="No"/>
    <n v="11"/>
    <m/>
    <m/>
    <s v="MentionsInRetweet"/>
    <x v="3"/>
    <s v="The #SPREP led #bieminiti under #EU and #SIDA funded #PEUMP programme is working in #Vanuatu to support turtle conservation through nest data collection_x000a_@EUPasifika @SwedeninTH @SprepChannel @GovtOfVanuatu _x000a_#worldturtleday2022 https://t.co/NxiImSrFrM"/>
    <s v="https://twitter.com/SavvyVanuatu/status/1528525324421541888"/>
    <s v="twitter.com"/>
    <s v="sprep bieminiti eu sida peump vanuatu worldturtleday2022"/>
    <m/>
    <s v="https://pbs.twimg.com/profile_images/1440837918835163137/ccHKl4E4_normal.jpg"/>
    <d v="2022-05-23T22:19:04.000"/>
    <d v="2022-05-23T00:00:00.000"/>
    <s v="22:19:04"/>
    <s v="https://twitter.com/floridatlango/status/1528863106243657728"/>
    <m/>
    <m/>
    <s v="1528863106243657728"/>
    <m/>
    <b v="0"/>
    <n v="0"/>
    <s v=""/>
    <b v="1"/>
    <s v="en"/>
    <m/>
    <s v="1528525324421541888"/>
    <b v="0"/>
    <n v="2"/>
    <s v="1528603726130208769"/>
    <s v="Twitter for Android"/>
    <b v="0"/>
    <s v="1528603726130208769"/>
    <s v="Tweet"/>
    <n v="0"/>
    <n v="0"/>
    <m/>
    <m/>
    <m/>
    <m/>
    <m/>
    <m/>
    <m/>
    <m/>
    <n v="1"/>
    <s v="2"/>
    <s v="2"/>
    <m/>
    <m/>
    <m/>
    <m/>
    <m/>
    <m/>
    <m/>
    <m/>
    <m/>
  </r>
  <r>
    <s v="unescap"/>
    <s v="govtofvanuatu"/>
    <m/>
    <m/>
    <m/>
    <m/>
    <m/>
    <m/>
    <m/>
    <m/>
    <s v="No"/>
    <n v="19"/>
    <m/>
    <m/>
    <s v="Mentions"/>
    <x v="4"/>
    <s v="&quot;Effective and sustainable support is now needed more than ever to regain regional momentum for advancing the #2030Agenda, while building inclusive economies and resilient societies.&quot; _x000a__x000a_—@GovtOfVanuatu Prime Minister Bob Loughman Weibur at #CS78. https://t.co/EBKfl5o1zf"/>
    <m/>
    <m/>
    <s v="2030agenda cs78"/>
    <s v="https://pbs.twimg.com/media/FTbBlmNacAEj0Qb.jpg"/>
    <s v="https://pbs.twimg.com/media/FTbBlmNacAEj0Qb.jpg"/>
    <d v="2022-05-23T06:22:24.000"/>
    <d v="2022-05-23T00:00:00.000"/>
    <s v="06:22:24"/>
    <s v="https://twitter.com/unescap/status/1528622354624290816"/>
    <m/>
    <m/>
    <s v="1528622354624290816"/>
    <s v="1528621697548820480"/>
    <b v="0"/>
    <n v="4"/>
    <s v="44031134"/>
    <b v="0"/>
    <s v="en"/>
    <m/>
    <s v=""/>
    <b v="0"/>
    <n v="2"/>
    <s v=""/>
    <s v="Twitter Web App"/>
    <b v="0"/>
    <s v="1528621697548820480"/>
    <s v="Tweet"/>
    <n v="0"/>
    <n v="0"/>
    <m/>
    <m/>
    <m/>
    <m/>
    <m/>
    <m/>
    <m/>
    <m/>
    <n v="1"/>
    <s v="1"/>
    <s v="1"/>
    <n v="4"/>
    <n v="12.121212121212121"/>
    <n v="0"/>
    <n v="0"/>
    <n v="0"/>
    <n v="0"/>
    <n v="29"/>
    <n v="87.87878787878788"/>
    <n v="33"/>
  </r>
  <r>
    <s v="jmdjossoujean"/>
    <s v="unescap"/>
    <m/>
    <m/>
    <m/>
    <m/>
    <m/>
    <m/>
    <m/>
    <m/>
    <s v="No"/>
    <n v="20"/>
    <m/>
    <m/>
    <s v="Retweet"/>
    <x v="5"/>
    <s v="&quot;Effective and sustainable support is now needed more than ever to regain regional momentum for advancing the #2030Agenda, while building inclusive economies and resilient societies.&quot; _x000a__x000a_—@GovtOfVanuatu Prime Minister Bob Loughman Weibur at #CS78. https://t.co/EBKfl5o1zf"/>
    <m/>
    <m/>
    <s v="2030agenda cs78"/>
    <s v="https://pbs.twimg.com/media/FTbBlmNacAEj0Qb.jpg"/>
    <s v="https://pbs.twimg.com/media/FTbBlmNacAEj0Qb.jpg"/>
    <d v="2022-05-24T11:54:43.000"/>
    <d v="2022-05-24T00:00:00.000"/>
    <s v="11:54:43"/>
    <s v="https://twitter.com/jmdjossoujean/status/1529068373321125889"/>
    <m/>
    <m/>
    <s v="1529068373321125889"/>
    <m/>
    <b v="0"/>
    <n v="0"/>
    <s v=""/>
    <b v="0"/>
    <s v="en"/>
    <m/>
    <s v=""/>
    <b v="0"/>
    <n v="2"/>
    <s v="1528622354624290816"/>
    <s v="Twitter Web App"/>
    <b v="0"/>
    <s v="1528622354624290816"/>
    <s v="Tweet"/>
    <n v="0"/>
    <n v="0"/>
    <m/>
    <m/>
    <m/>
    <m/>
    <m/>
    <m/>
    <m/>
    <m/>
    <n v="1"/>
    <s v="1"/>
    <s v="1"/>
    <m/>
    <m/>
    <m/>
    <m/>
    <m/>
    <m/>
    <m/>
    <m/>
    <m/>
  </r>
  <r>
    <s v="florarantakari"/>
    <s v="govtofvanuatu"/>
    <m/>
    <m/>
    <m/>
    <m/>
    <m/>
    <m/>
    <m/>
    <m/>
    <s v="No"/>
    <n v="22"/>
    <m/>
    <m/>
    <s v="Replies to"/>
    <x v="6"/>
    <s v="@GovtOfVanuatu THANK  YOU  for wanting to pull  OUT of  WHO._x000a_Citizens of other countries are fighting their leaders to stop WHO in their country."/>
    <m/>
    <m/>
    <m/>
    <m/>
    <s v="https://pbs.twimg.com/profile_images/1515064205858074624/e6bEAhlH_normal.jpg"/>
    <d v="2022-05-26T03:40:07.000"/>
    <d v="2022-05-26T00:00:00.000"/>
    <s v="03:40:07"/>
    <s v="https://twitter.com/florarantakari/status/1529668677674541056"/>
    <m/>
    <m/>
    <s v="1529668677674541056"/>
    <s v="1282884350464323585"/>
    <b v="0"/>
    <n v="0"/>
    <s v="1266171892777357313"/>
    <b v="0"/>
    <s v="en"/>
    <m/>
    <s v=""/>
    <b v="0"/>
    <n v="0"/>
    <s v=""/>
    <s v="Twitter Web App"/>
    <b v="0"/>
    <s v="1282884350464323585"/>
    <s v="Tweet"/>
    <n v="0"/>
    <n v="0"/>
    <m/>
    <m/>
    <m/>
    <m/>
    <m/>
    <m/>
    <m/>
    <m/>
    <n v="2"/>
    <s v="1"/>
    <s v="1"/>
    <n v="1"/>
    <n v="4.166666666666667"/>
    <n v="0"/>
    <n v="0"/>
    <n v="0"/>
    <n v="0"/>
    <n v="23"/>
    <n v="95.83333333333333"/>
    <n v="24"/>
  </r>
  <r>
    <s v="florarantakari"/>
    <s v="govtofvanuatu"/>
    <m/>
    <m/>
    <m/>
    <m/>
    <m/>
    <m/>
    <m/>
    <m/>
    <s v="No"/>
    <n v="23"/>
    <m/>
    <m/>
    <s v="Mentions"/>
    <x v="7"/>
    <s v="@meselianne @GovtOfVanuatu They are actually enjoying their life OFF the phone."/>
    <m/>
    <m/>
    <m/>
    <m/>
    <s v="https://pbs.twimg.com/profile_images/1515064205858074624/e6bEAhlH_normal.jpg"/>
    <d v="2022-05-26T03:41:19.000"/>
    <d v="2022-05-26T00:00:00.000"/>
    <s v="03:41:19"/>
    <s v="https://twitter.com/florarantakari/status/1529668979186225152"/>
    <m/>
    <m/>
    <s v="1529668979186225152"/>
    <s v="1310443280048377857"/>
    <b v="0"/>
    <n v="0"/>
    <s v="80744574"/>
    <b v="0"/>
    <s v="en"/>
    <m/>
    <s v=""/>
    <b v="0"/>
    <n v="0"/>
    <s v=""/>
    <s v="Twitter Web App"/>
    <b v="0"/>
    <s v="1310443280048377857"/>
    <s v="Tweet"/>
    <n v="0"/>
    <n v="0"/>
    <m/>
    <m/>
    <m/>
    <m/>
    <m/>
    <m/>
    <m/>
    <m/>
    <n v="2"/>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 applyNumberFormats="0" applyBorderFormats="0" applyFontFormats="0" applyPatternFormats="0" applyAlignmentFormats="0" applyWidthHeightFormats="1" dataCaption="Values" showMissing="1" preserveFormatting="1" useAutoFormatting="1" itemPrintTitles="1" compactData="0" createdVersion="3" updatedVersion="7" indent="0" multipleFieldFilters="0" showMemberPropertyTips="1">
  <location ref="A25:B3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9">
        <item x="2"/>
        <item x="4"/>
        <item x="0"/>
        <item x="1"/>
        <item x="3"/>
        <item x="5"/>
        <item x="6"/>
        <item x="7"/>
        <item t="default"/>
      </items>
    </pivotField>
    <pivotField showAll="0"/>
    <pivotField showAll="0"/>
    <pivotField showAll="0"/>
    <pivotField showAll="0"/>
    <pivotField showAll="0"/>
    <pivotField showAll="0"/>
    <pivotField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5"/>
  </rowFields>
  <rowItems count="9">
    <i>
      <x/>
    </i>
    <i>
      <x v="1"/>
    </i>
    <i>
      <x v="2"/>
    </i>
    <i>
      <x v="3"/>
    </i>
    <i>
      <x v="4"/>
    </i>
    <i>
      <x v="5"/>
    </i>
    <i>
      <x v="6"/>
    </i>
    <i>
      <x v="7"/>
    </i>
    <i t="grand">
      <x/>
    </i>
  </rowItems>
  <colItems count="1">
    <i/>
  </colItems>
  <dataFields count="1">
    <dataField name="Count of Relationship Date (UTC)" fld="15" subtotal="count" baseField="0" baseItem="0"/>
  </dataFields>
  <pivotTableStyleInfo name="PivotStyleLight16" showRowHeaders="1" showColHeaders="1" showRowStripes="0" showColStripes="0" showLastColumn="1"/>
</pivotTableDefinition>
</file>

<file path=xl/tables/table1.xml><?xml version="1.0" encoding="utf-8"?>
<table xmlns="http://schemas.openxmlformats.org/spreadsheetml/2006/main" id="1" name="Edges" displayName="Edges" ref="A2:BN24" totalsRowShown="0" headerRowDxfId="373" dataDxfId="372">
  <autoFilter ref="A2:BN24"/>
  <tableColumns count="66">
    <tableColumn id="1" name="Vertex 1" dataDxfId="322"/>
    <tableColumn id="2" name="Vertex 2" dataDxfId="320"/>
    <tableColumn id="3" name="Color" dataDxfId="321"/>
    <tableColumn id="4" name="Width" dataDxfId="371"/>
    <tableColumn id="11" name="Style" dataDxfId="370"/>
    <tableColumn id="5" name="Opacity" dataDxfId="369"/>
    <tableColumn id="6" name="Visibility" dataDxfId="368"/>
    <tableColumn id="10" name="Label" dataDxfId="367"/>
    <tableColumn id="12" name="Label Text Color" dataDxfId="366"/>
    <tableColumn id="13" name="Label Font Size" dataDxfId="365"/>
    <tableColumn id="14" name="Reciprocated?" dataDxfId="226"/>
    <tableColumn id="7" name="ID" dataDxfId="364"/>
    <tableColumn id="9" name="Dynamic Filter" dataDxfId="363"/>
    <tableColumn id="8" name="Add Your Own Columns Here" dataDxfId="319"/>
    <tableColumn id="15" name="Relationship" dataDxfId="318"/>
    <tableColumn id="16" name="Relationship Date (UTC)" dataDxfId="317"/>
    <tableColumn id="17" name="Tweet" dataDxfId="316"/>
    <tableColumn id="18" name="URLs in Tweet" dataDxfId="315"/>
    <tableColumn id="19" name="Domains in Tweet" dataDxfId="314"/>
    <tableColumn id="20" name="Hashtags in Tweet" dataDxfId="313"/>
    <tableColumn id="21" name="Media in Tweet" dataDxfId="312"/>
    <tableColumn id="22" name="Tweet Image File" dataDxfId="311"/>
    <tableColumn id="23" name="Tweet Date (UTC)" dataDxfId="310"/>
    <tableColumn id="24" name="Date" dataDxfId="309"/>
    <tableColumn id="25" name="Time" dataDxfId="308"/>
    <tableColumn id="26" name="Twitter Page for Tweet" dataDxfId="307"/>
    <tableColumn id="27" name="Latitude" dataDxfId="306"/>
    <tableColumn id="28" name="Longitude" dataDxfId="305"/>
    <tableColumn id="29" name="Imported ID" dataDxfId="304"/>
    <tableColumn id="30" name="In-Reply-To Tweet ID" dataDxfId="303"/>
    <tableColumn id="31" name="Favorited" dataDxfId="302"/>
    <tableColumn id="32" name="Favorite Count" dataDxfId="301"/>
    <tableColumn id="33" name="In-Reply-To User ID" dataDxfId="300"/>
    <tableColumn id="34" name="Is Quote Status" dataDxfId="299"/>
    <tableColumn id="35" name="Language" dataDxfId="298"/>
    <tableColumn id="36" name="Possibly Sensitive" dataDxfId="297"/>
    <tableColumn id="37" name="Quoted Status ID" dataDxfId="296"/>
    <tableColumn id="38" name="Retweeted" dataDxfId="295"/>
    <tableColumn id="39" name="Retweet Count" dataDxfId="294"/>
    <tableColumn id="40" name="Retweet ID" dataDxfId="293"/>
    <tableColumn id="41" name="Source" dataDxfId="292"/>
    <tableColumn id="42" name="Truncated" dataDxfId="291"/>
    <tableColumn id="43" name="Unified Twitter ID" dataDxfId="290"/>
    <tableColumn id="44" name="Imported Tweet Type" dataDxfId="289"/>
    <tableColumn id="45" name="Added By Extended Analysis" dataDxfId="288"/>
    <tableColumn id="46" name="Corrected By Extended Analysis" dataDxfId="287"/>
    <tableColumn id="47" name="Place Bounding Box" dataDxfId="286"/>
    <tableColumn id="48" name="Place Country" dataDxfId="285"/>
    <tableColumn id="49" name="Place Country Code" dataDxfId="284"/>
    <tableColumn id="50" name="Place Full Name" dataDxfId="283"/>
    <tableColumn id="51" name="Place ID" dataDxfId="282"/>
    <tableColumn id="52" name="Place Name" dataDxfId="281"/>
    <tableColumn id="53" name="Place Type" dataDxfId="280"/>
    <tableColumn id="54" name="Place URL" dataDxfId="279"/>
    <tableColumn id="55" name="Edge Weight"/>
    <tableColumn id="56" name="Vertex 1 Group" dataDxfId="241">
      <calculatedColumnFormula>REPLACE(INDEX(GroupVertices[Group], MATCH(Edges[[#This Row],[Vertex 1]],GroupVertices[Vertex],0)),1,1,"")</calculatedColumnFormula>
    </tableColumn>
    <tableColumn id="57" name="Vertex 2 Group" dataDxfId="202">
      <calculatedColumnFormula>REPLACE(INDEX(GroupVertices[Group], MATCH(Edges[[#This Row],[Vertex 2]],GroupVertices[Vertex],0)),1,1,"")</calculatedColumnFormula>
    </tableColumn>
    <tableColumn id="58" name="Sentiment List #1: List1 Word Count" dataDxfId="201"/>
    <tableColumn id="59" name="Sentiment List #1: List1 Word Percentage (%)" dataDxfId="200"/>
    <tableColumn id="60" name="Sentiment List #2: List2 Word Count" dataDxfId="199"/>
    <tableColumn id="61" name="Sentiment List #2: List2 Word Percentage (%)" dataDxfId="198"/>
    <tableColumn id="62" name="Sentiment List #3: List3 Word Count" dataDxfId="197"/>
    <tableColumn id="63" name="Sentiment List #3: List3 Word Percentage (%)" dataDxfId="196"/>
    <tableColumn id="64" name="Non-categorized Word Count" dataDxfId="195"/>
    <tableColumn id="65" name="Non-categorized Word Percentage (%)" dataDxfId="194"/>
    <tableColumn id="66" name="Edge Content Word Count" dataDxfId="19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5" totalsRowShown="0" headerRowDxfId="225" dataDxfId="224">
  <autoFilter ref="A1:G95"/>
  <tableColumns count="7">
    <tableColumn id="1" name="Word" dataDxfId="223"/>
    <tableColumn id="2" name="Count" dataDxfId="222"/>
    <tableColumn id="3" name="Salience" dataDxfId="221"/>
    <tableColumn id="4" name="Group" dataDxfId="220"/>
    <tableColumn id="5" name="Word on Sentiment List #1: List1" dataDxfId="219"/>
    <tableColumn id="6" name="Word on Sentiment List #2: List2" dataDxfId="218"/>
    <tableColumn id="7" name="Word on Sentiment List #3: List3" dataDxfId="21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85" totalsRowShown="0" headerRowDxfId="216" dataDxfId="215">
  <autoFilter ref="A1:L85"/>
  <tableColumns count="12">
    <tableColumn id="1" name="Word 1" dataDxfId="214"/>
    <tableColumn id="2" name="Word 2" dataDxfId="213"/>
    <tableColumn id="3" name="Count" dataDxfId="212"/>
    <tableColumn id="4" name="Salience" dataDxfId="211"/>
    <tableColumn id="5" name="Mutual Information" dataDxfId="210"/>
    <tableColumn id="6" name="Group" dataDxfId="209"/>
    <tableColumn id="7" name="Word1 on Sentiment List #1: List1" dataDxfId="208"/>
    <tableColumn id="8" name="Word1 on Sentiment List #2: List2" dataDxfId="207"/>
    <tableColumn id="9" name="Word1 on Sentiment List #3: List3" dataDxfId="206"/>
    <tableColumn id="10" name="Word2 on Sentiment List #1: List1" dataDxfId="205"/>
    <tableColumn id="11" name="Word2 on Sentiment List #2: List2" dataDxfId="204"/>
    <tableColumn id="12" name="Word2 on Sentiment List #3: List3" dataDxfId="203"/>
  </tableColumns>
  <tableStyleInfo name="NodeXL Table" showFirstColumn="0" showLastColumn="0" showRowStripes="1" showColumnStripes="0"/>
</table>
</file>

<file path=xl/tables/table13.xml><?xml version="1.0" encoding="utf-8"?>
<table xmlns="http://schemas.openxmlformats.org/spreadsheetml/2006/main" id="12"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4.xml><?xml version="1.0" encoding="utf-8"?>
<table xmlns="http://schemas.openxmlformats.org/spreadsheetml/2006/main" id="13"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5.xml><?xml version="1.0" encoding="utf-8"?>
<table xmlns="http://schemas.openxmlformats.org/spreadsheetml/2006/main" id="14"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6.xml><?xml version="1.0" encoding="utf-8"?>
<table xmlns="http://schemas.openxmlformats.org/spreadsheetml/2006/main" id="24" name="Edges25" displayName="Edges25" ref="A2:BN10" totalsRowShown="0" headerRowDxfId="66" dataDxfId="65">
  <autoFilter ref="A2:BN1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MATCH(Edges25[[#This Row],[Vertex 1]],GroupVertices[Vertex],0)),1,1,"")</calculatedColumnFormula>
    </tableColumn>
    <tableColumn id="57" name="Vertex 2 Group" dataDxfId="9">
      <calculatedColumnFormula>REPLACE(INDEX(GroupVertices[Group], MATCH(Edges25[[#This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7.xml><?xml version="1.0" encoding="utf-8"?>
<table xmlns="http://schemas.openxmlformats.org/spreadsheetml/2006/main" id="16"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18.xml><?xml version="1.0" encoding="utf-8"?>
<table xmlns="http://schemas.openxmlformats.org/spreadsheetml/2006/main" id="17"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19.xml><?xml version="1.0" encoding="utf-8"?>
<table xmlns="http://schemas.openxmlformats.org/spreadsheetml/2006/main" id="18" name="NetworkTopItems_3" displayName="NetworkTopItems_3" ref="A9:F18" totalsRowShown="0" headerRowDxfId="132" dataDxfId="131">
  <autoFilter ref="A9:F1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62" dataDxfId="361">
  <autoFilter ref="A2:BT14"/>
  <tableColumns count="72">
    <tableColumn id="1" name="Vertex" dataDxfId="360"/>
    <tableColumn id="2" name="Color" dataDxfId="359"/>
    <tableColumn id="5" name="Shape" dataDxfId="358"/>
    <tableColumn id="6" name="Size" dataDxfId="357"/>
    <tableColumn id="4" name="Opacity" dataDxfId="258"/>
    <tableColumn id="7" name="Image File" dataDxfId="256"/>
    <tableColumn id="3" name="Visibility" dataDxfId="257"/>
    <tableColumn id="10" name="Label" dataDxfId="356"/>
    <tableColumn id="16" name="Label Fill Color" dataDxfId="355"/>
    <tableColumn id="9" name="Label Position" dataDxfId="252"/>
    <tableColumn id="8" name="Tooltip" dataDxfId="250"/>
    <tableColumn id="18" name="Layout Order" dataDxfId="251"/>
    <tableColumn id="13" name="X" dataDxfId="354"/>
    <tableColumn id="14" name="Y" dataDxfId="353"/>
    <tableColumn id="12" name="Locked?" dataDxfId="352"/>
    <tableColumn id="19" name="Polar R" dataDxfId="351"/>
    <tableColumn id="20" name="Polar Angle" dataDxfId="350"/>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49"/>
    <tableColumn id="28" name="Dynamic Filter" dataDxfId="348"/>
    <tableColumn id="17" name="Add Your Own Columns Here" dataDxfId="278"/>
    <tableColumn id="30" name="Name" dataDxfId="277"/>
    <tableColumn id="31" name="User ID" dataDxfId="276"/>
    <tableColumn id="32" name="Followed" dataDxfId="275"/>
    <tableColumn id="33" name="Followers" dataDxfId="274"/>
    <tableColumn id="34" name="Tweets" dataDxfId="273"/>
    <tableColumn id="35" name="Favorites" dataDxfId="272"/>
    <tableColumn id="36" name="Time Zone UTC Offset (Seconds)" dataDxfId="271"/>
    <tableColumn id="37" name="Description" dataDxfId="270"/>
    <tableColumn id="38" name="Location" dataDxfId="269"/>
    <tableColumn id="39" name="Web" dataDxfId="268"/>
    <tableColumn id="40" name="Time Zone" dataDxfId="267"/>
    <tableColumn id="41" name="Joined Twitter Date (UTC)" dataDxfId="266"/>
    <tableColumn id="42" name="Profile Banner Url" dataDxfId="265"/>
    <tableColumn id="43" name="Default Profile" dataDxfId="264"/>
    <tableColumn id="44" name="Default Profile Image" dataDxfId="263"/>
    <tableColumn id="45" name="Geo Enabled" dataDxfId="262"/>
    <tableColumn id="46" name="Language" dataDxfId="261"/>
    <tableColumn id="47" name="Listed Count" dataDxfId="260"/>
    <tableColumn id="48" name="Profile Background Image Url" dataDxfId="259"/>
    <tableColumn id="49" name="Verified" dataDxfId="255"/>
    <tableColumn id="50" name="Custom Menu Item Text" dataDxfId="254"/>
    <tableColumn id="51" name="Custom Menu Item Action" dataDxfId="253"/>
    <tableColumn id="52" name="Tweeted Search Term?" dataDxfId="242"/>
    <tableColumn id="53" name="Vertex Group" dataDxfId="192">
      <calculatedColumnFormula>REPLACE(INDEX(GroupVertices[Group], MATCH(Vertices[[#This Row],[Vertex]],GroupVertices[Vertex],0)),1,1,"")</calculatedColumnFormula>
    </tableColumn>
    <tableColumn id="54" name="Sentiment List #1: List1 Word Count" dataDxfId="191"/>
    <tableColumn id="55" name="Sentiment List #1: List1 Word Percentage (%)" dataDxfId="190"/>
    <tableColumn id="56" name="Sentiment List #2: List2 Word Count" dataDxfId="189"/>
    <tableColumn id="57" name="Sentiment List #2: List2 Word Percentage (%)" dataDxfId="188"/>
    <tableColumn id="58" name="Sentiment List #3: List3 Word Count" dataDxfId="187"/>
    <tableColumn id="59" name="Sentiment List #3: List3 Word Percentage (%)" dataDxfId="186"/>
    <tableColumn id="60" name="Non-categorized Word Count" dataDxfId="185"/>
    <tableColumn id="61" name="Non-categorized Word Percentage (%)" dataDxfId="184"/>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4" displayName="NetworkTopItems_4" ref="A21:F31" totalsRowShown="0" headerRowDxfId="123" dataDxfId="122">
  <autoFilter ref="A21:F3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1.xml><?xml version="1.0" encoding="utf-8"?>
<table xmlns="http://schemas.openxmlformats.org/spreadsheetml/2006/main" id="20" name="NetworkTopItems_5" displayName="NetworkTopItems_5" ref="A34:F44" totalsRowShown="0" headerRowDxfId="114" dataDxfId="113">
  <autoFilter ref="A34:F4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2.xml><?xml version="1.0" encoding="utf-8"?>
<table xmlns="http://schemas.openxmlformats.org/spreadsheetml/2006/main" id="21" name="NetworkTopItems_6" displayName="NetworkTopItems_6" ref="A47:F49" totalsRowShown="0" headerRowDxfId="105" dataDxfId="104">
  <autoFilter ref="A47:F4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7" displayName="NetworkTopItems_7" ref="A52:F56" totalsRowShown="0" headerRowDxfId="102" dataDxfId="101">
  <autoFilter ref="A52:F56"/>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8" displayName="NetworkTopItems_8" ref="A59:F69" totalsRowShown="0" headerRowDxfId="87" dataDxfId="86">
  <autoFilter ref="A59:F69"/>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47">
  <autoFilter ref="A2:AO4"/>
  <tableColumns count="41">
    <tableColumn id="1" name="Group" dataDxfId="249"/>
    <tableColumn id="2" name="Vertex Color" dataDxfId="248"/>
    <tableColumn id="3" name="Vertex Shape" dataDxfId="246"/>
    <tableColumn id="22" name="Visibility" dataDxfId="247"/>
    <tableColumn id="4" name="Collapsed?"/>
    <tableColumn id="18" name="Label" dataDxfId="346"/>
    <tableColumn id="20" name="Collapsed X"/>
    <tableColumn id="21" name="Collapsed Y"/>
    <tableColumn id="6" name="ID" dataDxfId="345"/>
    <tableColumn id="19" name="Collapsed Properties" dataDxfId="240"/>
    <tableColumn id="5" name="Vertices" dataDxfId="239"/>
    <tableColumn id="7" name="Unique Edges" dataDxfId="238"/>
    <tableColumn id="8" name="Edges With Duplicates" dataDxfId="237"/>
    <tableColumn id="9" name="Total Edges" dataDxfId="236"/>
    <tableColumn id="10" name="Self-Loops" dataDxfId="235"/>
    <tableColumn id="24" name="Reciprocated Vertex Pair Ratio" dataDxfId="234"/>
    <tableColumn id="25" name="Reciprocated Edge Ratio" dataDxfId="233"/>
    <tableColumn id="11" name="Connected Components" dataDxfId="232"/>
    <tableColumn id="12" name="Single-Vertex Connected Components" dataDxfId="231"/>
    <tableColumn id="13" name="Maximum Vertices in a Connected Component" dataDxfId="230"/>
    <tableColumn id="14" name="Maximum Edges in a Connected Component" dataDxfId="229"/>
    <tableColumn id="15" name="Maximum Geodesic Distance (Diameter)" dataDxfId="228"/>
    <tableColumn id="16" name="Average Geodesic Distance" dataDxfId="227"/>
    <tableColumn id="17" name="Graph Density" dataDxfId="183"/>
    <tableColumn id="23" name="Sentiment List #1: List1 Word Count" dataDxfId="182"/>
    <tableColumn id="26" name="Sentiment List #1: List1 Word Percentage (%)" dataDxfId="181"/>
    <tableColumn id="27" name="Sentiment List #2: List2 Word Count" dataDxfId="180"/>
    <tableColumn id="28" name="Sentiment List #2: List2 Word Percentage (%)" dataDxfId="179"/>
    <tableColumn id="29" name="Sentiment List #3: List3 Word Count" dataDxfId="178"/>
    <tableColumn id="30" name="Sentiment List #3: List3 Word Percentage (%)" dataDxfId="177"/>
    <tableColumn id="31" name="Non-categorized Word Count" dataDxfId="176"/>
    <tableColumn id="32" name="Non-categorized Word Percentage (%)" dataDxfId="17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44" dataDxfId="343">
  <autoFilter ref="A1:C13"/>
  <tableColumns count="3">
    <tableColumn id="1" name="Group" dataDxfId="245"/>
    <tableColumn id="2" name="Vertex" dataDxfId="244"/>
    <tableColumn id="3" name="Vertex ID" dataDxfId="24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8" totalsRowShown="0" headerRowDxfId="324">
  <autoFilter ref="J1:K28"/>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6.vml" /><Relationship Id="rId3" Type="http://schemas.openxmlformats.org/officeDocument/2006/relationships/table" Target="../tables/table16.xml" /><Relationship Id="rId4"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hyperlink" Target="https://twitter.com/SavvyVanuatu/status/1528525324421541888" TargetMode="External" /><Relationship Id="rId2" Type="http://schemas.openxmlformats.org/officeDocument/2006/relationships/hyperlink" Target="https://twitter.com/SavvyVanuatu/status/1528525324421541888" TargetMode="External" /><Relationship Id="rId3" Type="http://schemas.openxmlformats.org/officeDocument/2006/relationships/table" Target="../tables/table17.xml" /><Relationship Id="rId4" Type="http://schemas.openxmlformats.org/officeDocument/2006/relationships/table" Target="../tables/table18.xm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s="13" t="s">
        <v>220</v>
      </c>
      <c r="S2" s="13" t="s">
        <v>221</v>
      </c>
      <c r="T2" s="13" t="s">
        <v>222</v>
      </c>
      <c r="U2" s="13" t="s">
        <v>223</v>
      </c>
      <c r="V2" s="13" t="s">
        <v>224</v>
      </c>
      <c r="W2" s="13" t="s">
        <v>225</v>
      </c>
      <c r="X2" s="13" t="s">
        <v>226</v>
      </c>
      <c r="Y2" s="13" t="s">
        <v>227</v>
      </c>
      <c r="Z2" s="13" t="s">
        <v>228</v>
      </c>
      <c r="AA2" s="13" t="s">
        <v>229</v>
      </c>
      <c r="AB2" s="13" t="s">
        <v>230</v>
      </c>
      <c r="AC2" s="13" t="s">
        <v>231</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248</v>
      </c>
      <c r="AU2" s="13" t="s">
        <v>249</v>
      </c>
      <c r="AV2" s="13" t="s">
        <v>250</v>
      </c>
      <c r="AW2" s="13" t="s">
        <v>251</v>
      </c>
      <c r="AX2" s="13" t="s">
        <v>252</v>
      </c>
      <c r="AY2" s="13" t="s">
        <v>253</v>
      </c>
      <c r="AZ2" s="13" t="s">
        <v>254</v>
      </c>
      <c r="BA2" s="13" t="s">
        <v>255</v>
      </c>
      <c r="BB2" s="13" t="s">
        <v>256</v>
      </c>
      <c r="BC2" t="s">
        <v>385</v>
      </c>
      <c r="BD2" s="13" t="s">
        <v>391</v>
      </c>
      <c r="BE2" s="13" t="s">
        <v>392</v>
      </c>
      <c r="BF2" s="68" t="s">
        <v>458</v>
      </c>
      <c r="BG2" s="68" t="s">
        <v>459</v>
      </c>
      <c r="BH2" s="68" t="s">
        <v>460</v>
      </c>
      <c r="BI2" s="68" t="s">
        <v>461</v>
      </c>
      <c r="BJ2" s="68" t="s">
        <v>462</v>
      </c>
      <c r="BK2" s="68" t="s">
        <v>463</v>
      </c>
      <c r="BL2" s="68" t="s">
        <v>464</v>
      </c>
      <c r="BM2" s="68" t="s">
        <v>465</v>
      </c>
      <c r="BN2" s="68" t="s">
        <v>466</v>
      </c>
    </row>
    <row r="3" spans="1:66" ht="15" customHeight="1">
      <c r="A3" s="81" t="s">
        <v>257</v>
      </c>
      <c r="B3" s="81" t="s">
        <v>267</v>
      </c>
      <c r="C3" s="53" t="s">
        <v>593</v>
      </c>
      <c r="D3" s="54">
        <v>5</v>
      </c>
      <c r="E3" s="66"/>
      <c r="F3" s="55">
        <v>50</v>
      </c>
      <c r="G3" s="53"/>
      <c r="H3" s="57"/>
      <c r="I3" s="56"/>
      <c r="J3" s="56"/>
      <c r="K3" s="36" t="s">
        <v>65</v>
      </c>
      <c r="L3" s="62">
        <v>3</v>
      </c>
      <c r="M3" s="62"/>
      <c r="N3" s="63"/>
      <c r="O3" s="82" t="s">
        <v>269</v>
      </c>
      <c r="P3" s="84">
        <v>44704.274618055555</v>
      </c>
      <c r="Q3" s="82" t="s">
        <v>273</v>
      </c>
      <c r="R3" s="86" t="str">
        <f>HYPERLINK("https://twitter.com/SavvyVanuatu/status/1528525324421541888")</f>
        <v>https://twitter.com/SavvyVanuatu/status/1528525324421541888</v>
      </c>
      <c r="S3" s="82" t="s">
        <v>277</v>
      </c>
      <c r="T3" s="88" t="s">
        <v>278</v>
      </c>
      <c r="U3" s="82"/>
      <c r="V3" s="86" t="str">
        <f>HYPERLINK("https://pbs.twimg.com/profile_images/1511983894358523907/qUCGGohF_normal.jpg")</f>
        <v>https://pbs.twimg.com/profile_images/1511983894358523907/qUCGGohF_normal.jpg</v>
      </c>
      <c r="W3" s="84">
        <v>44704.274618055555</v>
      </c>
      <c r="X3" s="90">
        <v>44704</v>
      </c>
      <c r="Y3" s="88" t="s">
        <v>280</v>
      </c>
      <c r="Z3" s="86" t="str">
        <f>HYPERLINK("https://twitter.com/savvyvanuatu/status/1528625639850266625")</f>
        <v>https://twitter.com/savvyvanuatu/status/1528625639850266625</v>
      </c>
      <c r="AA3" s="82"/>
      <c r="AB3" s="82"/>
      <c r="AC3" s="88" t="s">
        <v>288</v>
      </c>
      <c r="AD3" s="82"/>
      <c r="AE3" s="82" t="b">
        <v>0</v>
      </c>
      <c r="AF3" s="82">
        <v>0</v>
      </c>
      <c r="AG3" s="88" t="s">
        <v>299</v>
      </c>
      <c r="AH3" s="82" t="b">
        <v>1</v>
      </c>
      <c r="AI3" s="82" t="s">
        <v>303</v>
      </c>
      <c r="AJ3" s="82"/>
      <c r="AK3" s="88" t="s">
        <v>304</v>
      </c>
      <c r="AL3" s="82" t="b">
        <v>0</v>
      </c>
      <c r="AM3" s="82">
        <v>2</v>
      </c>
      <c r="AN3" s="88" t="s">
        <v>290</v>
      </c>
      <c r="AO3" s="88" t="s">
        <v>305</v>
      </c>
      <c r="AP3" s="82" t="b">
        <v>0</v>
      </c>
      <c r="AQ3" s="88" t="s">
        <v>290</v>
      </c>
      <c r="AR3" s="82" t="s">
        <v>219</v>
      </c>
      <c r="AS3" s="82">
        <v>0</v>
      </c>
      <c r="AT3" s="82">
        <v>0</v>
      </c>
      <c r="AU3" s="82"/>
      <c r="AV3" s="82"/>
      <c r="AW3" s="82"/>
      <c r="AX3" s="82"/>
      <c r="AY3" s="82"/>
      <c r="AZ3" s="82"/>
      <c r="BA3" s="82"/>
      <c r="BB3" s="82"/>
      <c r="BC3">
        <v>1</v>
      </c>
      <c r="BD3" s="82" t="str">
        <f>REPLACE(INDEX(GroupVertices[Group],MATCH(Edges[[#This Row],[Vertex 1]],GroupVertices[Vertex],0)),1,1,"")</f>
        <v>2</v>
      </c>
      <c r="BE3" s="82" t="str">
        <f>REPLACE(INDEX(GroupVertices[Group],MATCH(Edges[[#This Row],[Vertex 2]],GroupVertices[Vertex],0)),1,1,"")</f>
        <v>1</v>
      </c>
      <c r="BF3" s="51"/>
      <c r="BG3" s="52"/>
      <c r="BH3" s="51"/>
      <c r="BI3" s="52"/>
      <c r="BJ3" s="51"/>
      <c r="BK3" s="52"/>
      <c r="BL3" s="51"/>
      <c r="BM3" s="52"/>
      <c r="BN3" s="51"/>
    </row>
    <row r="4" spans="1:66" ht="15" customHeight="1">
      <c r="A4" s="81" t="s">
        <v>257</v>
      </c>
      <c r="B4" s="81" t="s">
        <v>264</v>
      </c>
      <c r="C4" s="53" t="s">
        <v>593</v>
      </c>
      <c r="D4" s="54">
        <v>5</v>
      </c>
      <c r="E4" s="53"/>
      <c r="F4" s="55">
        <v>50</v>
      </c>
      <c r="G4" s="53"/>
      <c r="H4" s="57"/>
      <c r="I4" s="56"/>
      <c r="J4" s="56"/>
      <c r="K4" s="36" t="s">
        <v>65</v>
      </c>
      <c r="L4" s="62">
        <v>4</v>
      </c>
      <c r="M4" s="62"/>
      <c r="N4" s="63"/>
      <c r="O4" s="83" t="s">
        <v>269</v>
      </c>
      <c r="P4" s="85">
        <v>44704.274618055555</v>
      </c>
      <c r="Q4" s="83" t="s">
        <v>273</v>
      </c>
      <c r="R4" s="87" t="str">
        <f>HYPERLINK("https://twitter.com/SavvyVanuatu/status/1528525324421541888")</f>
        <v>https://twitter.com/SavvyVanuatu/status/1528525324421541888</v>
      </c>
      <c r="S4" s="83" t="s">
        <v>277</v>
      </c>
      <c r="T4" s="89" t="s">
        <v>278</v>
      </c>
      <c r="U4" s="83"/>
      <c r="V4" s="87" t="str">
        <f>HYPERLINK("https://pbs.twimg.com/profile_images/1511983894358523907/qUCGGohF_normal.jpg")</f>
        <v>https://pbs.twimg.com/profile_images/1511983894358523907/qUCGGohF_normal.jpg</v>
      </c>
      <c r="W4" s="85">
        <v>44704.274618055555</v>
      </c>
      <c r="X4" s="91">
        <v>44704</v>
      </c>
      <c r="Y4" s="89" t="s">
        <v>280</v>
      </c>
      <c r="Z4" s="87" t="str">
        <f>HYPERLINK("https://twitter.com/savvyvanuatu/status/1528625639850266625")</f>
        <v>https://twitter.com/savvyvanuatu/status/1528625639850266625</v>
      </c>
      <c r="AA4" s="83"/>
      <c r="AB4" s="83"/>
      <c r="AC4" s="89" t="s">
        <v>288</v>
      </c>
      <c r="AD4" s="83"/>
      <c r="AE4" s="83" t="b">
        <v>0</v>
      </c>
      <c r="AF4" s="83">
        <v>0</v>
      </c>
      <c r="AG4" s="89" t="s">
        <v>299</v>
      </c>
      <c r="AH4" s="83" t="b">
        <v>1</v>
      </c>
      <c r="AI4" s="83" t="s">
        <v>303</v>
      </c>
      <c r="AJ4" s="83"/>
      <c r="AK4" s="89" t="s">
        <v>304</v>
      </c>
      <c r="AL4" s="83" t="b">
        <v>0</v>
      </c>
      <c r="AM4" s="83">
        <v>2</v>
      </c>
      <c r="AN4" s="89" t="s">
        <v>290</v>
      </c>
      <c r="AO4" s="89" t="s">
        <v>305</v>
      </c>
      <c r="AP4" s="83" t="b">
        <v>0</v>
      </c>
      <c r="AQ4" s="89" t="s">
        <v>290</v>
      </c>
      <c r="AR4" s="83" t="s">
        <v>219</v>
      </c>
      <c r="AS4" s="83">
        <v>0</v>
      </c>
      <c r="AT4" s="83">
        <v>0</v>
      </c>
      <c r="AU4" s="83"/>
      <c r="AV4" s="83"/>
      <c r="AW4" s="83"/>
      <c r="AX4" s="83"/>
      <c r="AY4" s="83"/>
      <c r="AZ4" s="83"/>
      <c r="BA4" s="83"/>
      <c r="BB4" s="83"/>
      <c r="BC4">
        <v>1</v>
      </c>
      <c r="BD4" s="82" t="str">
        <f>REPLACE(INDEX(GroupVertices[Group],MATCH(Edges[[#This Row],[Vertex 1]],GroupVertices[Vertex],0)),1,1,"")</f>
        <v>2</v>
      </c>
      <c r="BE4" s="82" t="str">
        <f>REPLACE(INDEX(GroupVertices[Group],MATCH(Edges[[#This Row],[Vertex 2]],GroupVertices[Vertex],0)),1,1,"")</f>
        <v>2</v>
      </c>
      <c r="BF4" s="51"/>
      <c r="BG4" s="52"/>
      <c r="BH4" s="51"/>
      <c r="BI4" s="52"/>
      <c r="BJ4" s="51"/>
      <c r="BK4" s="52"/>
      <c r="BL4" s="51"/>
      <c r="BM4" s="52"/>
      <c r="BN4" s="51"/>
    </row>
    <row r="5" spans="1:66" ht="28.8">
      <c r="A5" s="81" t="s">
        <v>257</v>
      </c>
      <c r="B5" s="81" t="s">
        <v>265</v>
      </c>
      <c r="C5" s="53" t="s">
        <v>593</v>
      </c>
      <c r="D5" s="54">
        <v>5</v>
      </c>
      <c r="E5" s="53"/>
      <c r="F5" s="55">
        <v>50</v>
      </c>
      <c r="G5" s="53"/>
      <c r="H5" s="57"/>
      <c r="I5" s="56"/>
      <c r="J5" s="56"/>
      <c r="K5" s="36" t="s">
        <v>65</v>
      </c>
      <c r="L5" s="62">
        <v>5</v>
      </c>
      <c r="M5" s="62"/>
      <c r="N5" s="63"/>
      <c r="O5" s="83" t="s">
        <v>269</v>
      </c>
      <c r="P5" s="85">
        <v>44704.274618055555</v>
      </c>
      <c r="Q5" s="83" t="s">
        <v>273</v>
      </c>
      <c r="R5" s="87" t="str">
        <f>HYPERLINK("https://twitter.com/SavvyVanuatu/status/1528525324421541888")</f>
        <v>https://twitter.com/SavvyVanuatu/status/1528525324421541888</v>
      </c>
      <c r="S5" s="83" t="s">
        <v>277</v>
      </c>
      <c r="T5" s="89" t="s">
        <v>278</v>
      </c>
      <c r="U5" s="83"/>
      <c r="V5" s="87" t="str">
        <f>HYPERLINK("https://pbs.twimg.com/profile_images/1511983894358523907/qUCGGohF_normal.jpg")</f>
        <v>https://pbs.twimg.com/profile_images/1511983894358523907/qUCGGohF_normal.jpg</v>
      </c>
      <c r="W5" s="85">
        <v>44704.274618055555</v>
      </c>
      <c r="X5" s="91">
        <v>44704</v>
      </c>
      <c r="Y5" s="89" t="s">
        <v>280</v>
      </c>
      <c r="Z5" s="87" t="str">
        <f>HYPERLINK("https://twitter.com/savvyvanuatu/status/1528625639850266625")</f>
        <v>https://twitter.com/savvyvanuatu/status/1528625639850266625</v>
      </c>
      <c r="AA5" s="83"/>
      <c r="AB5" s="83"/>
      <c r="AC5" s="89" t="s">
        <v>288</v>
      </c>
      <c r="AD5" s="83"/>
      <c r="AE5" s="83" t="b">
        <v>0</v>
      </c>
      <c r="AF5" s="83">
        <v>0</v>
      </c>
      <c r="AG5" s="89" t="s">
        <v>299</v>
      </c>
      <c r="AH5" s="83" t="b">
        <v>1</v>
      </c>
      <c r="AI5" s="83" t="s">
        <v>303</v>
      </c>
      <c r="AJ5" s="83"/>
      <c r="AK5" s="89" t="s">
        <v>304</v>
      </c>
      <c r="AL5" s="83" t="b">
        <v>0</v>
      </c>
      <c r="AM5" s="83">
        <v>2</v>
      </c>
      <c r="AN5" s="89" t="s">
        <v>290</v>
      </c>
      <c r="AO5" s="89" t="s">
        <v>305</v>
      </c>
      <c r="AP5" s="83" t="b">
        <v>0</v>
      </c>
      <c r="AQ5" s="89" t="s">
        <v>290</v>
      </c>
      <c r="AR5" s="83" t="s">
        <v>219</v>
      </c>
      <c r="AS5" s="83">
        <v>0</v>
      </c>
      <c r="AT5" s="83">
        <v>0</v>
      </c>
      <c r="AU5" s="83"/>
      <c r="AV5" s="83"/>
      <c r="AW5" s="83"/>
      <c r="AX5" s="83"/>
      <c r="AY5" s="83"/>
      <c r="AZ5" s="83"/>
      <c r="BA5" s="83"/>
      <c r="BB5" s="83"/>
      <c r="BC5">
        <v>1</v>
      </c>
      <c r="BD5" s="82" t="str">
        <f>REPLACE(INDEX(GroupVertices[Group],MATCH(Edges[[#This Row],[Vertex 1]],GroupVertices[Vertex],0)),1,1,"")</f>
        <v>2</v>
      </c>
      <c r="BE5" s="82" t="str">
        <f>REPLACE(INDEX(GroupVertices[Group],MATCH(Edges[[#This Row],[Vertex 2]],GroupVertices[Vertex],0)),1,1,"")</f>
        <v>2</v>
      </c>
      <c r="BF5" s="51"/>
      <c r="BG5" s="52"/>
      <c r="BH5" s="51"/>
      <c r="BI5" s="52"/>
      <c r="BJ5" s="51"/>
      <c r="BK5" s="52"/>
      <c r="BL5" s="51"/>
      <c r="BM5" s="52"/>
      <c r="BN5" s="51"/>
    </row>
    <row r="6" spans="1:66" ht="28.8">
      <c r="A6" s="81" t="s">
        <v>257</v>
      </c>
      <c r="B6" s="81" t="s">
        <v>266</v>
      </c>
      <c r="C6" s="53" t="s">
        <v>593</v>
      </c>
      <c r="D6" s="54">
        <v>5</v>
      </c>
      <c r="E6" s="53"/>
      <c r="F6" s="55">
        <v>50</v>
      </c>
      <c r="G6" s="53"/>
      <c r="H6" s="57"/>
      <c r="I6" s="56"/>
      <c r="J6" s="56"/>
      <c r="K6" s="36" t="s">
        <v>65</v>
      </c>
      <c r="L6" s="62">
        <v>6</v>
      </c>
      <c r="M6" s="62"/>
      <c r="N6" s="63"/>
      <c r="O6" s="83" t="s">
        <v>269</v>
      </c>
      <c r="P6" s="85">
        <v>44704.274618055555</v>
      </c>
      <c r="Q6" s="83" t="s">
        <v>273</v>
      </c>
      <c r="R6" s="87" t="str">
        <f>HYPERLINK("https://twitter.com/SavvyVanuatu/status/1528525324421541888")</f>
        <v>https://twitter.com/SavvyVanuatu/status/1528525324421541888</v>
      </c>
      <c r="S6" s="83" t="s">
        <v>277</v>
      </c>
      <c r="T6" s="89" t="s">
        <v>278</v>
      </c>
      <c r="U6" s="83"/>
      <c r="V6" s="87" t="str">
        <f>HYPERLINK("https://pbs.twimg.com/profile_images/1511983894358523907/qUCGGohF_normal.jpg")</f>
        <v>https://pbs.twimg.com/profile_images/1511983894358523907/qUCGGohF_normal.jpg</v>
      </c>
      <c r="W6" s="85">
        <v>44704.274618055555</v>
      </c>
      <c r="X6" s="91">
        <v>44704</v>
      </c>
      <c r="Y6" s="89" t="s">
        <v>280</v>
      </c>
      <c r="Z6" s="87" t="str">
        <f>HYPERLINK("https://twitter.com/savvyvanuatu/status/1528625639850266625")</f>
        <v>https://twitter.com/savvyvanuatu/status/1528625639850266625</v>
      </c>
      <c r="AA6" s="83"/>
      <c r="AB6" s="83"/>
      <c r="AC6" s="89" t="s">
        <v>288</v>
      </c>
      <c r="AD6" s="83"/>
      <c r="AE6" s="83" t="b">
        <v>0</v>
      </c>
      <c r="AF6" s="83">
        <v>0</v>
      </c>
      <c r="AG6" s="89" t="s">
        <v>299</v>
      </c>
      <c r="AH6" s="83" t="b">
        <v>1</v>
      </c>
      <c r="AI6" s="83" t="s">
        <v>303</v>
      </c>
      <c r="AJ6" s="83"/>
      <c r="AK6" s="89" t="s">
        <v>304</v>
      </c>
      <c r="AL6" s="83" t="b">
        <v>0</v>
      </c>
      <c r="AM6" s="83">
        <v>2</v>
      </c>
      <c r="AN6" s="89" t="s">
        <v>290</v>
      </c>
      <c r="AO6" s="89" t="s">
        <v>305</v>
      </c>
      <c r="AP6" s="83" t="b">
        <v>0</v>
      </c>
      <c r="AQ6" s="89" t="s">
        <v>290</v>
      </c>
      <c r="AR6" s="83" t="s">
        <v>219</v>
      </c>
      <c r="AS6" s="83">
        <v>0</v>
      </c>
      <c r="AT6" s="83">
        <v>0</v>
      </c>
      <c r="AU6" s="83"/>
      <c r="AV6" s="83"/>
      <c r="AW6" s="83"/>
      <c r="AX6" s="83"/>
      <c r="AY6" s="83"/>
      <c r="AZ6" s="83"/>
      <c r="BA6" s="83"/>
      <c r="BB6" s="83"/>
      <c r="BC6">
        <v>1</v>
      </c>
      <c r="BD6" s="82" t="str">
        <f>REPLACE(INDEX(GroupVertices[Group],MATCH(Edges[[#This Row],[Vertex 1]],GroupVertices[Vertex],0)),1,1,"")</f>
        <v>2</v>
      </c>
      <c r="BE6" s="82" t="str">
        <f>REPLACE(INDEX(GroupVertices[Group],MATCH(Edges[[#This Row],[Vertex 2]],GroupVertices[Vertex],0)),1,1,"")</f>
        <v>2</v>
      </c>
      <c r="BF6" s="51"/>
      <c r="BG6" s="52"/>
      <c r="BH6" s="51"/>
      <c r="BI6" s="52"/>
      <c r="BJ6" s="51"/>
      <c r="BK6" s="52"/>
      <c r="BL6" s="51"/>
      <c r="BM6" s="52"/>
      <c r="BN6" s="51"/>
    </row>
    <row r="7" spans="1:66" ht="28.8">
      <c r="A7" s="81" t="s">
        <v>257</v>
      </c>
      <c r="B7" s="81" t="s">
        <v>259</v>
      </c>
      <c r="C7" s="53" t="s">
        <v>593</v>
      </c>
      <c r="D7" s="54">
        <v>5</v>
      </c>
      <c r="E7" s="53"/>
      <c r="F7" s="55">
        <v>50</v>
      </c>
      <c r="G7" s="53"/>
      <c r="H7" s="57"/>
      <c r="I7" s="56"/>
      <c r="J7" s="56"/>
      <c r="K7" s="36" t="s">
        <v>65</v>
      </c>
      <c r="L7" s="62">
        <v>7</v>
      </c>
      <c r="M7" s="62"/>
      <c r="N7" s="63"/>
      <c r="O7" s="83" t="s">
        <v>270</v>
      </c>
      <c r="P7" s="85">
        <v>44704.274618055555</v>
      </c>
      <c r="Q7" s="83" t="s">
        <v>273</v>
      </c>
      <c r="R7" s="87" t="str">
        <f>HYPERLINK("https://twitter.com/SavvyVanuatu/status/1528525324421541888")</f>
        <v>https://twitter.com/SavvyVanuatu/status/1528525324421541888</v>
      </c>
      <c r="S7" s="83" t="s">
        <v>277</v>
      </c>
      <c r="T7" s="89" t="s">
        <v>278</v>
      </c>
      <c r="U7" s="83"/>
      <c r="V7" s="87" t="str">
        <f>HYPERLINK("https://pbs.twimg.com/profile_images/1511983894358523907/qUCGGohF_normal.jpg")</f>
        <v>https://pbs.twimg.com/profile_images/1511983894358523907/qUCGGohF_normal.jpg</v>
      </c>
      <c r="W7" s="85">
        <v>44704.274618055555</v>
      </c>
      <c r="X7" s="91">
        <v>44704</v>
      </c>
      <c r="Y7" s="89" t="s">
        <v>280</v>
      </c>
      <c r="Z7" s="87" t="str">
        <f>HYPERLINK("https://twitter.com/savvyvanuatu/status/1528625639850266625")</f>
        <v>https://twitter.com/savvyvanuatu/status/1528625639850266625</v>
      </c>
      <c r="AA7" s="83"/>
      <c r="AB7" s="83"/>
      <c r="AC7" s="89" t="s">
        <v>288</v>
      </c>
      <c r="AD7" s="83"/>
      <c r="AE7" s="83" t="b">
        <v>0</v>
      </c>
      <c r="AF7" s="83">
        <v>0</v>
      </c>
      <c r="AG7" s="89" t="s">
        <v>299</v>
      </c>
      <c r="AH7" s="83" t="b">
        <v>1</v>
      </c>
      <c r="AI7" s="83" t="s">
        <v>303</v>
      </c>
      <c r="AJ7" s="83"/>
      <c r="AK7" s="89" t="s">
        <v>304</v>
      </c>
      <c r="AL7" s="83" t="b">
        <v>0</v>
      </c>
      <c r="AM7" s="83">
        <v>2</v>
      </c>
      <c r="AN7" s="89" t="s">
        <v>290</v>
      </c>
      <c r="AO7" s="89" t="s">
        <v>305</v>
      </c>
      <c r="AP7" s="83" t="b">
        <v>0</v>
      </c>
      <c r="AQ7" s="89" t="s">
        <v>290</v>
      </c>
      <c r="AR7" s="83" t="s">
        <v>219</v>
      </c>
      <c r="AS7" s="83">
        <v>0</v>
      </c>
      <c r="AT7" s="83">
        <v>0</v>
      </c>
      <c r="AU7" s="83"/>
      <c r="AV7" s="83"/>
      <c r="AW7" s="83"/>
      <c r="AX7" s="83"/>
      <c r="AY7" s="83"/>
      <c r="AZ7" s="83"/>
      <c r="BA7" s="83"/>
      <c r="BB7" s="83"/>
      <c r="BC7">
        <v>1</v>
      </c>
      <c r="BD7" s="82" t="str">
        <f>REPLACE(INDEX(GroupVertices[Group],MATCH(Edges[[#This Row],[Vertex 1]],GroupVertices[Vertex],0)),1,1,"")</f>
        <v>2</v>
      </c>
      <c r="BE7" s="82" t="str">
        <f>REPLACE(INDEX(GroupVertices[Group],MATCH(Edges[[#This Row],[Vertex 2]],GroupVertices[Vertex],0)),1,1,"")</f>
        <v>2</v>
      </c>
      <c r="BF7" s="51">
        <v>2</v>
      </c>
      <c r="BG7" s="52">
        <v>7.142857142857143</v>
      </c>
      <c r="BH7" s="51">
        <v>0</v>
      </c>
      <c r="BI7" s="52">
        <v>0</v>
      </c>
      <c r="BJ7" s="51">
        <v>0</v>
      </c>
      <c r="BK7" s="52">
        <v>0</v>
      </c>
      <c r="BL7" s="51">
        <v>26</v>
      </c>
      <c r="BM7" s="52">
        <v>92.85714285714286</v>
      </c>
      <c r="BN7" s="51">
        <v>28</v>
      </c>
    </row>
    <row r="8" spans="1:66" ht="28.8">
      <c r="A8" s="81" t="s">
        <v>258</v>
      </c>
      <c r="B8" s="81" t="s">
        <v>267</v>
      </c>
      <c r="C8" s="53" t="s">
        <v>593</v>
      </c>
      <c r="D8" s="54">
        <v>5</v>
      </c>
      <c r="E8" s="53"/>
      <c r="F8" s="55">
        <v>50</v>
      </c>
      <c r="G8" s="53"/>
      <c r="H8" s="57"/>
      <c r="I8" s="56"/>
      <c r="J8" s="56"/>
      <c r="K8" s="36" t="s">
        <v>65</v>
      </c>
      <c r="L8" s="62">
        <v>8</v>
      </c>
      <c r="M8" s="62"/>
      <c r="N8" s="63"/>
      <c r="O8" s="83" t="s">
        <v>269</v>
      </c>
      <c r="P8" s="85">
        <v>44704.662824074076</v>
      </c>
      <c r="Q8" s="83" t="s">
        <v>274</v>
      </c>
      <c r="R8" s="83"/>
      <c r="S8" s="83"/>
      <c r="T8" s="89" t="s">
        <v>279</v>
      </c>
      <c r="U8" s="87" t="str">
        <f>HYPERLINK("https://pbs.twimg.com/media/FTbBlmNacAEj0Qb.jpg")</f>
        <v>https://pbs.twimg.com/media/FTbBlmNacAEj0Qb.jpg</v>
      </c>
      <c r="V8" s="87" t="str">
        <f>HYPERLINK("https://pbs.twimg.com/media/FTbBlmNacAEj0Qb.jpg")</f>
        <v>https://pbs.twimg.com/media/FTbBlmNacAEj0Qb.jpg</v>
      </c>
      <c r="W8" s="85">
        <v>44704.662824074076</v>
      </c>
      <c r="X8" s="91">
        <v>44704</v>
      </c>
      <c r="Y8" s="89" t="s">
        <v>281</v>
      </c>
      <c r="Z8" s="87" t="str">
        <f>HYPERLINK("https://twitter.com/drmiryounis/status/1528766318656118785")</f>
        <v>https://twitter.com/drmiryounis/status/1528766318656118785</v>
      </c>
      <c r="AA8" s="83"/>
      <c r="AB8" s="83"/>
      <c r="AC8" s="89" t="s">
        <v>289</v>
      </c>
      <c r="AD8" s="83"/>
      <c r="AE8" s="83" t="b">
        <v>0</v>
      </c>
      <c r="AF8" s="83">
        <v>0</v>
      </c>
      <c r="AG8" s="89" t="s">
        <v>299</v>
      </c>
      <c r="AH8" s="83" t="b">
        <v>0</v>
      </c>
      <c r="AI8" s="83" t="s">
        <v>303</v>
      </c>
      <c r="AJ8" s="83"/>
      <c r="AK8" s="89" t="s">
        <v>299</v>
      </c>
      <c r="AL8" s="83" t="b">
        <v>0</v>
      </c>
      <c r="AM8" s="83">
        <v>2</v>
      </c>
      <c r="AN8" s="89" t="s">
        <v>292</v>
      </c>
      <c r="AO8" s="89" t="s">
        <v>306</v>
      </c>
      <c r="AP8" s="83" t="b">
        <v>0</v>
      </c>
      <c r="AQ8" s="89" t="s">
        <v>292</v>
      </c>
      <c r="AR8" s="83" t="s">
        <v>219</v>
      </c>
      <c r="AS8" s="83">
        <v>0</v>
      </c>
      <c r="AT8" s="83">
        <v>0</v>
      </c>
      <c r="AU8" s="83"/>
      <c r="AV8" s="83"/>
      <c r="AW8" s="83"/>
      <c r="AX8" s="83"/>
      <c r="AY8" s="83"/>
      <c r="AZ8" s="83"/>
      <c r="BA8" s="83"/>
      <c r="BB8" s="83"/>
      <c r="BC8">
        <v>1</v>
      </c>
      <c r="BD8" s="82" t="str">
        <f>REPLACE(INDEX(GroupVertices[Group],MATCH(Edges[[#This Row],[Vertex 1]],GroupVertices[Vertex],0)),1,1,"")</f>
        <v>1</v>
      </c>
      <c r="BE8" s="82" t="str">
        <f>REPLACE(INDEX(GroupVertices[Group],MATCH(Edges[[#This Row],[Vertex 2]],GroupVertices[Vertex],0)),1,1,"")</f>
        <v>1</v>
      </c>
      <c r="BF8" s="51"/>
      <c r="BG8" s="52"/>
      <c r="BH8" s="51"/>
      <c r="BI8" s="52"/>
      <c r="BJ8" s="51"/>
      <c r="BK8" s="52"/>
      <c r="BL8" s="51"/>
      <c r="BM8" s="52"/>
      <c r="BN8" s="51"/>
    </row>
    <row r="9" spans="1:66" ht="28.8">
      <c r="A9" s="81" t="s">
        <v>258</v>
      </c>
      <c r="B9" s="81" t="s">
        <v>261</v>
      </c>
      <c r="C9" s="53" t="s">
        <v>593</v>
      </c>
      <c r="D9" s="54">
        <v>5</v>
      </c>
      <c r="E9" s="53"/>
      <c r="F9" s="55">
        <v>50</v>
      </c>
      <c r="G9" s="53"/>
      <c r="H9" s="57"/>
      <c r="I9" s="56"/>
      <c r="J9" s="56"/>
      <c r="K9" s="36" t="s">
        <v>65</v>
      </c>
      <c r="L9" s="62">
        <v>9</v>
      </c>
      <c r="M9" s="62"/>
      <c r="N9" s="63"/>
      <c r="O9" s="83" t="s">
        <v>270</v>
      </c>
      <c r="P9" s="85">
        <v>44704.662824074076</v>
      </c>
      <c r="Q9" s="83" t="s">
        <v>274</v>
      </c>
      <c r="R9" s="83"/>
      <c r="S9" s="83"/>
      <c r="T9" s="89" t="s">
        <v>279</v>
      </c>
      <c r="U9" s="87" t="str">
        <f>HYPERLINK("https://pbs.twimg.com/media/FTbBlmNacAEj0Qb.jpg")</f>
        <v>https://pbs.twimg.com/media/FTbBlmNacAEj0Qb.jpg</v>
      </c>
      <c r="V9" s="87" t="str">
        <f>HYPERLINK("https://pbs.twimg.com/media/FTbBlmNacAEj0Qb.jpg")</f>
        <v>https://pbs.twimg.com/media/FTbBlmNacAEj0Qb.jpg</v>
      </c>
      <c r="W9" s="85">
        <v>44704.662824074076</v>
      </c>
      <c r="X9" s="91">
        <v>44704</v>
      </c>
      <c r="Y9" s="89" t="s">
        <v>281</v>
      </c>
      <c r="Z9" s="87" t="str">
        <f>HYPERLINK("https://twitter.com/drmiryounis/status/1528766318656118785")</f>
        <v>https://twitter.com/drmiryounis/status/1528766318656118785</v>
      </c>
      <c r="AA9" s="83"/>
      <c r="AB9" s="83"/>
      <c r="AC9" s="89" t="s">
        <v>289</v>
      </c>
      <c r="AD9" s="83"/>
      <c r="AE9" s="83" t="b">
        <v>0</v>
      </c>
      <c r="AF9" s="83">
        <v>0</v>
      </c>
      <c r="AG9" s="89" t="s">
        <v>299</v>
      </c>
      <c r="AH9" s="83" t="b">
        <v>0</v>
      </c>
      <c r="AI9" s="83" t="s">
        <v>303</v>
      </c>
      <c r="AJ9" s="83"/>
      <c r="AK9" s="89" t="s">
        <v>299</v>
      </c>
      <c r="AL9" s="83" t="b">
        <v>0</v>
      </c>
      <c r="AM9" s="83">
        <v>2</v>
      </c>
      <c r="AN9" s="89" t="s">
        <v>292</v>
      </c>
      <c r="AO9" s="89" t="s">
        <v>306</v>
      </c>
      <c r="AP9" s="83" t="b">
        <v>0</v>
      </c>
      <c r="AQ9" s="89" t="s">
        <v>292</v>
      </c>
      <c r="AR9" s="83" t="s">
        <v>219</v>
      </c>
      <c r="AS9" s="83">
        <v>0</v>
      </c>
      <c r="AT9" s="83">
        <v>0</v>
      </c>
      <c r="AU9" s="83"/>
      <c r="AV9" s="83"/>
      <c r="AW9" s="83"/>
      <c r="AX9" s="83"/>
      <c r="AY9" s="83"/>
      <c r="AZ9" s="83"/>
      <c r="BA9" s="83"/>
      <c r="BB9" s="83"/>
      <c r="BC9">
        <v>1</v>
      </c>
      <c r="BD9" s="82" t="str">
        <f>REPLACE(INDEX(GroupVertices[Group],MATCH(Edges[[#This Row],[Vertex 1]],GroupVertices[Vertex],0)),1,1,"")</f>
        <v>1</v>
      </c>
      <c r="BE9" s="82" t="str">
        <f>REPLACE(INDEX(GroupVertices[Group],MATCH(Edges[[#This Row],[Vertex 2]],GroupVertices[Vertex],0)),1,1,"")</f>
        <v>1</v>
      </c>
      <c r="BF9" s="51">
        <v>4</v>
      </c>
      <c r="BG9" s="52">
        <v>12.121212121212121</v>
      </c>
      <c r="BH9" s="51">
        <v>0</v>
      </c>
      <c r="BI9" s="52">
        <v>0</v>
      </c>
      <c r="BJ9" s="51">
        <v>0</v>
      </c>
      <c r="BK9" s="52">
        <v>0</v>
      </c>
      <c r="BL9" s="51">
        <v>29</v>
      </c>
      <c r="BM9" s="52">
        <v>87.87878787878788</v>
      </c>
      <c r="BN9" s="51">
        <v>33</v>
      </c>
    </row>
    <row r="10" spans="1:66" ht="28.8">
      <c r="A10" s="81" t="s">
        <v>259</v>
      </c>
      <c r="B10" s="81" t="s">
        <v>264</v>
      </c>
      <c r="C10" s="53" t="s">
        <v>593</v>
      </c>
      <c r="D10" s="54">
        <v>5</v>
      </c>
      <c r="E10" s="53"/>
      <c r="F10" s="55">
        <v>50</v>
      </c>
      <c r="G10" s="53"/>
      <c r="H10" s="57"/>
      <c r="I10" s="56"/>
      <c r="J10" s="56"/>
      <c r="K10" s="36" t="s">
        <v>65</v>
      </c>
      <c r="L10" s="62">
        <v>10</v>
      </c>
      <c r="M10" s="62"/>
      <c r="N10" s="63"/>
      <c r="O10" s="83" t="s">
        <v>271</v>
      </c>
      <c r="P10" s="85">
        <v>44704.214155092595</v>
      </c>
      <c r="Q10" s="83" t="s">
        <v>273</v>
      </c>
      <c r="R10" s="87" t="str">
        <f>HYPERLINK("https://twitter.com/SavvyVanuatu/status/1528525324421541888")</f>
        <v>https://twitter.com/SavvyVanuatu/status/1528525324421541888</v>
      </c>
      <c r="S10" s="83" t="s">
        <v>277</v>
      </c>
      <c r="T10" s="89" t="s">
        <v>278</v>
      </c>
      <c r="U10" s="83"/>
      <c r="V10" s="87" t="str">
        <f>HYPERLINK("https://pbs.twimg.com/profile_images/1297989560971014145/NrsqUm9u_normal.jpg")</f>
        <v>https://pbs.twimg.com/profile_images/1297989560971014145/NrsqUm9u_normal.jpg</v>
      </c>
      <c r="W10" s="85">
        <v>44704.214155092595</v>
      </c>
      <c r="X10" s="91">
        <v>44704</v>
      </c>
      <c r="Y10" s="89" t="s">
        <v>282</v>
      </c>
      <c r="Z10" s="87" t="str">
        <f>HYPERLINK("https://twitter.com/valespinedi/status/1528603726130208769")</f>
        <v>https://twitter.com/valespinedi/status/1528603726130208769</v>
      </c>
      <c r="AA10" s="83"/>
      <c r="AB10" s="83"/>
      <c r="AC10" s="89" t="s">
        <v>290</v>
      </c>
      <c r="AD10" s="83"/>
      <c r="AE10" s="83" t="b">
        <v>0</v>
      </c>
      <c r="AF10" s="83">
        <v>3</v>
      </c>
      <c r="AG10" s="89" t="s">
        <v>299</v>
      </c>
      <c r="AH10" s="83" t="b">
        <v>1</v>
      </c>
      <c r="AI10" s="83" t="s">
        <v>303</v>
      </c>
      <c r="AJ10" s="83"/>
      <c r="AK10" s="89" t="s">
        <v>304</v>
      </c>
      <c r="AL10" s="83" t="b">
        <v>0</v>
      </c>
      <c r="AM10" s="83">
        <v>2</v>
      </c>
      <c r="AN10" s="89" t="s">
        <v>299</v>
      </c>
      <c r="AO10" s="89" t="s">
        <v>307</v>
      </c>
      <c r="AP10" s="83" t="b">
        <v>0</v>
      </c>
      <c r="AQ10" s="89" t="s">
        <v>290</v>
      </c>
      <c r="AR10" s="83" t="s">
        <v>219</v>
      </c>
      <c r="AS10" s="83">
        <v>0</v>
      </c>
      <c r="AT10" s="83">
        <v>0</v>
      </c>
      <c r="AU10" s="83"/>
      <c r="AV10" s="83"/>
      <c r="AW10" s="83"/>
      <c r="AX10" s="83"/>
      <c r="AY10" s="83"/>
      <c r="AZ10" s="83"/>
      <c r="BA10" s="83"/>
      <c r="BB10" s="83"/>
      <c r="BC10">
        <v>1</v>
      </c>
      <c r="BD10" s="82" t="str">
        <f>REPLACE(INDEX(GroupVertices[Group],MATCH(Edges[[#This Row],[Vertex 1]],GroupVertices[Vertex],0)),1,1,"")</f>
        <v>2</v>
      </c>
      <c r="BE10" s="82" t="str">
        <f>REPLACE(INDEX(GroupVertices[Group],MATCH(Edges[[#This Row],[Vertex 2]],GroupVertices[Vertex],0)),1,1,"")</f>
        <v>2</v>
      </c>
      <c r="BF10" s="51"/>
      <c r="BG10" s="52"/>
      <c r="BH10" s="51"/>
      <c r="BI10" s="52"/>
      <c r="BJ10" s="51"/>
      <c r="BK10" s="52"/>
      <c r="BL10" s="51"/>
      <c r="BM10" s="52"/>
      <c r="BN10" s="51"/>
    </row>
    <row r="11" spans="1:66" ht="28.8">
      <c r="A11" s="81" t="s">
        <v>260</v>
      </c>
      <c r="B11" s="81" t="s">
        <v>264</v>
      </c>
      <c r="C11" s="53" t="s">
        <v>593</v>
      </c>
      <c r="D11" s="54">
        <v>5</v>
      </c>
      <c r="E11" s="53"/>
      <c r="F11" s="55">
        <v>50</v>
      </c>
      <c r="G11" s="53"/>
      <c r="H11" s="57"/>
      <c r="I11" s="56"/>
      <c r="J11" s="56"/>
      <c r="K11" s="36" t="s">
        <v>65</v>
      </c>
      <c r="L11" s="62">
        <v>11</v>
      </c>
      <c r="M11" s="62"/>
      <c r="N11" s="63"/>
      <c r="O11" s="83" t="s">
        <v>269</v>
      </c>
      <c r="P11" s="85">
        <v>44704.92990740741</v>
      </c>
      <c r="Q11" s="83" t="s">
        <v>273</v>
      </c>
      <c r="R11" s="87" t="str">
        <f>HYPERLINK("https://twitter.com/SavvyVanuatu/status/1528525324421541888")</f>
        <v>https://twitter.com/SavvyVanuatu/status/1528525324421541888</v>
      </c>
      <c r="S11" s="83" t="s">
        <v>277</v>
      </c>
      <c r="T11" s="89" t="s">
        <v>278</v>
      </c>
      <c r="U11" s="83"/>
      <c r="V11" s="87" t="str">
        <f>HYPERLINK("https://pbs.twimg.com/profile_images/1440837918835163137/ccHKl4E4_normal.jpg")</f>
        <v>https://pbs.twimg.com/profile_images/1440837918835163137/ccHKl4E4_normal.jpg</v>
      </c>
      <c r="W11" s="85">
        <v>44704.92990740741</v>
      </c>
      <c r="X11" s="91">
        <v>44704</v>
      </c>
      <c r="Y11" s="89" t="s">
        <v>283</v>
      </c>
      <c r="Z11" s="87" t="str">
        <f>HYPERLINK("https://twitter.com/floridatlango/status/1528863106243657728")</f>
        <v>https://twitter.com/floridatlango/status/1528863106243657728</v>
      </c>
      <c r="AA11" s="83"/>
      <c r="AB11" s="83"/>
      <c r="AC11" s="89" t="s">
        <v>291</v>
      </c>
      <c r="AD11" s="83"/>
      <c r="AE11" s="83" t="b">
        <v>0</v>
      </c>
      <c r="AF11" s="83">
        <v>0</v>
      </c>
      <c r="AG11" s="89" t="s">
        <v>299</v>
      </c>
      <c r="AH11" s="83" t="b">
        <v>1</v>
      </c>
      <c r="AI11" s="83" t="s">
        <v>303</v>
      </c>
      <c r="AJ11" s="83"/>
      <c r="AK11" s="89" t="s">
        <v>304</v>
      </c>
      <c r="AL11" s="83" t="b">
        <v>0</v>
      </c>
      <c r="AM11" s="83">
        <v>2</v>
      </c>
      <c r="AN11" s="89" t="s">
        <v>290</v>
      </c>
      <c r="AO11" s="89" t="s">
        <v>306</v>
      </c>
      <c r="AP11" s="83" t="b">
        <v>0</v>
      </c>
      <c r="AQ11" s="89" t="s">
        <v>290</v>
      </c>
      <c r="AR11" s="83" t="s">
        <v>219</v>
      </c>
      <c r="AS11" s="83">
        <v>0</v>
      </c>
      <c r="AT11" s="83">
        <v>0</v>
      </c>
      <c r="AU11" s="83"/>
      <c r="AV11" s="83"/>
      <c r="AW11" s="83"/>
      <c r="AX11" s="83"/>
      <c r="AY11" s="83"/>
      <c r="AZ11" s="83"/>
      <c r="BA11" s="83"/>
      <c r="BB11" s="83"/>
      <c r="BC11">
        <v>1</v>
      </c>
      <c r="BD11" s="82" t="str">
        <f>REPLACE(INDEX(GroupVertices[Group],MATCH(Edges[[#This Row],[Vertex 1]],GroupVertices[Vertex],0)),1,1,"")</f>
        <v>2</v>
      </c>
      <c r="BE11" s="82" t="str">
        <f>REPLACE(INDEX(GroupVertices[Group],MATCH(Edges[[#This Row],[Vertex 2]],GroupVertices[Vertex],0)),1,1,"")</f>
        <v>2</v>
      </c>
      <c r="BF11" s="51"/>
      <c r="BG11" s="52"/>
      <c r="BH11" s="51"/>
      <c r="BI11" s="52"/>
      <c r="BJ11" s="51"/>
      <c r="BK11" s="52"/>
      <c r="BL11" s="51"/>
      <c r="BM11" s="52"/>
      <c r="BN11" s="51"/>
    </row>
    <row r="12" spans="1:66" ht="28.8">
      <c r="A12" s="81" t="s">
        <v>259</v>
      </c>
      <c r="B12" s="81" t="s">
        <v>265</v>
      </c>
      <c r="C12" s="53" t="s">
        <v>593</v>
      </c>
      <c r="D12" s="54">
        <v>5</v>
      </c>
      <c r="E12" s="53"/>
      <c r="F12" s="55">
        <v>50</v>
      </c>
      <c r="G12" s="53"/>
      <c r="H12" s="57"/>
      <c r="I12" s="56"/>
      <c r="J12" s="56"/>
      <c r="K12" s="36" t="s">
        <v>65</v>
      </c>
      <c r="L12" s="62">
        <v>12</v>
      </c>
      <c r="M12" s="62"/>
      <c r="N12" s="63"/>
      <c r="O12" s="83" t="s">
        <v>271</v>
      </c>
      <c r="P12" s="85">
        <v>44704.214155092595</v>
      </c>
      <c r="Q12" s="83" t="s">
        <v>273</v>
      </c>
      <c r="R12" s="87" t="str">
        <f>HYPERLINK("https://twitter.com/SavvyVanuatu/status/1528525324421541888")</f>
        <v>https://twitter.com/SavvyVanuatu/status/1528525324421541888</v>
      </c>
      <c r="S12" s="83" t="s">
        <v>277</v>
      </c>
      <c r="T12" s="89" t="s">
        <v>278</v>
      </c>
      <c r="U12" s="83"/>
      <c r="V12" s="87" t="str">
        <f>HYPERLINK("https://pbs.twimg.com/profile_images/1297989560971014145/NrsqUm9u_normal.jpg")</f>
        <v>https://pbs.twimg.com/profile_images/1297989560971014145/NrsqUm9u_normal.jpg</v>
      </c>
      <c r="W12" s="85">
        <v>44704.214155092595</v>
      </c>
      <c r="X12" s="91">
        <v>44704</v>
      </c>
      <c r="Y12" s="89" t="s">
        <v>282</v>
      </c>
      <c r="Z12" s="87" t="str">
        <f>HYPERLINK("https://twitter.com/valespinedi/status/1528603726130208769")</f>
        <v>https://twitter.com/valespinedi/status/1528603726130208769</v>
      </c>
      <c r="AA12" s="83"/>
      <c r="AB12" s="83"/>
      <c r="AC12" s="89" t="s">
        <v>290</v>
      </c>
      <c r="AD12" s="83"/>
      <c r="AE12" s="83" t="b">
        <v>0</v>
      </c>
      <c r="AF12" s="83">
        <v>3</v>
      </c>
      <c r="AG12" s="89" t="s">
        <v>299</v>
      </c>
      <c r="AH12" s="83" t="b">
        <v>1</v>
      </c>
      <c r="AI12" s="83" t="s">
        <v>303</v>
      </c>
      <c r="AJ12" s="83"/>
      <c r="AK12" s="89" t="s">
        <v>304</v>
      </c>
      <c r="AL12" s="83" t="b">
        <v>0</v>
      </c>
      <c r="AM12" s="83">
        <v>2</v>
      </c>
      <c r="AN12" s="89" t="s">
        <v>299</v>
      </c>
      <c r="AO12" s="89" t="s">
        <v>307</v>
      </c>
      <c r="AP12" s="83" t="b">
        <v>0</v>
      </c>
      <c r="AQ12" s="89" t="s">
        <v>290</v>
      </c>
      <c r="AR12" s="83" t="s">
        <v>219</v>
      </c>
      <c r="AS12" s="83">
        <v>0</v>
      </c>
      <c r="AT12" s="83">
        <v>0</v>
      </c>
      <c r="AU12" s="83"/>
      <c r="AV12" s="83"/>
      <c r="AW12" s="83"/>
      <c r="AX12" s="83"/>
      <c r="AY12" s="83"/>
      <c r="AZ12" s="83"/>
      <c r="BA12" s="83"/>
      <c r="BB12" s="83"/>
      <c r="BC12">
        <v>1</v>
      </c>
      <c r="BD12" s="82" t="str">
        <f>REPLACE(INDEX(GroupVertices[Group],MATCH(Edges[[#This Row],[Vertex 1]],GroupVertices[Vertex],0)),1,1,"")</f>
        <v>2</v>
      </c>
      <c r="BE12" s="82" t="str">
        <f>REPLACE(INDEX(GroupVertices[Group],MATCH(Edges[[#This Row],[Vertex 2]],GroupVertices[Vertex],0)),1,1,"")</f>
        <v>2</v>
      </c>
      <c r="BF12" s="51"/>
      <c r="BG12" s="52"/>
      <c r="BH12" s="51"/>
      <c r="BI12" s="52"/>
      <c r="BJ12" s="51"/>
      <c r="BK12" s="52"/>
      <c r="BL12" s="51"/>
      <c r="BM12" s="52"/>
      <c r="BN12" s="51"/>
    </row>
    <row r="13" spans="1:66" ht="28.8">
      <c r="A13" s="81" t="s">
        <v>260</v>
      </c>
      <c r="B13" s="81" t="s">
        <v>265</v>
      </c>
      <c r="C13" s="53" t="s">
        <v>593</v>
      </c>
      <c r="D13" s="54">
        <v>5</v>
      </c>
      <c r="E13" s="53"/>
      <c r="F13" s="55">
        <v>50</v>
      </c>
      <c r="G13" s="53"/>
      <c r="H13" s="57"/>
      <c r="I13" s="56"/>
      <c r="J13" s="56"/>
      <c r="K13" s="36" t="s">
        <v>65</v>
      </c>
      <c r="L13" s="62">
        <v>13</v>
      </c>
      <c r="M13" s="62"/>
      <c r="N13" s="63"/>
      <c r="O13" s="83" t="s">
        <v>269</v>
      </c>
      <c r="P13" s="85">
        <v>44704.92990740741</v>
      </c>
      <c r="Q13" s="83" t="s">
        <v>273</v>
      </c>
      <c r="R13" s="87" t="str">
        <f>HYPERLINK("https://twitter.com/SavvyVanuatu/status/1528525324421541888")</f>
        <v>https://twitter.com/SavvyVanuatu/status/1528525324421541888</v>
      </c>
      <c r="S13" s="83" t="s">
        <v>277</v>
      </c>
      <c r="T13" s="89" t="s">
        <v>278</v>
      </c>
      <c r="U13" s="83"/>
      <c r="V13" s="87" t="str">
        <f>HYPERLINK("https://pbs.twimg.com/profile_images/1440837918835163137/ccHKl4E4_normal.jpg")</f>
        <v>https://pbs.twimg.com/profile_images/1440837918835163137/ccHKl4E4_normal.jpg</v>
      </c>
      <c r="W13" s="85">
        <v>44704.92990740741</v>
      </c>
      <c r="X13" s="91">
        <v>44704</v>
      </c>
      <c r="Y13" s="89" t="s">
        <v>283</v>
      </c>
      <c r="Z13" s="87" t="str">
        <f>HYPERLINK("https://twitter.com/floridatlango/status/1528863106243657728")</f>
        <v>https://twitter.com/floridatlango/status/1528863106243657728</v>
      </c>
      <c r="AA13" s="83"/>
      <c r="AB13" s="83"/>
      <c r="AC13" s="89" t="s">
        <v>291</v>
      </c>
      <c r="AD13" s="83"/>
      <c r="AE13" s="83" t="b">
        <v>0</v>
      </c>
      <c r="AF13" s="83">
        <v>0</v>
      </c>
      <c r="AG13" s="89" t="s">
        <v>299</v>
      </c>
      <c r="AH13" s="83" t="b">
        <v>1</v>
      </c>
      <c r="AI13" s="83" t="s">
        <v>303</v>
      </c>
      <c r="AJ13" s="83"/>
      <c r="AK13" s="89" t="s">
        <v>304</v>
      </c>
      <c r="AL13" s="83" t="b">
        <v>0</v>
      </c>
      <c r="AM13" s="83">
        <v>2</v>
      </c>
      <c r="AN13" s="89" t="s">
        <v>290</v>
      </c>
      <c r="AO13" s="89" t="s">
        <v>306</v>
      </c>
      <c r="AP13" s="83" t="b">
        <v>0</v>
      </c>
      <c r="AQ13" s="89" t="s">
        <v>290</v>
      </c>
      <c r="AR13" s="83" t="s">
        <v>219</v>
      </c>
      <c r="AS13" s="83">
        <v>0</v>
      </c>
      <c r="AT13" s="83">
        <v>0</v>
      </c>
      <c r="AU13" s="83"/>
      <c r="AV13" s="83"/>
      <c r="AW13" s="83"/>
      <c r="AX13" s="83"/>
      <c r="AY13" s="83"/>
      <c r="AZ13" s="83"/>
      <c r="BA13" s="83"/>
      <c r="BB13" s="83"/>
      <c r="BC13">
        <v>1</v>
      </c>
      <c r="BD13" s="82" t="str">
        <f>REPLACE(INDEX(GroupVertices[Group],MATCH(Edges[[#This Row],[Vertex 1]],GroupVertices[Vertex],0)),1,1,"")</f>
        <v>2</v>
      </c>
      <c r="BE13" s="82" t="str">
        <f>REPLACE(INDEX(GroupVertices[Group],MATCH(Edges[[#This Row],[Vertex 2]],GroupVertices[Vertex],0)),1,1,"")</f>
        <v>2</v>
      </c>
      <c r="BF13" s="51"/>
      <c r="BG13" s="52"/>
      <c r="BH13" s="51"/>
      <c r="BI13" s="52"/>
      <c r="BJ13" s="51"/>
      <c r="BK13" s="52"/>
      <c r="BL13" s="51"/>
      <c r="BM13" s="52"/>
      <c r="BN13" s="51"/>
    </row>
    <row r="14" spans="1:66" ht="28.8">
      <c r="A14" s="81" t="s">
        <v>259</v>
      </c>
      <c r="B14" s="81" t="s">
        <v>266</v>
      </c>
      <c r="C14" s="53" t="s">
        <v>593</v>
      </c>
      <c r="D14" s="54">
        <v>5</v>
      </c>
      <c r="E14" s="53"/>
      <c r="F14" s="55">
        <v>50</v>
      </c>
      <c r="G14" s="53"/>
      <c r="H14" s="57"/>
      <c r="I14" s="56"/>
      <c r="J14" s="56"/>
      <c r="K14" s="36" t="s">
        <v>65</v>
      </c>
      <c r="L14" s="62">
        <v>14</v>
      </c>
      <c r="M14" s="62"/>
      <c r="N14" s="63"/>
      <c r="O14" s="83" t="s">
        <v>271</v>
      </c>
      <c r="P14" s="85">
        <v>44704.214155092595</v>
      </c>
      <c r="Q14" s="83" t="s">
        <v>273</v>
      </c>
      <c r="R14" s="87" t="str">
        <f>HYPERLINK("https://twitter.com/SavvyVanuatu/status/1528525324421541888")</f>
        <v>https://twitter.com/SavvyVanuatu/status/1528525324421541888</v>
      </c>
      <c r="S14" s="83" t="s">
        <v>277</v>
      </c>
      <c r="T14" s="89" t="s">
        <v>278</v>
      </c>
      <c r="U14" s="83"/>
      <c r="V14" s="87" t="str">
        <f>HYPERLINK("https://pbs.twimg.com/profile_images/1297989560971014145/NrsqUm9u_normal.jpg")</f>
        <v>https://pbs.twimg.com/profile_images/1297989560971014145/NrsqUm9u_normal.jpg</v>
      </c>
      <c r="W14" s="85">
        <v>44704.214155092595</v>
      </c>
      <c r="X14" s="91">
        <v>44704</v>
      </c>
      <c r="Y14" s="89" t="s">
        <v>282</v>
      </c>
      <c r="Z14" s="87" t="str">
        <f>HYPERLINK("https://twitter.com/valespinedi/status/1528603726130208769")</f>
        <v>https://twitter.com/valespinedi/status/1528603726130208769</v>
      </c>
      <c r="AA14" s="83"/>
      <c r="AB14" s="83"/>
      <c r="AC14" s="89" t="s">
        <v>290</v>
      </c>
      <c r="AD14" s="83"/>
      <c r="AE14" s="83" t="b">
        <v>0</v>
      </c>
      <c r="AF14" s="83">
        <v>3</v>
      </c>
      <c r="AG14" s="89" t="s">
        <v>299</v>
      </c>
      <c r="AH14" s="83" t="b">
        <v>1</v>
      </c>
      <c r="AI14" s="83" t="s">
        <v>303</v>
      </c>
      <c r="AJ14" s="83"/>
      <c r="AK14" s="89" t="s">
        <v>304</v>
      </c>
      <c r="AL14" s="83" t="b">
        <v>0</v>
      </c>
      <c r="AM14" s="83">
        <v>2</v>
      </c>
      <c r="AN14" s="89" t="s">
        <v>299</v>
      </c>
      <c r="AO14" s="89" t="s">
        <v>307</v>
      </c>
      <c r="AP14" s="83" t="b">
        <v>0</v>
      </c>
      <c r="AQ14" s="89" t="s">
        <v>290</v>
      </c>
      <c r="AR14" s="83" t="s">
        <v>219</v>
      </c>
      <c r="AS14" s="83">
        <v>0</v>
      </c>
      <c r="AT14" s="83">
        <v>0</v>
      </c>
      <c r="AU14" s="83"/>
      <c r="AV14" s="83"/>
      <c r="AW14" s="83"/>
      <c r="AX14" s="83"/>
      <c r="AY14" s="83"/>
      <c r="AZ14" s="83"/>
      <c r="BA14" s="83"/>
      <c r="BB14" s="83"/>
      <c r="BC14">
        <v>1</v>
      </c>
      <c r="BD14" s="82" t="str">
        <f>REPLACE(INDEX(GroupVertices[Group],MATCH(Edges[[#This Row],[Vertex 1]],GroupVertices[Vertex],0)),1,1,"")</f>
        <v>2</v>
      </c>
      <c r="BE14" s="82" t="str">
        <f>REPLACE(INDEX(GroupVertices[Group],MATCH(Edges[[#This Row],[Vertex 2]],GroupVertices[Vertex],0)),1,1,"")</f>
        <v>2</v>
      </c>
      <c r="BF14" s="51"/>
      <c r="BG14" s="52"/>
      <c r="BH14" s="51"/>
      <c r="BI14" s="52"/>
      <c r="BJ14" s="51"/>
      <c r="BK14" s="52"/>
      <c r="BL14" s="51"/>
      <c r="BM14" s="52"/>
      <c r="BN14" s="51"/>
    </row>
    <row r="15" spans="1:66" ht="28.8">
      <c r="A15" s="81" t="s">
        <v>260</v>
      </c>
      <c r="B15" s="81" t="s">
        <v>266</v>
      </c>
      <c r="C15" s="53" t="s">
        <v>593</v>
      </c>
      <c r="D15" s="54">
        <v>5</v>
      </c>
      <c r="E15" s="53"/>
      <c r="F15" s="55">
        <v>50</v>
      </c>
      <c r="G15" s="53"/>
      <c r="H15" s="57"/>
      <c r="I15" s="56"/>
      <c r="J15" s="56"/>
      <c r="K15" s="36" t="s">
        <v>65</v>
      </c>
      <c r="L15" s="62">
        <v>15</v>
      </c>
      <c r="M15" s="62"/>
      <c r="N15" s="63"/>
      <c r="O15" s="83" t="s">
        <v>269</v>
      </c>
      <c r="P15" s="85">
        <v>44704.92990740741</v>
      </c>
      <c r="Q15" s="83" t="s">
        <v>273</v>
      </c>
      <c r="R15" s="87" t="str">
        <f>HYPERLINK("https://twitter.com/SavvyVanuatu/status/1528525324421541888")</f>
        <v>https://twitter.com/SavvyVanuatu/status/1528525324421541888</v>
      </c>
      <c r="S15" s="83" t="s">
        <v>277</v>
      </c>
      <c r="T15" s="89" t="s">
        <v>278</v>
      </c>
      <c r="U15" s="83"/>
      <c r="V15" s="87" t="str">
        <f>HYPERLINK("https://pbs.twimg.com/profile_images/1440837918835163137/ccHKl4E4_normal.jpg")</f>
        <v>https://pbs.twimg.com/profile_images/1440837918835163137/ccHKl4E4_normal.jpg</v>
      </c>
      <c r="W15" s="85">
        <v>44704.92990740741</v>
      </c>
      <c r="X15" s="91">
        <v>44704</v>
      </c>
      <c r="Y15" s="89" t="s">
        <v>283</v>
      </c>
      <c r="Z15" s="87" t="str">
        <f>HYPERLINK("https://twitter.com/floridatlango/status/1528863106243657728")</f>
        <v>https://twitter.com/floridatlango/status/1528863106243657728</v>
      </c>
      <c r="AA15" s="83"/>
      <c r="AB15" s="83"/>
      <c r="AC15" s="89" t="s">
        <v>291</v>
      </c>
      <c r="AD15" s="83"/>
      <c r="AE15" s="83" t="b">
        <v>0</v>
      </c>
      <c r="AF15" s="83">
        <v>0</v>
      </c>
      <c r="AG15" s="89" t="s">
        <v>299</v>
      </c>
      <c r="AH15" s="83" t="b">
        <v>1</v>
      </c>
      <c r="AI15" s="83" t="s">
        <v>303</v>
      </c>
      <c r="AJ15" s="83"/>
      <c r="AK15" s="89" t="s">
        <v>304</v>
      </c>
      <c r="AL15" s="83" t="b">
        <v>0</v>
      </c>
      <c r="AM15" s="83">
        <v>2</v>
      </c>
      <c r="AN15" s="89" t="s">
        <v>290</v>
      </c>
      <c r="AO15" s="89" t="s">
        <v>306</v>
      </c>
      <c r="AP15" s="83" t="b">
        <v>0</v>
      </c>
      <c r="AQ15" s="89" t="s">
        <v>290</v>
      </c>
      <c r="AR15" s="83" t="s">
        <v>219</v>
      </c>
      <c r="AS15" s="83">
        <v>0</v>
      </c>
      <c r="AT15" s="83">
        <v>0</v>
      </c>
      <c r="AU15" s="83"/>
      <c r="AV15" s="83"/>
      <c r="AW15" s="83"/>
      <c r="AX15" s="83"/>
      <c r="AY15" s="83"/>
      <c r="AZ15" s="83"/>
      <c r="BA15" s="83"/>
      <c r="BB15" s="83"/>
      <c r="BC15">
        <v>1</v>
      </c>
      <c r="BD15" s="82" t="str">
        <f>REPLACE(INDEX(GroupVertices[Group],MATCH(Edges[[#This Row],[Vertex 1]],GroupVertices[Vertex],0)),1,1,"")</f>
        <v>2</v>
      </c>
      <c r="BE15" s="82" t="str">
        <f>REPLACE(INDEX(GroupVertices[Group],MATCH(Edges[[#This Row],[Vertex 2]],GroupVertices[Vertex],0)),1,1,"")</f>
        <v>2</v>
      </c>
      <c r="BF15" s="51"/>
      <c r="BG15" s="52"/>
      <c r="BH15" s="51"/>
      <c r="BI15" s="52"/>
      <c r="BJ15" s="51"/>
      <c r="BK15" s="52"/>
      <c r="BL15" s="51"/>
      <c r="BM15" s="52"/>
      <c r="BN15" s="51"/>
    </row>
    <row r="16" spans="1:66" ht="28.8">
      <c r="A16" s="81" t="s">
        <v>259</v>
      </c>
      <c r="B16" s="81" t="s">
        <v>267</v>
      </c>
      <c r="C16" s="53" t="s">
        <v>593</v>
      </c>
      <c r="D16" s="54">
        <v>5</v>
      </c>
      <c r="E16" s="53"/>
      <c r="F16" s="55">
        <v>50</v>
      </c>
      <c r="G16" s="53"/>
      <c r="H16" s="57"/>
      <c r="I16" s="56"/>
      <c r="J16" s="56"/>
      <c r="K16" s="36" t="s">
        <v>65</v>
      </c>
      <c r="L16" s="62">
        <v>16</v>
      </c>
      <c r="M16" s="62"/>
      <c r="N16" s="63"/>
      <c r="O16" s="83" t="s">
        <v>271</v>
      </c>
      <c r="P16" s="85">
        <v>44704.214155092595</v>
      </c>
      <c r="Q16" s="83" t="s">
        <v>273</v>
      </c>
      <c r="R16" s="87" t="str">
        <f>HYPERLINK("https://twitter.com/SavvyVanuatu/status/1528525324421541888")</f>
        <v>https://twitter.com/SavvyVanuatu/status/1528525324421541888</v>
      </c>
      <c r="S16" s="83" t="s">
        <v>277</v>
      </c>
      <c r="T16" s="89" t="s">
        <v>278</v>
      </c>
      <c r="U16" s="83"/>
      <c r="V16" s="87" t="str">
        <f>HYPERLINK("https://pbs.twimg.com/profile_images/1297989560971014145/NrsqUm9u_normal.jpg")</f>
        <v>https://pbs.twimg.com/profile_images/1297989560971014145/NrsqUm9u_normal.jpg</v>
      </c>
      <c r="W16" s="85">
        <v>44704.214155092595</v>
      </c>
      <c r="X16" s="91">
        <v>44704</v>
      </c>
      <c r="Y16" s="89" t="s">
        <v>282</v>
      </c>
      <c r="Z16" s="87" t="str">
        <f>HYPERLINK("https://twitter.com/valespinedi/status/1528603726130208769")</f>
        <v>https://twitter.com/valespinedi/status/1528603726130208769</v>
      </c>
      <c r="AA16" s="83"/>
      <c r="AB16" s="83"/>
      <c r="AC16" s="89" t="s">
        <v>290</v>
      </c>
      <c r="AD16" s="83"/>
      <c r="AE16" s="83" t="b">
        <v>0</v>
      </c>
      <c r="AF16" s="83">
        <v>3</v>
      </c>
      <c r="AG16" s="89" t="s">
        <v>299</v>
      </c>
      <c r="AH16" s="83" t="b">
        <v>1</v>
      </c>
      <c r="AI16" s="83" t="s">
        <v>303</v>
      </c>
      <c r="AJ16" s="83"/>
      <c r="AK16" s="89" t="s">
        <v>304</v>
      </c>
      <c r="AL16" s="83" t="b">
        <v>0</v>
      </c>
      <c r="AM16" s="83">
        <v>2</v>
      </c>
      <c r="AN16" s="89" t="s">
        <v>299</v>
      </c>
      <c r="AO16" s="89" t="s">
        <v>307</v>
      </c>
      <c r="AP16" s="83" t="b">
        <v>0</v>
      </c>
      <c r="AQ16" s="89" t="s">
        <v>290</v>
      </c>
      <c r="AR16" s="83" t="s">
        <v>219</v>
      </c>
      <c r="AS16" s="83">
        <v>0</v>
      </c>
      <c r="AT16" s="83">
        <v>0</v>
      </c>
      <c r="AU16" s="83"/>
      <c r="AV16" s="83"/>
      <c r="AW16" s="83"/>
      <c r="AX16" s="83"/>
      <c r="AY16" s="83"/>
      <c r="AZ16" s="83"/>
      <c r="BA16" s="83"/>
      <c r="BB16" s="83"/>
      <c r="BC16">
        <v>1</v>
      </c>
      <c r="BD16" s="82" t="str">
        <f>REPLACE(INDEX(GroupVertices[Group],MATCH(Edges[[#This Row],[Vertex 1]],GroupVertices[Vertex],0)),1,1,"")</f>
        <v>2</v>
      </c>
      <c r="BE16" s="82" t="str">
        <f>REPLACE(INDEX(GroupVertices[Group],MATCH(Edges[[#This Row],[Vertex 2]],GroupVertices[Vertex],0)),1,1,"")</f>
        <v>1</v>
      </c>
      <c r="BF16" s="51">
        <v>2</v>
      </c>
      <c r="BG16" s="52">
        <v>7.142857142857143</v>
      </c>
      <c r="BH16" s="51">
        <v>0</v>
      </c>
      <c r="BI16" s="52">
        <v>0</v>
      </c>
      <c r="BJ16" s="51">
        <v>0</v>
      </c>
      <c r="BK16" s="52">
        <v>0</v>
      </c>
      <c r="BL16" s="51">
        <v>26</v>
      </c>
      <c r="BM16" s="52">
        <v>92.85714285714286</v>
      </c>
      <c r="BN16" s="51">
        <v>28</v>
      </c>
    </row>
    <row r="17" spans="1:66" ht="28.8">
      <c r="A17" s="81" t="s">
        <v>260</v>
      </c>
      <c r="B17" s="81" t="s">
        <v>259</v>
      </c>
      <c r="C17" s="53" t="s">
        <v>593</v>
      </c>
      <c r="D17" s="54">
        <v>5</v>
      </c>
      <c r="E17" s="53"/>
      <c r="F17" s="55">
        <v>50</v>
      </c>
      <c r="G17" s="53"/>
      <c r="H17" s="57"/>
      <c r="I17" s="56"/>
      <c r="J17" s="56"/>
      <c r="K17" s="36" t="s">
        <v>65</v>
      </c>
      <c r="L17" s="62">
        <v>17</v>
      </c>
      <c r="M17" s="62"/>
      <c r="N17" s="63"/>
      <c r="O17" s="83" t="s">
        <v>270</v>
      </c>
      <c r="P17" s="85">
        <v>44704.92990740741</v>
      </c>
      <c r="Q17" s="83" t="s">
        <v>273</v>
      </c>
      <c r="R17" s="87" t="str">
        <f>HYPERLINK("https://twitter.com/SavvyVanuatu/status/1528525324421541888")</f>
        <v>https://twitter.com/SavvyVanuatu/status/1528525324421541888</v>
      </c>
      <c r="S17" s="83" t="s">
        <v>277</v>
      </c>
      <c r="T17" s="89" t="s">
        <v>278</v>
      </c>
      <c r="U17" s="83"/>
      <c r="V17" s="87" t="str">
        <f>HYPERLINK("https://pbs.twimg.com/profile_images/1440837918835163137/ccHKl4E4_normal.jpg")</f>
        <v>https://pbs.twimg.com/profile_images/1440837918835163137/ccHKl4E4_normal.jpg</v>
      </c>
      <c r="W17" s="85">
        <v>44704.92990740741</v>
      </c>
      <c r="X17" s="91">
        <v>44704</v>
      </c>
      <c r="Y17" s="89" t="s">
        <v>283</v>
      </c>
      <c r="Z17" s="87" t="str">
        <f>HYPERLINK("https://twitter.com/floridatlango/status/1528863106243657728")</f>
        <v>https://twitter.com/floridatlango/status/1528863106243657728</v>
      </c>
      <c r="AA17" s="83"/>
      <c r="AB17" s="83"/>
      <c r="AC17" s="89" t="s">
        <v>291</v>
      </c>
      <c r="AD17" s="83"/>
      <c r="AE17" s="83" t="b">
        <v>0</v>
      </c>
      <c r="AF17" s="83">
        <v>0</v>
      </c>
      <c r="AG17" s="89" t="s">
        <v>299</v>
      </c>
      <c r="AH17" s="83" t="b">
        <v>1</v>
      </c>
      <c r="AI17" s="83" t="s">
        <v>303</v>
      </c>
      <c r="AJ17" s="83"/>
      <c r="AK17" s="89" t="s">
        <v>304</v>
      </c>
      <c r="AL17" s="83" t="b">
        <v>0</v>
      </c>
      <c r="AM17" s="83">
        <v>2</v>
      </c>
      <c r="AN17" s="89" t="s">
        <v>290</v>
      </c>
      <c r="AO17" s="89" t="s">
        <v>306</v>
      </c>
      <c r="AP17" s="83" t="b">
        <v>0</v>
      </c>
      <c r="AQ17" s="89" t="s">
        <v>290</v>
      </c>
      <c r="AR17" s="83" t="s">
        <v>219</v>
      </c>
      <c r="AS17" s="83">
        <v>0</v>
      </c>
      <c r="AT17" s="83">
        <v>0</v>
      </c>
      <c r="AU17" s="83"/>
      <c r="AV17" s="83"/>
      <c r="AW17" s="83"/>
      <c r="AX17" s="83"/>
      <c r="AY17" s="83"/>
      <c r="AZ17" s="83"/>
      <c r="BA17" s="83"/>
      <c r="BB17" s="83"/>
      <c r="BC17">
        <v>1</v>
      </c>
      <c r="BD17" s="82" t="str">
        <f>REPLACE(INDEX(GroupVertices[Group],MATCH(Edges[[#This Row],[Vertex 1]],GroupVertices[Vertex],0)),1,1,"")</f>
        <v>2</v>
      </c>
      <c r="BE17" s="82" t="str">
        <f>REPLACE(INDEX(GroupVertices[Group],MATCH(Edges[[#This Row],[Vertex 2]],GroupVertices[Vertex],0)),1,1,"")</f>
        <v>2</v>
      </c>
      <c r="BF17" s="51"/>
      <c r="BG17" s="52"/>
      <c r="BH17" s="51"/>
      <c r="BI17" s="52"/>
      <c r="BJ17" s="51"/>
      <c r="BK17" s="52"/>
      <c r="BL17" s="51"/>
      <c r="BM17" s="52"/>
      <c r="BN17" s="51"/>
    </row>
    <row r="18" spans="1:66" ht="28.8">
      <c r="A18" s="81" t="s">
        <v>260</v>
      </c>
      <c r="B18" s="81" t="s">
        <v>267</v>
      </c>
      <c r="C18" s="53" t="s">
        <v>593</v>
      </c>
      <c r="D18" s="54">
        <v>5</v>
      </c>
      <c r="E18" s="53"/>
      <c r="F18" s="55">
        <v>50</v>
      </c>
      <c r="G18" s="53"/>
      <c r="H18" s="57"/>
      <c r="I18" s="56"/>
      <c r="J18" s="56"/>
      <c r="K18" s="36" t="s">
        <v>65</v>
      </c>
      <c r="L18" s="62">
        <v>18</v>
      </c>
      <c r="M18" s="62"/>
      <c r="N18" s="63"/>
      <c r="O18" s="83" t="s">
        <v>269</v>
      </c>
      <c r="P18" s="85">
        <v>44704.92990740741</v>
      </c>
      <c r="Q18" s="83" t="s">
        <v>273</v>
      </c>
      <c r="R18" s="87" t="str">
        <f>HYPERLINK("https://twitter.com/SavvyVanuatu/status/1528525324421541888")</f>
        <v>https://twitter.com/SavvyVanuatu/status/1528525324421541888</v>
      </c>
      <c r="S18" s="83" t="s">
        <v>277</v>
      </c>
      <c r="T18" s="89" t="s">
        <v>278</v>
      </c>
      <c r="U18" s="83"/>
      <c r="V18" s="87" t="str">
        <f>HYPERLINK("https://pbs.twimg.com/profile_images/1440837918835163137/ccHKl4E4_normal.jpg")</f>
        <v>https://pbs.twimg.com/profile_images/1440837918835163137/ccHKl4E4_normal.jpg</v>
      </c>
      <c r="W18" s="85">
        <v>44704.92990740741</v>
      </c>
      <c r="X18" s="91">
        <v>44704</v>
      </c>
      <c r="Y18" s="89" t="s">
        <v>283</v>
      </c>
      <c r="Z18" s="87" t="str">
        <f>HYPERLINK("https://twitter.com/floridatlango/status/1528863106243657728")</f>
        <v>https://twitter.com/floridatlango/status/1528863106243657728</v>
      </c>
      <c r="AA18" s="83"/>
      <c r="AB18" s="83"/>
      <c r="AC18" s="89" t="s">
        <v>291</v>
      </c>
      <c r="AD18" s="83"/>
      <c r="AE18" s="83" t="b">
        <v>0</v>
      </c>
      <c r="AF18" s="83">
        <v>0</v>
      </c>
      <c r="AG18" s="89" t="s">
        <v>299</v>
      </c>
      <c r="AH18" s="83" t="b">
        <v>1</v>
      </c>
      <c r="AI18" s="83" t="s">
        <v>303</v>
      </c>
      <c r="AJ18" s="83"/>
      <c r="AK18" s="89" t="s">
        <v>304</v>
      </c>
      <c r="AL18" s="83" t="b">
        <v>0</v>
      </c>
      <c r="AM18" s="83">
        <v>2</v>
      </c>
      <c r="AN18" s="89" t="s">
        <v>290</v>
      </c>
      <c r="AO18" s="89" t="s">
        <v>306</v>
      </c>
      <c r="AP18" s="83" t="b">
        <v>0</v>
      </c>
      <c r="AQ18" s="89" t="s">
        <v>290</v>
      </c>
      <c r="AR18" s="83" t="s">
        <v>219</v>
      </c>
      <c r="AS18" s="83">
        <v>0</v>
      </c>
      <c r="AT18" s="83">
        <v>0</v>
      </c>
      <c r="AU18" s="83"/>
      <c r="AV18" s="83"/>
      <c r="AW18" s="83"/>
      <c r="AX18" s="83"/>
      <c r="AY18" s="83"/>
      <c r="AZ18" s="83"/>
      <c r="BA18" s="83"/>
      <c r="BB18" s="83"/>
      <c r="BC18">
        <v>1</v>
      </c>
      <c r="BD18" s="82" t="str">
        <f>REPLACE(INDEX(GroupVertices[Group],MATCH(Edges[[#This Row],[Vertex 1]],GroupVertices[Vertex],0)),1,1,"")</f>
        <v>2</v>
      </c>
      <c r="BE18" s="82" t="str">
        <f>REPLACE(INDEX(GroupVertices[Group],MATCH(Edges[[#This Row],[Vertex 2]],GroupVertices[Vertex],0)),1,1,"")</f>
        <v>1</v>
      </c>
      <c r="BF18" s="51">
        <v>2</v>
      </c>
      <c r="BG18" s="52">
        <v>7.142857142857143</v>
      </c>
      <c r="BH18" s="51">
        <v>0</v>
      </c>
      <c r="BI18" s="52">
        <v>0</v>
      </c>
      <c r="BJ18" s="51">
        <v>0</v>
      </c>
      <c r="BK18" s="52">
        <v>0</v>
      </c>
      <c r="BL18" s="51">
        <v>26</v>
      </c>
      <c r="BM18" s="52">
        <v>92.85714285714286</v>
      </c>
      <c r="BN18" s="51">
        <v>28</v>
      </c>
    </row>
    <row r="19" spans="1:66" ht="28.8">
      <c r="A19" s="81" t="s">
        <v>261</v>
      </c>
      <c r="B19" s="81" t="s">
        <v>267</v>
      </c>
      <c r="C19" s="53" t="s">
        <v>593</v>
      </c>
      <c r="D19" s="54">
        <v>5</v>
      </c>
      <c r="E19" s="53"/>
      <c r="F19" s="55">
        <v>50</v>
      </c>
      <c r="G19" s="53"/>
      <c r="H19" s="57"/>
      <c r="I19" s="56"/>
      <c r="J19" s="56"/>
      <c r="K19" s="36" t="s">
        <v>65</v>
      </c>
      <c r="L19" s="62">
        <v>19</v>
      </c>
      <c r="M19" s="62"/>
      <c r="N19" s="63"/>
      <c r="O19" s="83" t="s">
        <v>271</v>
      </c>
      <c r="P19" s="85">
        <v>44704.265555555554</v>
      </c>
      <c r="Q19" s="83" t="s">
        <v>274</v>
      </c>
      <c r="R19" s="83"/>
      <c r="S19" s="83"/>
      <c r="T19" s="89" t="s">
        <v>279</v>
      </c>
      <c r="U19" s="87" t="str">
        <f>HYPERLINK("https://pbs.twimg.com/media/FTbBlmNacAEj0Qb.jpg")</f>
        <v>https://pbs.twimg.com/media/FTbBlmNacAEj0Qb.jpg</v>
      </c>
      <c r="V19" s="87" t="str">
        <f>HYPERLINK("https://pbs.twimg.com/media/FTbBlmNacAEj0Qb.jpg")</f>
        <v>https://pbs.twimg.com/media/FTbBlmNacAEj0Qb.jpg</v>
      </c>
      <c r="W19" s="85">
        <v>44704.265555555554</v>
      </c>
      <c r="X19" s="91">
        <v>44704</v>
      </c>
      <c r="Y19" s="89" t="s">
        <v>284</v>
      </c>
      <c r="Z19" s="87" t="str">
        <f>HYPERLINK("https://twitter.com/unescap/status/1528622354624290816")</f>
        <v>https://twitter.com/unescap/status/1528622354624290816</v>
      </c>
      <c r="AA19" s="83"/>
      <c r="AB19" s="83"/>
      <c r="AC19" s="89" t="s">
        <v>292</v>
      </c>
      <c r="AD19" s="89" t="s">
        <v>296</v>
      </c>
      <c r="AE19" s="83" t="b">
        <v>0</v>
      </c>
      <c r="AF19" s="83">
        <v>4</v>
      </c>
      <c r="AG19" s="89" t="s">
        <v>300</v>
      </c>
      <c r="AH19" s="83" t="b">
        <v>0</v>
      </c>
      <c r="AI19" s="83" t="s">
        <v>303</v>
      </c>
      <c r="AJ19" s="83"/>
      <c r="AK19" s="89" t="s">
        <v>299</v>
      </c>
      <c r="AL19" s="83" t="b">
        <v>0</v>
      </c>
      <c r="AM19" s="83">
        <v>2</v>
      </c>
      <c r="AN19" s="89" t="s">
        <v>299</v>
      </c>
      <c r="AO19" s="89" t="s">
        <v>305</v>
      </c>
      <c r="AP19" s="83" t="b">
        <v>0</v>
      </c>
      <c r="AQ19" s="89" t="s">
        <v>296</v>
      </c>
      <c r="AR19" s="83" t="s">
        <v>219</v>
      </c>
      <c r="AS19" s="83">
        <v>0</v>
      </c>
      <c r="AT19" s="83">
        <v>0</v>
      </c>
      <c r="AU19" s="83"/>
      <c r="AV19" s="83"/>
      <c r="AW19" s="83"/>
      <c r="AX19" s="83"/>
      <c r="AY19" s="83"/>
      <c r="AZ19" s="83"/>
      <c r="BA19" s="83"/>
      <c r="BB19" s="83"/>
      <c r="BC19">
        <v>1</v>
      </c>
      <c r="BD19" s="82" t="str">
        <f>REPLACE(INDEX(GroupVertices[Group],MATCH(Edges[[#This Row],[Vertex 1]],GroupVertices[Vertex],0)),1,1,"")</f>
        <v>1</v>
      </c>
      <c r="BE19" s="82" t="str">
        <f>REPLACE(INDEX(GroupVertices[Group],MATCH(Edges[[#This Row],[Vertex 2]],GroupVertices[Vertex],0)),1,1,"")</f>
        <v>1</v>
      </c>
      <c r="BF19" s="51">
        <v>4</v>
      </c>
      <c r="BG19" s="52">
        <v>12.121212121212121</v>
      </c>
      <c r="BH19" s="51">
        <v>0</v>
      </c>
      <c r="BI19" s="52">
        <v>0</v>
      </c>
      <c r="BJ19" s="51">
        <v>0</v>
      </c>
      <c r="BK19" s="52">
        <v>0</v>
      </c>
      <c r="BL19" s="51">
        <v>29</v>
      </c>
      <c r="BM19" s="52">
        <v>87.87878787878788</v>
      </c>
      <c r="BN19" s="51">
        <v>33</v>
      </c>
    </row>
    <row r="20" spans="1:66" ht="28.8">
      <c r="A20" s="81" t="s">
        <v>262</v>
      </c>
      <c r="B20" s="81" t="s">
        <v>261</v>
      </c>
      <c r="C20" s="53" t="s">
        <v>593</v>
      </c>
      <c r="D20" s="54">
        <v>5</v>
      </c>
      <c r="E20" s="53"/>
      <c r="F20" s="55">
        <v>50</v>
      </c>
      <c r="G20" s="53"/>
      <c r="H20" s="57"/>
      <c r="I20" s="56"/>
      <c r="J20" s="56"/>
      <c r="K20" s="36" t="s">
        <v>65</v>
      </c>
      <c r="L20" s="62">
        <v>20</v>
      </c>
      <c r="M20" s="62"/>
      <c r="N20" s="63"/>
      <c r="O20" s="83" t="s">
        <v>270</v>
      </c>
      <c r="P20" s="85">
        <v>44705.49633101852</v>
      </c>
      <c r="Q20" s="83" t="s">
        <v>274</v>
      </c>
      <c r="R20" s="83"/>
      <c r="S20" s="83"/>
      <c r="T20" s="89" t="s">
        <v>279</v>
      </c>
      <c r="U20" s="87" t="str">
        <f>HYPERLINK("https://pbs.twimg.com/media/FTbBlmNacAEj0Qb.jpg")</f>
        <v>https://pbs.twimg.com/media/FTbBlmNacAEj0Qb.jpg</v>
      </c>
      <c r="V20" s="87" t="str">
        <f>HYPERLINK("https://pbs.twimg.com/media/FTbBlmNacAEj0Qb.jpg")</f>
        <v>https://pbs.twimg.com/media/FTbBlmNacAEj0Qb.jpg</v>
      </c>
      <c r="W20" s="85">
        <v>44705.49633101852</v>
      </c>
      <c r="X20" s="91">
        <v>44705</v>
      </c>
      <c r="Y20" s="89" t="s">
        <v>285</v>
      </c>
      <c r="Z20" s="87" t="str">
        <f>HYPERLINK("https://twitter.com/jmdjossoujean/status/1529068373321125889")</f>
        <v>https://twitter.com/jmdjossoujean/status/1529068373321125889</v>
      </c>
      <c r="AA20" s="83"/>
      <c r="AB20" s="83"/>
      <c r="AC20" s="89" t="s">
        <v>293</v>
      </c>
      <c r="AD20" s="83"/>
      <c r="AE20" s="83" t="b">
        <v>0</v>
      </c>
      <c r="AF20" s="83">
        <v>0</v>
      </c>
      <c r="AG20" s="89" t="s">
        <v>299</v>
      </c>
      <c r="AH20" s="83" t="b">
        <v>0</v>
      </c>
      <c r="AI20" s="83" t="s">
        <v>303</v>
      </c>
      <c r="AJ20" s="83"/>
      <c r="AK20" s="89" t="s">
        <v>299</v>
      </c>
      <c r="AL20" s="83" t="b">
        <v>0</v>
      </c>
      <c r="AM20" s="83">
        <v>2</v>
      </c>
      <c r="AN20" s="89" t="s">
        <v>292</v>
      </c>
      <c r="AO20" s="89" t="s">
        <v>305</v>
      </c>
      <c r="AP20" s="83" t="b">
        <v>0</v>
      </c>
      <c r="AQ20" s="89" t="s">
        <v>292</v>
      </c>
      <c r="AR20" s="83" t="s">
        <v>219</v>
      </c>
      <c r="AS20" s="83">
        <v>0</v>
      </c>
      <c r="AT20" s="83">
        <v>0</v>
      </c>
      <c r="AU20" s="83"/>
      <c r="AV20" s="83"/>
      <c r="AW20" s="83"/>
      <c r="AX20" s="83"/>
      <c r="AY20" s="83"/>
      <c r="AZ20" s="83"/>
      <c r="BA20" s="83"/>
      <c r="BB20" s="83"/>
      <c r="BC20">
        <v>1</v>
      </c>
      <c r="BD20" s="82" t="str">
        <f>REPLACE(INDEX(GroupVertices[Group],MATCH(Edges[[#This Row],[Vertex 1]],GroupVertices[Vertex],0)),1,1,"")</f>
        <v>1</v>
      </c>
      <c r="BE20" s="82" t="str">
        <f>REPLACE(INDEX(GroupVertices[Group],MATCH(Edges[[#This Row],[Vertex 2]],GroupVertices[Vertex],0)),1,1,"")</f>
        <v>1</v>
      </c>
      <c r="BF20" s="51"/>
      <c r="BG20" s="52"/>
      <c r="BH20" s="51"/>
      <c r="BI20" s="52"/>
      <c r="BJ20" s="51"/>
      <c r="BK20" s="52"/>
      <c r="BL20" s="51"/>
      <c r="BM20" s="52"/>
      <c r="BN20" s="51"/>
    </row>
    <row r="21" spans="1:66" ht="28.8">
      <c r="A21" s="81" t="s">
        <v>262</v>
      </c>
      <c r="B21" s="81" t="s">
        <v>267</v>
      </c>
      <c r="C21" s="53" t="s">
        <v>593</v>
      </c>
      <c r="D21" s="54">
        <v>5</v>
      </c>
      <c r="E21" s="53"/>
      <c r="F21" s="55">
        <v>50</v>
      </c>
      <c r="G21" s="53"/>
      <c r="H21" s="57"/>
      <c r="I21" s="56"/>
      <c r="J21" s="56"/>
      <c r="K21" s="36" t="s">
        <v>65</v>
      </c>
      <c r="L21" s="62">
        <v>21</v>
      </c>
      <c r="M21" s="62"/>
      <c r="N21" s="63"/>
      <c r="O21" s="83" t="s">
        <v>269</v>
      </c>
      <c r="P21" s="85">
        <v>44705.49633101852</v>
      </c>
      <c r="Q21" s="83" t="s">
        <v>274</v>
      </c>
      <c r="R21" s="83"/>
      <c r="S21" s="83"/>
      <c r="T21" s="89" t="s">
        <v>279</v>
      </c>
      <c r="U21" s="87" t="str">
        <f>HYPERLINK("https://pbs.twimg.com/media/FTbBlmNacAEj0Qb.jpg")</f>
        <v>https://pbs.twimg.com/media/FTbBlmNacAEj0Qb.jpg</v>
      </c>
      <c r="V21" s="87" t="str">
        <f>HYPERLINK("https://pbs.twimg.com/media/FTbBlmNacAEj0Qb.jpg")</f>
        <v>https://pbs.twimg.com/media/FTbBlmNacAEj0Qb.jpg</v>
      </c>
      <c r="W21" s="85">
        <v>44705.49633101852</v>
      </c>
      <c r="X21" s="91">
        <v>44705</v>
      </c>
      <c r="Y21" s="89" t="s">
        <v>285</v>
      </c>
      <c r="Z21" s="87" t="str">
        <f>HYPERLINK("https://twitter.com/jmdjossoujean/status/1529068373321125889")</f>
        <v>https://twitter.com/jmdjossoujean/status/1529068373321125889</v>
      </c>
      <c r="AA21" s="83"/>
      <c r="AB21" s="83"/>
      <c r="AC21" s="89" t="s">
        <v>293</v>
      </c>
      <c r="AD21" s="83"/>
      <c r="AE21" s="83" t="b">
        <v>0</v>
      </c>
      <c r="AF21" s="83">
        <v>0</v>
      </c>
      <c r="AG21" s="89" t="s">
        <v>299</v>
      </c>
      <c r="AH21" s="83" t="b">
        <v>0</v>
      </c>
      <c r="AI21" s="83" t="s">
        <v>303</v>
      </c>
      <c r="AJ21" s="83"/>
      <c r="AK21" s="89" t="s">
        <v>299</v>
      </c>
      <c r="AL21" s="83" t="b">
        <v>0</v>
      </c>
      <c r="AM21" s="83">
        <v>2</v>
      </c>
      <c r="AN21" s="89" t="s">
        <v>292</v>
      </c>
      <c r="AO21" s="89" t="s">
        <v>305</v>
      </c>
      <c r="AP21" s="83" t="b">
        <v>0</v>
      </c>
      <c r="AQ21" s="89" t="s">
        <v>292</v>
      </c>
      <c r="AR21" s="83" t="s">
        <v>219</v>
      </c>
      <c r="AS21" s="83">
        <v>0</v>
      </c>
      <c r="AT21" s="83">
        <v>0</v>
      </c>
      <c r="AU21" s="83"/>
      <c r="AV21" s="83"/>
      <c r="AW21" s="83"/>
      <c r="AX21" s="83"/>
      <c r="AY21" s="83"/>
      <c r="AZ21" s="83"/>
      <c r="BA21" s="83"/>
      <c r="BB21" s="83"/>
      <c r="BC21">
        <v>1</v>
      </c>
      <c r="BD21" s="82" t="str">
        <f>REPLACE(INDEX(GroupVertices[Group],MATCH(Edges[[#This Row],[Vertex 1]],GroupVertices[Vertex],0)),1,1,"")</f>
        <v>1</v>
      </c>
      <c r="BE21" s="82" t="str">
        <f>REPLACE(INDEX(GroupVertices[Group],MATCH(Edges[[#This Row],[Vertex 2]],GroupVertices[Vertex],0)),1,1,"")</f>
        <v>1</v>
      </c>
      <c r="BF21" s="51">
        <v>4</v>
      </c>
      <c r="BG21" s="52">
        <v>12.121212121212121</v>
      </c>
      <c r="BH21" s="51">
        <v>0</v>
      </c>
      <c r="BI21" s="52">
        <v>0</v>
      </c>
      <c r="BJ21" s="51">
        <v>0</v>
      </c>
      <c r="BK21" s="52">
        <v>0</v>
      </c>
      <c r="BL21" s="51">
        <v>29</v>
      </c>
      <c r="BM21" s="52">
        <v>87.87878787878788</v>
      </c>
      <c r="BN21" s="51">
        <v>33</v>
      </c>
    </row>
    <row r="22" spans="1:66" ht="15">
      <c r="A22" s="81" t="s">
        <v>263</v>
      </c>
      <c r="B22" s="81" t="s">
        <v>267</v>
      </c>
      <c r="C22" s="53" t="s">
        <v>594</v>
      </c>
      <c r="D22" s="54">
        <v>5</v>
      </c>
      <c r="E22" s="53"/>
      <c r="F22" s="55">
        <v>50</v>
      </c>
      <c r="G22" s="53"/>
      <c r="H22" s="57"/>
      <c r="I22" s="56"/>
      <c r="J22" s="56"/>
      <c r="K22" s="36" t="s">
        <v>65</v>
      </c>
      <c r="L22" s="62">
        <v>22</v>
      </c>
      <c r="M22" s="62"/>
      <c r="N22" s="63"/>
      <c r="O22" s="83" t="s">
        <v>272</v>
      </c>
      <c r="P22" s="85">
        <v>44707.1528587963</v>
      </c>
      <c r="Q22" s="83" t="s">
        <v>275</v>
      </c>
      <c r="R22" s="83"/>
      <c r="S22" s="83"/>
      <c r="T22" s="83"/>
      <c r="U22" s="83"/>
      <c r="V22" s="87" t="str">
        <f>HYPERLINK("https://pbs.twimg.com/profile_images/1515064205858074624/e6bEAhlH_normal.jpg")</f>
        <v>https://pbs.twimg.com/profile_images/1515064205858074624/e6bEAhlH_normal.jpg</v>
      </c>
      <c r="W22" s="85">
        <v>44707.1528587963</v>
      </c>
      <c r="X22" s="91">
        <v>44707</v>
      </c>
      <c r="Y22" s="89" t="s">
        <v>286</v>
      </c>
      <c r="Z22" s="87" t="str">
        <f>HYPERLINK("https://twitter.com/florarantakari/status/1529668677674541056")</f>
        <v>https://twitter.com/florarantakari/status/1529668677674541056</v>
      </c>
      <c r="AA22" s="83"/>
      <c r="AB22" s="83"/>
      <c r="AC22" s="89" t="s">
        <v>294</v>
      </c>
      <c r="AD22" s="89" t="s">
        <v>297</v>
      </c>
      <c r="AE22" s="83" t="b">
        <v>0</v>
      </c>
      <c r="AF22" s="83">
        <v>0</v>
      </c>
      <c r="AG22" s="89" t="s">
        <v>301</v>
      </c>
      <c r="AH22" s="83" t="b">
        <v>0</v>
      </c>
      <c r="AI22" s="83" t="s">
        <v>303</v>
      </c>
      <c r="AJ22" s="83"/>
      <c r="AK22" s="89" t="s">
        <v>299</v>
      </c>
      <c r="AL22" s="83" t="b">
        <v>0</v>
      </c>
      <c r="AM22" s="83">
        <v>0</v>
      </c>
      <c r="AN22" s="89" t="s">
        <v>299</v>
      </c>
      <c r="AO22" s="89" t="s">
        <v>305</v>
      </c>
      <c r="AP22" s="83" t="b">
        <v>0</v>
      </c>
      <c r="AQ22" s="89" t="s">
        <v>297</v>
      </c>
      <c r="AR22" s="83" t="s">
        <v>219</v>
      </c>
      <c r="AS22" s="83">
        <v>0</v>
      </c>
      <c r="AT22" s="83">
        <v>0</v>
      </c>
      <c r="AU22" s="83"/>
      <c r="AV22" s="83"/>
      <c r="AW22" s="83"/>
      <c r="AX22" s="83"/>
      <c r="AY22" s="83"/>
      <c r="AZ22" s="83"/>
      <c r="BA22" s="83"/>
      <c r="BB22" s="83"/>
      <c r="BC22">
        <v>2</v>
      </c>
      <c r="BD22" s="82" t="str">
        <f>REPLACE(INDEX(GroupVertices[Group],MATCH(Edges[[#This Row],[Vertex 1]],GroupVertices[Vertex],0)),1,1,"")</f>
        <v>1</v>
      </c>
      <c r="BE22" s="82" t="str">
        <f>REPLACE(INDEX(GroupVertices[Group],MATCH(Edges[[#This Row],[Vertex 2]],GroupVertices[Vertex],0)),1,1,"")</f>
        <v>1</v>
      </c>
      <c r="BF22" s="51">
        <v>1</v>
      </c>
      <c r="BG22" s="52">
        <v>4.166666666666667</v>
      </c>
      <c r="BH22" s="51">
        <v>0</v>
      </c>
      <c r="BI22" s="52">
        <v>0</v>
      </c>
      <c r="BJ22" s="51">
        <v>0</v>
      </c>
      <c r="BK22" s="52">
        <v>0</v>
      </c>
      <c r="BL22" s="51">
        <v>23</v>
      </c>
      <c r="BM22" s="52">
        <v>95.83333333333333</v>
      </c>
      <c r="BN22" s="51">
        <v>24</v>
      </c>
    </row>
    <row r="23" spans="1:66" ht="15">
      <c r="A23" s="81" t="s">
        <v>263</v>
      </c>
      <c r="B23" s="81" t="s">
        <v>267</v>
      </c>
      <c r="C23" s="53" t="s">
        <v>594</v>
      </c>
      <c r="D23" s="54">
        <v>5</v>
      </c>
      <c r="E23" s="53"/>
      <c r="F23" s="55">
        <v>50</v>
      </c>
      <c r="G23" s="53"/>
      <c r="H23" s="57"/>
      <c r="I23" s="56"/>
      <c r="J23" s="56"/>
      <c r="K23" s="36" t="s">
        <v>65</v>
      </c>
      <c r="L23" s="62">
        <v>23</v>
      </c>
      <c r="M23" s="62"/>
      <c r="N23" s="63"/>
      <c r="O23" s="83" t="s">
        <v>271</v>
      </c>
      <c r="P23" s="85">
        <v>44707.15369212963</v>
      </c>
      <c r="Q23" s="83" t="s">
        <v>276</v>
      </c>
      <c r="R23" s="83"/>
      <c r="S23" s="83"/>
      <c r="T23" s="83"/>
      <c r="U23" s="83"/>
      <c r="V23" s="87" t="str">
        <f>HYPERLINK("https://pbs.twimg.com/profile_images/1515064205858074624/e6bEAhlH_normal.jpg")</f>
        <v>https://pbs.twimg.com/profile_images/1515064205858074624/e6bEAhlH_normal.jpg</v>
      </c>
      <c r="W23" s="85">
        <v>44707.15369212963</v>
      </c>
      <c r="X23" s="91">
        <v>44707</v>
      </c>
      <c r="Y23" s="89" t="s">
        <v>287</v>
      </c>
      <c r="Z23" s="87" t="str">
        <f>HYPERLINK("https://twitter.com/florarantakari/status/1529668979186225152")</f>
        <v>https://twitter.com/florarantakari/status/1529668979186225152</v>
      </c>
      <c r="AA23" s="83"/>
      <c r="AB23" s="83"/>
      <c r="AC23" s="89" t="s">
        <v>295</v>
      </c>
      <c r="AD23" s="89" t="s">
        <v>298</v>
      </c>
      <c r="AE23" s="83" t="b">
        <v>0</v>
      </c>
      <c r="AF23" s="83">
        <v>0</v>
      </c>
      <c r="AG23" s="89" t="s">
        <v>302</v>
      </c>
      <c r="AH23" s="83" t="b">
        <v>0</v>
      </c>
      <c r="AI23" s="83" t="s">
        <v>303</v>
      </c>
      <c r="AJ23" s="83"/>
      <c r="AK23" s="89" t="s">
        <v>299</v>
      </c>
      <c r="AL23" s="83" t="b">
        <v>0</v>
      </c>
      <c r="AM23" s="83">
        <v>0</v>
      </c>
      <c r="AN23" s="89" t="s">
        <v>299</v>
      </c>
      <c r="AO23" s="89" t="s">
        <v>305</v>
      </c>
      <c r="AP23" s="83" t="b">
        <v>0</v>
      </c>
      <c r="AQ23" s="89" t="s">
        <v>298</v>
      </c>
      <c r="AR23" s="83" t="s">
        <v>219</v>
      </c>
      <c r="AS23" s="83">
        <v>0</v>
      </c>
      <c r="AT23" s="83">
        <v>0</v>
      </c>
      <c r="AU23" s="83"/>
      <c r="AV23" s="83"/>
      <c r="AW23" s="83"/>
      <c r="AX23" s="83"/>
      <c r="AY23" s="83"/>
      <c r="AZ23" s="83"/>
      <c r="BA23" s="83"/>
      <c r="BB23" s="83"/>
      <c r="BC23">
        <v>2</v>
      </c>
      <c r="BD23" s="82" t="str">
        <f>REPLACE(INDEX(GroupVertices[Group],MATCH(Edges[[#This Row],[Vertex 1]],GroupVertices[Vertex],0)),1,1,"")</f>
        <v>1</v>
      </c>
      <c r="BE23" s="82" t="str">
        <f>REPLACE(INDEX(GroupVertices[Group],MATCH(Edges[[#This Row],[Vertex 2]],GroupVertices[Vertex],0)),1,1,"")</f>
        <v>1</v>
      </c>
      <c r="BF23" s="51"/>
      <c r="BG23" s="52"/>
      <c r="BH23" s="51"/>
      <c r="BI23" s="52"/>
      <c r="BJ23" s="51"/>
      <c r="BK23" s="52"/>
      <c r="BL23" s="51"/>
      <c r="BM23" s="52"/>
      <c r="BN23" s="51"/>
    </row>
    <row r="24" spans="1:66" ht="28.8">
      <c r="A24" s="81" t="s">
        <v>263</v>
      </c>
      <c r="B24" s="81" t="s">
        <v>268</v>
      </c>
      <c r="C24" s="53" t="s">
        <v>593</v>
      </c>
      <c r="D24" s="54">
        <v>5</v>
      </c>
      <c r="E24" s="53"/>
      <c r="F24" s="55">
        <v>50</v>
      </c>
      <c r="G24" s="53"/>
      <c r="H24" s="57"/>
      <c r="I24" s="56"/>
      <c r="J24" s="56"/>
      <c r="K24" s="36" t="s">
        <v>65</v>
      </c>
      <c r="L24" s="62">
        <v>24</v>
      </c>
      <c r="M24" s="62"/>
      <c r="N24" s="63"/>
      <c r="O24" s="83" t="s">
        <v>272</v>
      </c>
      <c r="P24" s="85">
        <v>44707.15369212963</v>
      </c>
      <c r="Q24" s="83" t="s">
        <v>276</v>
      </c>
      <c r="R24" s="83"/>
      <c r="S24" s="83"/>
      <c r="T24" s="83"/>
      <c r="U24" s="83"/>
      <c r="V24" s="87" t="str">
        <f>HYPERLINK("https://pbs.twimg.com/profile_images/1515064205858074624/e6bEAhlH_normal.jpg")</f>
        <v>https://pbs.twimg.com/profile_images/1515064205858074624/e6bEAhlH_normal.jpg</v>
      </c>
      <c r="W24" s="85">
        <v>44707.15369212963</v>
      </c>
      <c r="X24" s="91">
        <v>44707</v>
      </c>
      <c r="Y24" s="89" t="s">
        <v>287</v>
      </c>
      <c r="Z24" s="87" t="str">
        <f>HYPERLINK("https://twitter.com/florarantakari/status/1529668979186225152")</f>
        <v>https://twitter.com/florarantakari/status/1529668979186225152</v>
      </c>
      <c r="AA24" s="83"/>
      <c r="AB24" s="83"/>
      <c r="AC24" s="89" t="s">
        <v>295</v>
      </c>
      <c r="AD24" s="89" t="s">
        <v>298</v>
      </c>
      <c r="AE24" s="83" t="b">
        <v>0</v>
      </c>
      <c r="AF24" s="83">
        <v>0</v>
      </c>
      <c r="AG24" s="89" t="s">
        <v>302</v>
      </c>
      <c r="AH24" s="83" t="b">
        <v>0</v>
      </c>
      <c r="AI24" s="83" t="s">
        <v>303</v>
      </c>
      <c r="AJ24" s="83"/>
      <c r="AK24" s="89" t="s">
        <v>299</v>
      </c>
      <c r="AL24" s="83" t="b">
        <v>0</v>
      </c>
      <c r="AM24" s="83">
        <v>0</v>
      </c>
      <c r="AN24" s="89" t="s">
        <v>299</v>
      </c>
      <c r="AO24" s="89" t="s">
        <v>305</v>
      </c>
      <c r="AP24" s="83" t="b">
        <v>0</v>
      </c>
      <c r="AQ24" s="89" t="s">
        <v>298</v>
      </c>
      <c r="AR24" s="83" t="s">
        <v>219</v>
      </c>
      <c r="AS24" s="83">
        <v>0</v>
      </c>
      <c r="AT24" s="83">
        <v>0</v>
      </c>
      <c r="AU24" s="83"/>
      <c r="AV24" s="83"/>
      <c r="AW24" s="83"/>
      <c r="AX24" s="83"/>
      <c r="AY24" s="83"/>
      <c r="AZ24" s="83"/>
      <c r="BA24" s="83"/>
      <c r="BB24" s="83"/>
      <c r="BC24">
        <v>1</v>
      </c>
      <c r="BD24" s="82" t="str">
        <f>REPLACE(INDEX(GroupVertices[Group],MATCH(Edges[[#This Row],[Vertex 1]],GroupVertices[Vertex],0)),1,1,"")</f>
        <v>1</v>
      </c>
      <c r="BE24" s="82" t="str">
        <f>REPLACE(INDEX(GroupVertices[Group],MATCH(Edges[[#This Row],[Vertex 2]],GroupVertices[Vertex],0)),1,1,"")</f>
        <v>1</v>
      </c>
      <c r="BF24" s="51">
        <v>1</v>
      </c>
      <c r="BG24" s="52">
        <v>9.090909090909092</v>
      </c>
      <c r="BH24" s="51">
        <v>0</v>
      </c>
      <c r="BI24" s="52">
        <v>0</v>
      </c>
      <c r="BJ24" s="51">
        <v>0</v>
      </c>
      <c r="BK24" s="52">
        <v>0</v>
      </c>
      <c r="BL24" s="51">
        <v>10</v>
      </c>
      <c r="BM24" s="52">
        <v>90.9090909090909</v>
      </c>
      <c r="BN24" s="51">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4"/>
    <dataValidation allowBlank="1" showErrorMessage="1" sqref="N2:N2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4"/>
    <dataValidation allowBlank="1" showInputMessage="1" promptTitle="Edge Color" prompt="To select an optional edge color, right-click and select Select Color on the right-click menu." sqref="C3:C24"/>
    <dataValidation allowBlank="1" showInputMessage="1" promptTitle="Edge Width" prompt="Enter an optional edge width between 1 and 10." errorTitle="Invalid Edge Width" error="The optional edge width must be a whole number between 1 and 10." sqref="D3:D24"/>
    <dataValidation allowBlank="1" showInputMessage="1" promptTitle="Edge Opacity" prompt="Enter an optional edge opacity between 0 (transparent) and 100 (opaque)." errorTitle="Invalid Edge Opacity" error="The optional edge opacity must be a whole number between 0 and 10." sqref="F3:F2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4">
      <formula1>ValidEdgeVisibilities</formula1>
    </dataValidation>
    <dataValidation allowBlank="1" showInputMessage="1" showErrorMessage="1" promptTitle="Vertex 1 Name" prompt="Enter the name of the edge's first vertex." sqref="A3:A24"/>
    <dataValidation allowBlank="1" showInputMessage="1" showErrorMessage="1" promptTitle="Vertex 2 Name" prompt="Enter the name of the edge's second vertex." sqref="B3:B24"/>
    <dataValidation allowBlank="1" showInputMessage="1" showErrorMessage="1" promptTitle="Edge Label" prompt="Enter an optional edge label." errorTitle="Invalid Edge Visibility" error="You have entered an unrecognized edge visibility.  Try selecting from the drop-down list instead." sqref="H3:H2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8D780-DC20-43E2-BD9B-E4BEC3E972E0}">
  <dimension ref="A1:C5"/>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5" t="s">
        <v>42</v>
      </c>
    </row>
    <row r="2" spans="1:3" ht="14.4" customHeight="1">
      <c r="A2" s="13" t="s">
        <v>469</v>
      </c>
      <c r="B2" s="122" t="s">
        <v>470</v>
      </c>
      <c r="C2" s="68" t="s">
        <v>471</v>
      </c>
    </row>
    <row r="3" spans="1:3" ht="15">
      <c r="A3" s="121" t="s">
        <v>386</v>
      </c>
      <c r="B3" s="121" t="s">
        <v>386</v>
      </c>
      <c r="C3" s="36">
        <v>8</v>
      </c>
    </row>
    <row r="4" spans="1:3" ht="15">
      <c r="A4" s="121" t="s">
        <v>387</v>
      </c>
      <c r="B4" s="121" t="s">
        <v>386</v>
      </c>
      <c r="C4" s="36">
        <v>3</v>
      </c>
    </row>
    <row r="5" spans="1:3" ht="15">
      <c r="A5" s="121" t="s">
        <v>387</v>
      </c>
      <c r="B5" s="121" t="s">
        <v>387</v>
      </c>
      <c r="C5" s="36">
        <v>11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C9C96-1A14-4520-AF7C-6733D1E0B27E}">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491</v>
      </c>
      <c r="B1" s="13" t="s">
        <v>17</v>
      </c>
    </row>
    <row r="2" spans="1:2" ht="15">
      <c r="A2" s="82" t="s">
        <v>492</v>
      </c>
      <c r="B2" s="82" t="s">
        <v>498</v>
      </c>
    </row>
    <row r="3" spans="1:2" ht="15">
      <c r="A3" s="83" t="s">
        <v>493</v>
      </c>
      <c r="B3" s="82" t="s">
        <v>499</v>
      </c>
    </row>
    <row r="4" spans="1:2" ht="15">
      <c r="A4" s="83" t="s">
        <v>494</v>
      </c>
      <c r="B4" s="82" t="s">
        <v>500</v>
      </c>
    </row>
    <row r="5" spans="1:2" ht="15">
      <c r="A5" s="83" t="s">
        <v>495</v>
      </c>
      <c r="B5" s="82" t="s">
        <v>501</v>
      </c>
    </row>
    <row r="6" spans="1:2" ht="15">
      <c r="A6" s="83" t="s">
        <v>496</v>
      </c>
      <c r="B6" s="82" t="s">
        <v>502</v>
      </c>
    </row>
    <row r="7" spans="1:2" ht="15">
      <c r="A7" s="83" t="s">
        <v>497</v>
      </c>
      <c r="B7" s="82"/>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EE7029-AB58-4303-BFA8-951B4850BAF4}">
  <dimension ref="A1:B11"/>
  <sheetViews>
    <sheetView workbookViewId="0" topLeftCell="A1"/>
  </sheetViews>
  <sheetFormatPr defaultColWidth="9.140625" defaultRowHeight="15"/>
  <cols>
    <col min="1" max="1" width="45.421875" style="0" bestFit="1" customWidth="1"/>
    <col min="2" max="2" width="22.57421875" style="0" bestFit="1" customWidth="1"/>
  </cols>
  <sheetData>
    <row r="1" spans="1:2" ht="14.4" customHeight="1">
      <c r="A1" s="13" t="s">
        <v>503</v>
      </c>
      <c r="B1" s="13" t="s">
        <v>34</v>
      </c>
    </row>
    <row r="2" spans="1:2" ht="15">
      <c r="A2" s="115" t="s">
        <v>267</v>
      </c>
      <c r="B2" s="82">
        <v>73.4</v>
      </c>
    </row>
    <row r="3" spans="1:2" ht="15">
      <c r="A3" s="117" t="s">
        <v>263</v>
      </c>
      <c r="B3" s="82">
        <v>20</v>
      </c>
    </row>
    <row r="4" spans="1:2" ht="15">
      <c r="A4" s="117" t="s">
        <v>259</v>
      </c>
      <c r="B4" s="82">
        <v>14.4</v>
      </c>
    </row>
    <row r="5" spans="1:2" ht="15">
      <c r="A5" s="117" t="s">
        <v>257</v>
      </c>
      <c r="B5" s="82">
        <v>14</v>
      </c>
    </row>
    <row r="6" spans="1:2" ht="15">
      <c r="A6" s="117" t="s">
        <v>260</v>
      </c>
      <c r="B6" s="82">
        <v>14</v>
      </c>
    </row>
    <row r="7" spans="1:2" ht="15">
      <c r="A7" s="117" t="s">
        <v>261</v>
      </c>
      <c r="B7" s="82">
        <v>1</v>
      </c>
    </row>
    <row r="8" spans="1:2" ht="15">
      <c r="A8" s="117" t="s">
        <v>264</v>
      </c>
      <c r="B8" s="82">
        <v>0.4</v>
      </c>
    </row>
    <row r="9" spans="1:2" ht="15">
      <c r="A9" s="117" t="s">
        <v>265</v>
      </c>
      <c r="B9" s="82">
        <v>0.4</v>
      </c>
    </row>
    <row r="10" spans="1:2" ht="15">
      <c r="A10" s="117" t="s">
        <v>266</v>
      </c>
      <c r="B10" s="82">
        <v>0.4</v>
      </c>
    </row>
    <row r="11" spans="1:2" ht="15">
      <c r="A11" s="117" t="s">
        <v>268</v>
      </c>
      <c r="B11" s="82">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3C6B3-E26A-4660-92CC-66E55A0A543C}">
  <dimension ref="A1:BN1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217</v>
      </c>
      <c r="P2" s="13" t="s">
        <v>218</v>
      </c>
      <c r="Q2" s="13" t="s">
        <v>219</v>
      </c>
      <c r="R2" s="13" t="s">
        <v>220</v>
      </c>
      <c r="S2" s="13" t="s">
        <v>221</v>
      </c>
      <c r="T2" s="13" t="s">
        <v>222</v>
      </c>
      <c r="U2" s="13" t="s">
        <v>223</v>
      </c>
      <c r="V2" s="13" t="s">
        <v>224</v>
      </c>
      <c r="W2" s="13" t="s">
        <v>225</v>
      </c>
      <c r="X2" s="13" t="s">
        <v>226</v>
      </c>
      <c r="Y2" s="13" t="s">
        <v>227</v>
      </c>
      <c r="Z2" s="13" t="s">
        <v>228</v>
      </c>
      <c r="AA2" s="13" t="s">
        <v>229</v>
      </c>
      <c r="AB2" s="13" t="s">
        <v>230</v>
      </c>
      <c r="AC2" s="13" t="s">
        <v>231</v>
      </c>
      <c r="AD2" s="13" t="s">
        <v>232</v>
      </c>
      <c r="AE2" s="13" t="s">
        <v>233</v>
      </c>
      <c r="AF2" s="13" t="s">
        <v>234</v>
      </c>
      <c r="AG2" s="13" t="s">
        <v>235</v>
      </c>
      <c r="AH2" s="13" t="s">
        <v>236</v>
      </c>
      <c r="AI2" s="13" t="s">
        <v>237</v>
      </c>
      <c r="AJ2" s="13" t="s">
        <v>238</v>
      </c>
      <c r="AK2" s="13" t="s">
        <v>239</v>
      </c>
      <c r="AL2" s="13" t="s">
        <v>240</v>
      </c>
      <c r="AM2" s="13" t="s">
        <v>241</v>
      </c>
      <c r="AN2" s="13" t="s">
        <v>242</v>
      </c>
      <c r="AO2" s="13" t="s">
        <v>243</v>
      </c>
      <c r="AP2" s="13" t="s">
        <v>244</v>
      </c>
      <c r="AQ2" s="13" t="s">
        <v>245</v>
      </c>
      <c r="AR2" s="13" t="s">
        <v>246</v>
      </c>
      <c r="AS2" s="13" t="s">
        <v>247</v>
      </c>
      <c r="AT2" s="13" t="s">
        <v>248</v>
      </c>
      <c r="AU2" s="13" t="s">
        <v>249</v>
      </c>
      <c r="AV2" s="13" t="s">
        <v>250</v>
      </c>
      <c r="AW2" s="13" t="s">
        <v>251</v>
      </c>
      <c r="AX2" s="13" t="s">
        <v>252</v>
      </c>
      <c r="AY2" s="13" t="s">
        <v>253</v>
      </c>
      <c r="AZ2" s="13" t="s">
        <v>254</v>
      </c>
      <c r="BA2" s="13" t="s">
        <v>255</v>
      </c>
      <c r="BB2" s="13" t="s">
        <v>256</v>
      </c>
      <c r="BC2" t="s">
        <v>385</v>
      </c>
      <c r="BD2" s="13" t="s">
        <v>391</v>
      </c>
      <c r="BE2" s="13" t="s">
        <v>392</v>
      </c>
      <c r="BF2" s="68" t="s">
        <v>458</v>
      </c>
      <c r="BG2" s="68" t="s">
        <v>459</v>
      </c>
      <c r="BH2" s="68" t="s">
        <v>460</v>
      </c>
      <c r="BI2" s="68" t="s">
        <v>461</v>
      </c>
      <c r="BJ2" s="68" t="s">
        <v>462</v>
      </c>
      <c r="BK2" s="68" t="s">
        <v>463</v>
      </c>
      <c r="BL2" s="68" t="s">
        <v>464</v>
      </c>
      <c r="BM2" s="68" t="s">
        <v>465</v>
      </c>
      <c r="BN2" s="68" t="s">
        <v>466</v>
      </c>
    </row>
    <row r="3" spans="1:66" ht="15" customHeight="1">
      <c r="A3" s="81" t="s">
        <v>257</v>
      </c>
      <c r="B3" s="81" t="s">
        <v>267</v>
      </c>
      <c r="C3" s="53"/>
      <c r="D3" s="54"/>
      <c r="E3" s="66"/>
      <c r="F3" s="55"/>
      <c r="G3" s="53"/>
      <c r="H3" s="57"/>
      <c r="I3" s="56"/>
      <c r="J3" s="56"/>
      <c r="K3" s="36" t="s">
        <v>65</v>
      </c>
      <c r="L3" s="62">
        <v>3</v>
      </c>
      <c r="M3" s="62"/>
      <c r="N3" s="63"/>
      <c r="O3" s="82" t="s">
        <v>269</v>
      </c>
      <c r="P3" s="84">
        <v>44704.274618055555</v>
      </c>
      <c r="Q3" s="82" t="s">
        <v>273</v>
      </c>
      <c r="R3" s="86" t="str">
        <f>HYPERLINK("https://twitter.com/SavvyVanuatu/status/1528525324421541888")</f>
        <v>https://twitter.com/SavvyVanuatu/status/1528525324421541888</v>
      </c>
      <c r="S3" s="82" t="s">
        <v>277</v>
      </c>
      <c r="T3" s="88" t="s">
        <v>278</v>
      </c>
      <c r="U3" s="82"/>
      <c r="V3" s="86" t="str">
        <f>HYPERLINK("https://pbs.twimg.com/profile_images/1511983894358523907/qUCGGohF_normal.jpg")</f>
        <v>https://pbs.twimg.com/profile_images/1511983894358523907/qUCGGohF_normal.jpg</v>
      </c>
      <c r="W3" s="84">
        <v>44704.274618055555</v>
      </c>
      <c r="X3" s="90">
        <v>44704</v>
      </c>
      <c r="Y3" s="88" t="s">
        <v>280</v>
      </c>
      <c r="Z3" s="86" t="str">
        <f>HYPERLINK("https://twitter.com/savvyvanuatu/status/1528625639850266625")</f>
        <v>https://twitter.com/savvyvanuatu/status/1528625639850266625</v>
      </c>
      <c r="AA3" s="82"/>
      <c r="AB3" s="82"/>
      <c r="AC3" s="88" t="s">
        <v>288</v>
      </c>
      <c r="AD3" s="82"/>
      <c r="AE3" s="82" t="b">
        <v>0</v>
      </c>
      <c r="AF3" s="82">
        <v>0</v>
      </c>
      <c r="AG3" s="88" t="s">
        <v>299</v>
      </c>
      <c r="AH3" s="82" t="b">
        <v>1</v>
      </c>
      <c r="AI3" s="82" t="s">
        <v>303</v>
      </c>
      <c r="AJ3" s="82"/>
      <c r="AK3" s="88" t="s">
        <v>304</v>
      </c>
      <c r="AL3" s="82" t="b">
        <v>0</v>
      </c>
      <c r="AM3" s="82">
        <v>2</v>
      </c>
      <c r="AN3" s="88" t="s">
        <v>290</v>
      </c>
      <c r="AO3" s="88" t="s">
        <v>305</v>
      </c>
      <c r="AP3" s="82" t="b">
        <v>0</v>
      </c>
      <c r="AQ3" s="88" t="s">
        <v>290</v>
      </c>
      <c r="AR3" s="82" t="s">
        <v>219</v>
      </c>
      <c r="AS3" s="82">
        <v>0</v>
      </c>
      <c r="AT3" s="82">
        <v>0</v>
      </c>
      <c r="AU3" s="82"/>
      <c r="AV3" s="82"/>
      <c r="AW3" s="82"/>
      <c r="AX3" s="82"/>
      <c r="AY3" s="82"/>
      <c r="AZ3" s="82"/>
      <c r="BA3" s="82"/>
      <c r="BB3" s="82"/>
      <c r="BC3">
        <v>1</v>
      </c>
      <c r="BD3" s="82" t="str">
        <f>REPLACE(INDEX(GroupVertices[Group],MATCH(Edges25[[#This Row],[Vertex 1]],GroupVertices[Vertex],0)),1,1,"")</f>
        <v>2</v>
      </c>
      <c r="BE3" s="82" t="str">
        <f>REPLACE(INDEX(GroupVertices[Group],MATCH(Edges25[[#This Row],[Vertex 2]],GroupVertices[Vertex],0)),1,1,"")</f>
        <v>1</v>
      </c>
      <c r="BF3" s="51"/>
      <c r="BG3" s="52"/>
      <c r="BH3" s="51"/>
      <c r="BI3" s="52"/>
      <c r="BJ3" s="51"/>
      <c r="BK3" s="52"/>
      <c r="BL3" s="51"/>
      <c r="BM3" s="52"/>
      <c r="BN3" s="51"/>
    </row>
    <row r="4" spans="1:66" ht="15" customHeight="1">
      <c r="A4" s="81" t="s">
        <v>258</v>
      </c>
      <c r="B4" s="81" t="s">
        <v>267</v>
      </c>
      <c r="C4" s="53"/>
      <c r="D4" s="54"/>
      <c r="E4" s="53"/>
      <c r="F4" s="55"/>
      <c r="G4" s="53"/>
      <c r="H4" s="57"/>
      <c r="I4" s="56"/>
      <c r="J4" s="56"/>
      <c r="K4" s="36" t="s">
        <v>65</v>
      </c>
      <c r="L4" s="62">
        <v>8</v>
      </c>
      <c r="M4" s="62"/>
      <c r="N4" s="63"/>
      <c r="O4" s="83" t="s">
        <v>269</v>
      </c>
      <c r="P4" s="85">
        <v>44704.662824074076</v>
      </c>
      <c r="Q4" s="83" t="s">
        <v>274</v>
      </c>
      <c r="R4" s="83"/>
      <c r="S4" s="83"/>
      <c r="T4" s="89" t="s">
        <v>279</v>
      </c>
      <c r="U4" s="87" t="str">
        <f>HYPERLINK("https://pbs.twimg.com/media/FTbBlmNacAEj0Qb.jpg")</f>
        <v>https://pbs.twimg.com/media/FTbBlmNacAEj0Qb.jpg</v>
      </c>
      <c r="V4" s="87" t="str">
        <f>HYPERLINK("https://pbs.twimg.com/media/FTbBlmNacAEj0Qb.jpg")</f>
        <v>https://pbs.twimg.com/media/FTbBlmNacAEj0Qb.jpg</v>
      </c>
      <c r="W4" s="85">
        <v>44704.662824074076</v>
      </c>
      <c r="X4" s="91">
        <v>44704</v>
      </c>
      <c r="Y4" s="89" t="s">
        <v>281</v>
      </c>
      <c r="Z4" s="87" t="str">
        <f>HYPERLINK("https://twitter.com/drmiryounis/status/1528766318656118785")</f>
        <v>https://twitter.com/drmiryounis/status/1528766318656118785</v>
      </c>
      <c r="AA4" s="83"/>
      <c r="AB4" s="83"/>
      <c r="AC4" s="89" t="s">
        <v>289</v>
      </c>
      <c r="AD4" s="83"/>
      <c r="AE4" s="83" t="b">
        <v>0</v>
      </c>
      <c r="AF4" s="83">
        <v>0</v>
      </c>
      <c r="AG4" s="89" t="s">
        <v>299</v>
      </c>
      <c r="AH4" s="83" t="b">
        <v>0</v>
      </c>
      <c r="AI4" s="83" t="s">
        <v>303</v>
      </c>
      <c r="AJ4" s="83"/>
      <c r="AK4" s="89" t="s">
        <v>299</v>
      </c>
      <c r="AL4" s="83" t="b">
        <v>0</v>
      </c>
      <c r="AM4" s="83">
        <v>2</v>
      </c>
      <c r="AN4" s="89" t="s">
        <v>292</v>
      </c>
      <c r="AO4" s="89" t="s">
        <v>306</v>
      </c>
      <c r="AP4" s="83" t="b">
        <v>0</v>
      </c>
      <c r="AQ4" s="89" t="s">
        <v>292</v>
      </c>
      <c r="AR4" s="83" t="s">
        <v>219</v>
      </c>
      <c r="AS4" s="83">
        <v>0</v>
      </c>
      <c r="AT4" s="83">
        <v>0</v>
      </c>
      <c r="AU4" s="83"/>
      <c r="AV4" s="83"/>
      <c r="AW4" s="83"/>
      <c r="AX4" s="83"/>
      <c r="AY4" s="83"/>
      <c r="AZ4" s="83"/>
      <c r="BA4" s="83"/>
      <c r="BB4" s="83"/>
      <c r="BC4">
        <v>1</v>
      </c>
      <c r="BD4" s="82" t="str">
        <f>REPLACE(INDEX(GroupVertices[Group],MATCH(Edges25[[#This Row],[Vertex 1]],GroupVertices[Vertex],0)),1,1,"")</f>
        <v>1</v>
      </c>
      <c r="BE4" s="82" t="str">
        <f>REPLACE(INDEX(GroupVertices[Group],MATCH(Edges25[[#This Row],[Vertex 2]],GroupVertices[Vertex],0)),1,1,"")</f>
        <v>1</v>
      </c>
      <c r="BF4" s="51"/>
      <c r="BG4" s="52"/>
      <c r="BH4" s="51"/>
      <c r="BI4" s="52"/>
      <c r="BJ4" s="51"/>
      <c r="BK4" s="52"/>
      <c r="BL4" s="51"/>
      <c r="BM4" s="52"/>
      <c r="BN4" s="51"/>
    </row>
    <row r="5" spans="1:66" ht="15">
      <c r="A5" s="81" t="s">
        <v>259</v>
      </c>
      <c r="B5" s="81" t="s">
        <v>264</v>
      </c>
      <c r="C5" s="53"/>
      <c r="D5" s="54"/>
      <c r="E5" s="53"/>
      <c r="F5" s="55"/>
      <c r="G5" s="53"/>
      <c r="H5" s="57"/>
      <c r="I5" s="56"/>
      <c r="J5" s="56"/>
      <c r="K5" s="36" t="s">
        <v>65</v>
      </c>
      <c r="L5" s="62">
        <v>10</v>
      </c>
      <c r="M5" s="62"/>
      <c r="N5" s="63"/>
      <c r="O5" s="83" t="s">
        <v>271</v>
      </c>
      <c r="P5" s="85">
        <v>44704.214155092595</v>
      </c>
      <c r="Q5" s="83" t="s">
        <v>273</v>
      </c>
      <c r="R5" s="87" t="str">
        <f>HYPERLINK("https://twitter.com/SavvyVanuatu/status/1528525324421541888")</f>
        <v>https://twitter.com/SavvyVanuatu/status/1528525324421541888</v>
      </c>
      <c r="S5" s="83" t="s">
        <v>277</v>
      </c>
      <c r="T5" s="89" t="s">
        <v>278</v>
      </c>
      <c r="U5" s="83"/>
      <c r="V5" s="87" t="str">
        <f>HYPERLINK("https://pbs.twimg.com/profile_images/1297989560971014145/NrsqUm9u_normal.jpg")</f>
        <v>https://pbs.twimg.com/profile_images/1297989560971014145/NrsqUm9u_normal.jpg</v>
      </c>
      <c r="W5" s="85">
        <v>44704.214155092595</v>
      </c>
      <c r="X5" s="91">
        <v>44704</v>
      </c>
      <c r="Y5" s="89" t="s">
        <v>282</v>
      </c>
      <c r="Z5" s="87" t="str">
        <f>HYPERLINK("https://twitter.com/valespinedi/status/1528603726130208769")</f>
        <v>https://twitter.com/valespinedi/status/1528603726130208769</v>
      </c>
      <c r="AA5" s="83"/>
      <c r="AB5" s="83"/>
      <c r="AC5" s="89" t="s">
        <v>290</v>
      </c>
      <c r="AD5" s="83"/>
      <c r="AE5" s="83" t="b">
        <v>0</v>
      </c>
      <c r="AF5" s="83">
        <v>3</v>
      </c>
      <c r="AG5" s="89" t="s">
        <v>299</v>
      </c>
      <c r="AH5" s="83" t="b">
        <v>1</v>
      </c>
      <c r="AI5" s="83" t="s">
        <v>303</v>
      </c>
      <c r="AJ5" s="83"/>
      <c r="AK5" s="89" t="s">
        <v>304</v>
      </c>
      <c r="AL5" s="83" t="b">
        <v>0</v>
      </c>
      <c r="AM5" s="83">
        <v>2</v>
      </c>
      <c r="AN5" s="89" t="s">
        <v>299</v>
      </c>
      <c r="AO5" s="89" t="s">
        <v>307</v>
      </c>
      <c r="AP5" s="83" t="b">
        <v>0</v>
      </c>
      <c r="AQ5" s="89" t="s">
        <v>290</v>
      </c>
      <c r="AR5" s="83" t="s">
        <v>219</v>
      </c>
      <c r="AS5" s="83">
        <v>0</v>
      </c>
      <c r="AT5" s="83">
        <v>0</v>
      </c>
      <c r="AU5" s="83"/>
      <c r="AV5" s="83"/>
      <c r="AW5" s="83"/>
      <c r="AX5" s="83"/>
      <c r="AY5" s="83"/>
      <c r="AZ5" s="83"/>
      <c r="BA5" s="83"/>
      <c r="BB5" s="83"/>
      <c r="BC5">
        <v>1</v>
      </c>
      <c r="BD5" s="82" t="str">
        <f>REPLACE(INDEX(GroupVertices[Group],MATCH(Edges25[[#This Row],[Vertex 1]],GroupVertices[Vertex],0)),1,1,"")</f>
        <v>2</v>
      </c>
      <c r="BE5" s="82" t="str">
        <f>REPLACE(INDEX(GroupVertices[Group],MATCH(Edges25[[#This Row],[Vertex 2]],GroupVertices[Vertex],0)),1,1,"")</f>
        <v>2</v>
      </c>
      <c r="BF5" s="51"/>
      <c r="BG5" s="52"/>
      <c r="BH5" s="51"/>
      <c r="BI5" s="52"/>
      <c r="BJ5" s="51"/>
      <c r="BK5" s="52"/>
      <c r="BL5" s="51"/>
      <c r="BM5" s="52"/>
      <c r="BN5" s="51"/>
    </row>
    <row r="6" spans="1:66" ht="15">
      <c r="A6" s="81" t="s">
        <v>260</v>
      </c>
      <c r="B6" s="81" t="s">
        <v>264</v>
      </c>
      <c r="C6" s="53"/>
      <c r="D6" s="54"/>
      <c r="E6" s="53"/>
      <c r="F6" s="55"/>
      <c r="G6" s="53"/>
      <c r="H6" s="57"/>
      <c r="I6" s="56"/>
      <c r="J6" s="56"/>
      <c r="K6" s="36" t="s">
        <v>65</v>
      </c>
      <c r="L6" s="62">
        <v>11</v>
      </c>
      <c r="M6" s="62"/>
      <c r="N6" s="63"/>
      <c r="O6" s="83" t="s">
        <v>269</v>
      </c>
      <c r="P6" s="85">
        <v>44704.92990740741</v>
      </c>
      <c r="Q6" s="83" t="s">
        <v>273</v>
      </c>
      <c r="R6" s="87" t="str">
        <f>HYPERLINK("https://twitter.com/SavvyVanuatu/status/1528525324421541888")</f>
        <v>https://twitter.com/SavvyVanuatu/status/1528525324421541888</v>
      </c>
      <c r="S6" s="83" t="s">
        <v>277</v>
      </c>
      <c r="T6" s="89" t="s">
        <v>278</v>
      </c>
      <c r="U6" s="83"/>
      <c r="V6" s="87" t="str">
        <f>HYPERLINK("https://pbs.twimg.com/profile_images/1440837918835163137/ccHKl4E4_normal.jpg")</f>
        <v>https://pbs.twimg.com/profile_images/1440837918835163137/ccHKl4E4_normal.jpg</v>
      </c>
      <c r="W6" s="85">
        <v>44704.92990740741</v>
      </c>
      <c r="X6" s="91">
        <v>44704</v>
      </c>
      <c r="Y6" s="89" t="s">
        <v>283</v>
      </c>
      <c r="Z6" s="87" t="str">
        <f>HYPERLINK("https://twitter.com/floridatlango/status/1528863106243657728")</f>
        <v>https://twitter.com/floridatlango/status/1528863106243657728</v>
      </c>
      <c r="AA6" s="83"/>
      <c r="AB6" s="83"/>
      <c r="AC6" s="89" t="s">
        <v>291</v>
      </c>
      <c r="AD6" s="83"/>
      <c r="AE6" s="83" t="b">
        <v>0</v>
      </c>
      <c r="AF6" s="83">
        <v>0</v>
      </c>
      <c r="AG6" s="89" t="s">
        <v>299</v>
      </c>
      <c r="AH6" s="83" t="b">
        <v>1</v>
      </c>
      <c r="AI6" s="83" t="s">
        <v>303</v>
      </c>
      <c r="AJ6" s="83"/>
      <c r="AK6" s="89" t="s">
        <v>304</v>
      </c>
      <c r="AL6" s="83" t="b">
        <v>0</v>
      </c>
      <c r="AM6" s="83">
        <v>2</v>
      </c>
      <c r="AN6" s="89" t="s">
        <v>290</v>
      </c>
      <c r="AO6" s="89" t="s">
        <v>306</v>
      </c>
      <c r="AP6" s="83" t="b">
        <v>0</v>
      </c>
      <c r="AQ6" s="89" t="s">
        <v>290</v>
      </c>
      <c r="AR6" s="83" t="s">
        <v>219</v>
      </c>
      <c r="AS6" s="83">
        <v>0</v>
      </c>
      <c r="AT6" s="83">
        <v>0</v>
      </c>
      <c r="AU6" s="83"/>
      <c r="AV6" s="83"/>
      <c r="AW6" s="83"/>
      <c r="AX6" s="83"/>
      <c r="AY6" s="83"/>
      <c r="AZ6" s="83"/>
      <c r="BA6" s="83"/>
      <c r="BB6" s="83"/>
      <c r="BC6">
        <v>1</v>
      </c>
      <c r="BD6" s="82" t="str">
        <f>REPLACE(INDEX(GroupVertices[Group],MATCH(Edges25[[#This Row],[Vertex 1]],GroupVertices[Vertex],0)),1,1,"")</f>
        <v>2</v>
      </c>
      <c r="BE6" s="82" t="str">
        <f>REPLACE(INDEX(GroupVertices[Group],MATCH(Edges25[[#This Row],[Vertex 2]],GroupVertices[Vertex],0)),1,1,"")</f>
        <v>2</v>
      </c>
      <c r="BF6" s="51"/>
      <c r="BG6" s="52"/>
      <c r="BH6" s="51"/>
      <c r="BI6" s="52"/>
      <c r="BJ6" s="51"/>
      <c r="BK6" s="52"/>
      <c r="BL6" s="51"/>
      <c r="BM6" s="52"/>
      <c r="BN6" s="51"/>
    </row>
    <row r="7" spans="1:66" ht="15">
      <c r="A7" s="81" t="s">
        <v>261</v>
      </c>
      <c r="B7" s="81" t="s">
        <v>267</v>
      </c>
      <c r="C7" s="53"/>
      <c r="D7" s="54"/>
      <c r="E7" s="53"/>
      <c r="F7" s="55"/>
      <c r="G7" s="53"/>
      <c r="H7" s="57"/>
      <c r="I7" s="56"/>
      <c r="J7" s="56"/>
      <c r="K7" s="36" t="s">
        <v>65</v>
      </c>
      <c r="L7" s="62">
        <v>19</v>
      </c>
      <c r="M7" s="62"/>
      <c r="N7" s="63"/>
      <c r="O7" s="83" t="s">
        <v>271</v>
      </c>
      <c r="P7" s="85">
        <v>44704.265555555554</v>
      </c>
      <c r="Q7" s="83" t="s">
        <v>274</v>
      </c>
      <c r="R7" s="83"/>
      <c r="S7" s="83"/>
      <c r="T7" s="89" t="s">
        <v>279</v>
      </c>
      <c r="U7" s="87" t="str">
        <f>HYPERLINK("https://pbs.twimg.com/media/FTbBlmNacAEj0Qb.jpg")</f>
        <v>https://pbs.twimg.com/media/FTbBlmNacAEj0Qb.jpg</v>
      </c>
      <c r="V7" s="87" t="str">
        <f>HYPERLINK("https://pbs.twimg.com/media/FTbBlmNacAEj0Qb.jpg")</f>
        <v>https://pbs.twimg.com/media/FTbBlmNacAEj0Qb.jpg</v>
      </c>
      <c r="W7" s="85">
        <v>44704.265555555554</v>
      </c>
      <c r="X7" s="91">
        <v>44704</v>
      </c>
      <c r="Y7" s="89" t="s">
        <v>284</v>
      </c>
      <c r="Z7" s="87" t="str">
        <f>HYPERLINK("https://twitter.com/unescap/status/1528622354624290816")</f>
        <v>https://twitter.com/unescap/status/1528622354624290816</v>
      </c>
      <c r="AA7" s="83"/>
      <c r="AB7" s="83"/>
      <c r="AC7" s="89" t="s">
        <v>292</v>
      </c>
      <c r="AD7" s="89" t="s">
        <v>296</v>
      </c>
      <c r="AE7" s="83" t="b">
        <v>0</v>
      </c>
      <c r="AF7" s="83">
        <v>4</v>
      </c>
      <c r="AG7" s="89" t="s">
        <v>300</v>
      </c>
      <c r="AH7" s="83" t="b">
        <v>0</v>
      </c>
      <c r="AI7" s="83" t="s">
        <v>303</v>
      </c>
      <c r="AJ7" s="83"/>
      <c r="AK7" s="89" t="s">
        <v>299</v>
      </c>
      <c r="AL7" s="83" t="b">
        <v>0</v>
      </c>
      <c r="AM7" s="83">
        <v>2</v>
      </c>
      <c r="AN7" s="89" t="s">
        <v>299</v>
      </c>
      <c r="AO7" s="89" t="s">
        <v>305</v>
      </c>
      <c r="AP7" s="83" t="b">
        <v>0</v>
      </c>
      <c r="AQ7" s="89" t="s">
        <v>296</v>
      </c>
      <c r="AR7" s="83" t="s">
        <v>219</v>
      </c>
      <c r="AS7" s="83">
        <v>0</v>
      </c>
      <c r="AT7" s="83">
        <v>0</v>
      </c>
      <c r="AU7" s="83"/>
      <c r="AV7" s="83"/>
      <c r="AW7" s="83"/>
      <c r="AX7" s="83"/>
      <c r="AY7" s="83"/>
      <c r="AZ7" s="83"/>
      <c r="BA7" s="83"/>
      <c r="BB7" s="83"/>
      <c r="BC7">
        <v>1</v>
      </c>
      <c r="BD7" s="82" t="str">
        <f>REPLACE(INDEX(GroupVertices[Group],MATCH(Edges25[[#This Row],[Vertex 1]],GroupVertices[Vertex],0)),1,1,"")</f>
        <v>1</v>
      </c>
      <c r="BE7" s="82" t="str">
        <f>REPLACE(INDEX(GroupVertices[Group],MATCH(Edges25[[#This Row],[Vertex 2]],GroupVertices[Vertex],0)),1,1,"")</f>
        <v>1</v>
      </c>
      <c r="BF7" s="51">
        <v>4</v>
      </c>
      <c r="BG7" s="52">
        <v>12.121212121212121</v>
      </c>
      <c r="BH7" s="51">
        <v>0</v>
      </c>
      <c r="BI7" s="52">
        <v>0</v>
      </c>
      <c r="BJ7" s="51">
        <v>0</v>
      </c>
      <c r="BK7" s="52">
        <v>0</v>
      </c>
      <c r="BL7" s="51">
        <v>29</v>
      </c>
      <c r="BM7" s="52">
        <v>87.87878787878788</v>
      </c>
      <c r="BN7" s="51">
        <v>33</v>
      </c>
    </row>
    <row r="8" spans="1:66" ht="15">
      <c r="A8" s="81" t="s">
        <v>262</v>
      </c>
      <c r="B8" s="81" t="s">
        <v>261</v>
      </c>
      <c r="C8" s="53"/>
      <c r="D8" s="54"/>
      <c r="E8" s="53"/>
      <c r="F8" s="55"/>
      <c r="G8" s="53"/>
      <c r="H8" s="57"/>
      <c r="I8" s="56"/>
      <c r="J8" s="56"/>
      <c r="K8" s="36" t="s">
        <v>65</v>
      </c>
      <c r="L8" s="62">
        <v>20</v>
      </c>
      <c r="M8" s="62"/>
      <c r="N8" s="63"/>
      <c r="O8" s="83" t="s">
        <v>270</v>
      </c>
      <c r="P8" s="85">
        <v>44705.49633101852</v>
      </c>
      <c r="Q8" s="83" t="s">
        <v>274</v>
      </c>
      <c r="R8" s="83"/>
      <c r="S8" s="83"/>
      <c r="T8" s="89" t="s">
        <v>279</v>
      </c>
      <c r="U8" s="87" t="str">
        <f>HYPERLINK("https://pbs.twimg.com/media/FTbBlmNacAEj0Qb.jpg")</f>
        <v>https://pbs.twimg.com/media/FTbBlmNacAEj0Qb.jpg</v>
      </c>
      <c r="V8" s="87" t="str">
        <f>HYPERLINK("https://pbs.twimg.com/media/FTbBlmNacAEj0Qb.jpg")</f>
        <v>https://pbs.twimg.com/media/FTbBlmNacAEj0Qb.jpg</v>
      </c>
      <c r="W8" s="85">
        <v>44705.49633101852</v>
      </c>
      <c r="X8" s="91">
        <v>44705</v>
      </c>
      <c r="Y8" s="89" t="s">
        <v>285</v>
      </c>
      <c r="Z8" s="87" t="str">
        <f>HYPERLINK("https://twitter.com/jmdjossoujean/status/1529068373321125889")</f>
        <v>https://twitter.com/jmdjossoujean/status/1529068373321125889</v>
      </c>
      <c r="AA8" s="83"/>
      <c r="AB8" s="83"/>
      <c r="AC8" s="89" t="s">
        <v>293</v>
      </c>
      <c r="AD8" s="83"/>
      <c r="AE8" s="83" t="b">
        <v>0</v>
      </c>
      <c r="AF8" s="83">
        <v>0</v>
      </c>
      <c r="AG8" s="89" t="s">
        <v>299</v>
      </c>
      <c r="AH8" s="83" t="b">
        <v>0</v>
      </c>
      <c r="AI8" s="83" t="s">
        <v>303</v>
      </c>
      <c r="AJ8" s="83"/>
      <c r="AK8" s="89" t="s">
        <v>299</v>
      </c>
      <c r="AL8" s="83" t="b">
        <v>0</v>
      </c>
      <c r="AM8" s="83">
        <v>2</v>
      </c>
      <c r="AN8" s="89" t="s">
        <v>292</v>
      </c>
      <c r="AO8" s="89" t="s">
        <v>305</v>
      </c>
      <c r="AP8" s="83" t="b">
        <v>0</v>
      </c>
      <c r="AQ8" s="89" t="s">
        <v>292</v>
      </c>
      <c r="AR8" s="83" t="s">
        <v>219</v>
      </c>
      <c r="AS8" s="83">
        <v>0</v>
      </c>
      <c r="AT8" s="83">
        <v>0</v>
      </c>
      <c r="AU8" s="83"/>
      <c r="AV8" s="83"/>
      <c r="AW8" s="83"/>
      <c r="AX8" s="83"/>
      <c r="AY8" s="83"/>
      <c r="AZ8" s="83"/>
      <c r="BA8" s="83"/>
      <c r="BB8" s="83"/>
      <c r="BC8">
        <v>1</v>
      </c>
      <c r="BD8" s="82" t="str">
        <f>REPLACE(INDEX(GroupVertices[Group],MATCH(Edges25[[#This Row],[Vertex 1]],GroupVertices[Vertex],0)),1,1,"")</f>
        <v>1</v>
      </c>
      <c r="BE8" s="82" t="str">
        <f>REPLACE(INDEX(GroupVertices[Group],MATCH(Edges25[[#This Row],[Vertex 2]],GroupVertices[Vertex],0)),1,1,"")</f>
        <v>1</v>
      </c>
      <c r="BF8" s="51"/>
      <c r="BG8" s="52"/>
      <c r="BH8" s="51"/>
      <c r="BI8" s="52"/>
      <c r="BJ8" s="51"/>
      <c r="BK8" s="52"/>
      <c r="BL8" s="51"/>
      <c r="BM8" s="52"/>
      <c r="BN8" s="51"/>
    </row>
    <row r="9" spans="1:66" ht="15">
      <c r="A9" s="81" t="s">
        <v>263</v>
      </c>
      <c r="B9" s="81" t="s">
        <v>267</v>
      </c>
      <c r="C9" s="53"/>
      <c r="D9" s="54"/>
      <c r="E9" s="53"/>
      <c r="F9" s="55"/>
      <c r="G9" s="53"/>
      <c r="H9" s="57"/>
      <c r="I9" s="56"/>
      <c r="J9" s="56"/>
      <c r="K9" s="36" t="s">
        <v>65</v>
      </c>
      <c r="L9" s="62">
        <v>22</v>
      </c>
      <c r="M9" s="62"/>
      <c r="N9" s="63"/>
      <c r="O9" s="83" t="s">
        <v>272</v>
      </c>
      <c r="P9" s="85">
        <v>44707.1528587963</v>
      </c>
      <c r="Q9" s="83" t="s">
        <v>275</v>
      </c>
      <c r="R9" s="83"/>
      <c r="S9" s="83"/>
      <c r="T9" s="83"/>
      <c r="U9" s="83"/>
      <c r="V9" s="87" t="str">
        <f>HYPERLINK("https://pbs.twimg.com/profile_images/1515064205858074624/e6bEAhlH_normal.jpg")</f>
        <v>https://pbs.twimg.com/profile_images/1515064205858074624/e6bEAhlH_normal.jpg</v>
      </c>
      <c r="W9" s="85">
        <v>44707.1528587963</v>
      </c>
      <c r="X9" s="91">
        <v>44707</v>
      </c>
      <c r="Y9" s="89" t="s">
        <v>286</v>
      </c>
      <c r="Z9" s="87" t="str">
        <f>HYPERLINK("https://twitter.com/florarantakari/status/1529668677674541056")</f>
        <v>https://twitter.com/florarantakari/status/1529668677674541056</v>
      </c>
      <c r="AA9" s="83"/>
      <c r="AB9" s="83"/>
      <c r="AC9" s="89" t="s">
        <v>294</v>
      </c>
      <c r="AD9" s="89" t="s">
        <v>297</v>
      </c>
      <c r="AE9" s="83" t="b">
        <v>0</v>
      </c>
      <c r="AF9" s="83">
        <v>0</v>
      </c>
      <c r="AG9" s="89" t="s">
        <v>301</v>
      </c>
      <c r="AH9" s="83" t="b">
        <v>0</v>
      </c>
      <c r="AI9" s="83" t="s">
        <v>303</v>
      </c>
      <c r="AJ9" s="83"/>
      <c r="AK9" s="89" t="s">
        <v>299</v>
      </c>
      <c r="AL9" s="83" t="b">
        <v>0</v>
      </c>
      <c r="AM9" s="83">
        <v>0</v>
      </c>
      <c r="AN9" s="89" t="s">
        <v>299</v>
      </c>
      <c r="AO9" s="89" t="s">
        <v>305</v>
      </c>
      <c r="AP9" s="83" t="b">
        <v>0</v>
      </c>
      <c r="AQ9" s="89" t="s">
        <v>297</v>
      </c>
      <c r="AR9" s="83" t="s">
        <v>219</v>
      </c>
      <c r="AS9" s="83">
        <v>0</v>
      </c>
      <c r="AT9" s="83">
        <v>0</v>
      </c>
      <c r="AU9" s="83"/>
      <c r="AV9" s="83"/>
      <c r="AW9" s="83"/>
      <c r="AX9" s="83"/>
      <c r="AY9" s="83"/>
      <c r="AZ9" s="83"/>
      <c r="BA9" s="83"/>
      <c r="BB9" s="83"/>
      <c r="BC9">
        <v>2</v>
      </c>
      <c r="BD9" s="82" t="str">
        <f>REPLACE(INDEX(GroupVertices[Group],MATCH(Edges25[[#This Row],[Vertex 1]],GroupVertices[Vertex],0)),1,1,"")</f>
        <v>1</v>
      </c>
      <c r="BE9" s="82" t="str">
        <f>REPLACE(INDEX(GroupVertices[Group],MATCH(Edges25[[#This Row],[Vertex 2]],GroupVertices[Vertex],0)),1,1,"")</f>
        <v>1</v>
      </c>
      <c r="BF9" s="51">
        <v>1</v>
      </c>
      <c r="BG9" s="52">
        <v>4.166666666666667</v>
      </c>
      <c r="BH9" s="51">
        <v>0</v>
      </c>
      <c r="BI9" s="52">
        <v>0</v>
      </c>
      <c r="BJ9" s="51">
        <v>0</v>
      </c>
      <c r="BK9" s="52">
        <v>0</v>
      </c>
      <c r="BL9" s="51">
        <v>23</v>
      </c>
      <c r="BM9" s="52">
        <v>95.83333333333333</v>
      </c>
      <c r="BN9" s="51">
        <v>24</v>
      </c>
    </row>
    <row r="10" spans="1:66" ht="15">
      <c r="A10" s="81" t="s">
        <v>263</v>
      </c>
      <c r="B10" s="81" t="s">
        <v>267</v>
      </c>
      <c r="C10" s="53"/>
      <c r="D10" s="54"/>
      <c r="E10" s="53"/>
      <c r="F10" s="55"/>
      <c r="G10" s="53"/>
      <c r="H10" s="57"/>
      <c r="I10" s="56"/>
      <c r="J10" s="56"/>
      <c r="K10" s="36" t="s">
        <v>65</v>
      </c>
      <c r="L10" s="62">
        <v>23</v>
      </c>
      <c r="M10" s="62"/>
      <c r="N10" s="63"/>
      <c r="O10" s="83" t="s">
        <v>271</v>
      </c>
      <c r="P10" s="85">
        <v>44707.15369212963</v>
      </c>
      <c r="Q10" s="83" t="s">
        <v>276</v>
      </c>
      <c r="R10" s="83"/>
      <c r="S10" s="83"/>
      <c r="T10" s="83"/>
      <c r="U10" s="83"/>
      <c r="V10" s="87" t="str">
        <f>HYPERLINK("https://pbs.twimg.com/profile_images/1515064205858074624/e6bEAhlH_normal.jpg")</f>
        <v>https://pbs.twimg.com/profile_images/1515064205858074624/e6bEAhlH_normal.jpg</v>
      </c>
      <c r="W10" s="85">
        <v>44707.15369212963</v>
      </c>
      <c r="X10" s="91">
        <v>44707</v>
      </c>
      <c r="Y10" s="89" t="s">
        <v>287</v>
      </c>
      <c r="Z10" s="87" t="str">
        <f>HYPERLINK("https://twitter.com/florarantakari/status/1529668979186225152")</f>
        <v>https://twitter.com/florarantakari/status/1529668979186225152</v>
      </c>
      <c r="AA10" s="83"/>
      <c r="AB10" s="83"/>
      <c r="AC10" s="89" t="s">
        <v>295</v>
      </c>
      <c r="AD10" s="89" t="s">
        <v>298</v>
      </c>
      <c r="AE10" s="83" t="b">
        <v>0</v>
      </c>
      <c r="AF10" s="83">
        <v>0</v>
      </c>
      <c r="AG10" s="89" t="s">
        <v>302</v>
      </c>
      <c r="AH10" s="83" t="b">
        <v>0</v>
      </c>
      <c r="AI10" s="83" t="s">
        <v>303</v>
      </c>
      <c r="AJ10" s="83"/>
      <c r="AK10" s="89" t="s">
        <v>299</v>
      </c>
      <c r="AL10" s="83" t="b">
        <v>0</v>
      </c>
      <c r="AM10" s="83">
        <v>0</v>
      </c>
      <c r="AN10" s="89" t="s">
        <v>299</v>
      </c>
      <c r="AO10" s="89" t="s">
        <v>305</v>
      </c>
      <c r="AP10" s="83" t="b">
        <v>0</v>
      </c>
      <c r="AQ10" s="89" t="s">
        <v>298</v>
      </c>
      <c r="AR10" s="83" t="s">
        <v>219</v>
      </c>
      <c r="AS10" s="83">
        <v>0</v>
      </c>
      <c r="AT10" s="83">
        <v>0</v>
      </c>
      <c r="AU10" s="83"/>
      <c r="AV10" s="83"/>
      <c r="AW10" s="83"/>
      <c r="AX10" s="83"/>
      <c r="AY10" s="83"/>
      <c r="AZ10" s="83"/>
      <c r="BA10" s="83"/>
      <c r="BB10" s="83"/>
      <c r="BC10">
        <v>2</v>
      </c>
      <c r="BD10" s="82" t="str">
        <f>REPLACE(INDEX(GroupVertices[Group],MATCH(Edges25[[#This Row],[Vertex 1]],GroupVertices[Vertex],0)),1,1,"")</f>
        <v>1</v>
      </c>
      <c r="BE10" s="82" t="str">
        <f>REPLACE(INDEX(GroupVertices[Group],MATCH(Edges25[[#This Row],[Vertex 2]],GroupVertices[Vertex],0)),1,1,"")</f>
        <v>1</v>
      </c>
      <c r="BF10" s="51"/>
      <c r="BG10" s="52"/>
      <c r="BH10" s="51"/>
      <c r="BI10" s="52"/>
      <c r="BJ10" s="51"/>
      <c r="BK10" s="52"/>
      <c r="BL10" s="51"/>
      <c r="BM10" s="52"/>
      <c r="BN10" s="51"/>
    </row>
    <row r="11" spans="1:11" ht="15">
      <c r="A11"/>
      <c r="B11"/>
      <c r="C11"/>
      <c r="D11"/>
      <c r="E11"/>
      <c r="F11"/>
      <c r="G11"/>
      <c r="H11"/>
      <c r="I11"/>
      <c r="J11"/>
      <c r="K11"/>
    </row>
    <row r="12" spans="1:11" ht="15">
      <c r="A12"/>
      <c r="B12"/>
      <c r="C12"/>
      <c r="D12"/>
      <c r="E12"/>
      <c r="F12"/>
      <c r="G12"/>
      <c r="H12"/>
      <c r="I12"/>
      <c r="J12"/>
      <c r="K12"/>
    </row>
    <row r="13" spans="1:11" ht="15">
      <c r="A13"/>
      <c r="B13"/>
      <c r="C13"/>
      <c r="D13"/>
      <c r="E13"/>
      <c r="F13"/>
      <c r="G13"/>
      <c r="H13"/>
      <c r="I13"/>
      <c r="J13"/>
      <c r="K13"/>
    </row>
    <row r="14" spans="1:11" ht="15">
      <c r="A14"/>
      <c r="B14"/>
      <c r="C14"/>
      <c r="D14"/>
      <c r="E14"/>
      <c r="F14"/>
      <c r="G14"/>
      <c r="H14"/>
      <c r="I14"/>
      <c r="J14"/>
      <c r="K14"/>
    </row>
    <row r="15" spans="1:11" ht="15">
      <c r="A15"/>
      <c r="B15"/>
      <c r="C15"/>
      <c r="D15"/>
      <c r="E15"/>
      <c r="F15"/>
      <c r="G15"/>
      <c r="H15"/>
      <c r="I15"/>
      <c r="J15"/>
      <c r="K15"/>
    </row>
    <row r="16" spans="1:11" ht="15">
      <c r="A16"/>
      <c r="B16"/>
      <c r="C16"/>
      <c r="D16"/>
      <c r="E16"/>
      <c r="F16"/>
      <c r="G16"/>
      <c r="H16"/>
      <c r="I16"/>
      <c r="J16"/>
      <c r="K16"/>
    </row>
    <row r="17" ht="15"/>
    <row r="18" ht="15"/>
    <row r="19" ht="15"/>
    <row r="20" ht="15"/>
    <row r="21" ht="15"/>
    <row r="22" ht="15"/>
    <row r="23" ht="15"/>
    <row r="24"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
    <dataValidation allowBlank="1" showInputMessage="1" showErrorMessage="1" promptTitle="Vertex 2 Name" prompt="Enter the name of the edge's second vertex." sqref="B3:B10"/>
    <dataValidation allowBlank="1" showInputMessage="1" showErrorMessage="1" promptTitle="Vertex 1 Name" prompt="Enter the name of the edge's first vertex." sqref="A3:A1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
    <dataValidation allowBlank="1" showInputMessage="1" promptTitle="Edge Width" prompt="Enter an optional edge width between 1 and 10." errorTitle="Invalid Edge Width" error="The optional edge width must be a whole number between 1 and 10." sqref="D3:D10"/>
    <dataValidation allowBlank="1" showInputMessage="1" promptTitle="Edge Color" prompt="To select an optional edge color, right-click and select Select Color on the right-click menu." sqref="C3:C1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
    <dataValidation allowBlank="1" showErrorMessage="1" sqref="N2:N1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
  </dataValidations>
  <printOptions/>
  <pageMargins left="0.7" right="0.7" top="0.75" bottom="0.75" header="0.3" footer="0.3"/>
  <pageSetup horizontalDpi="600" verticalDpi="600" orientation="portrait" r:id="rId4"/>
  <legacyDrawing r:id="rId2"/>
  <tableParts>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E13C-117E-4F8D-B23F-9D42627BCD4D}">
  <dimension ref="A1:F69"/>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s>
  <sheetData>
    <row r="1" spans="1:6" ht="14.4" customHeight="1">
      <c r="A1" s="13" t="s">
        <v>504</v>
      </c>
      <c r="B1" s="13" t="s">
        <v>506</v>
      </c>
      <c r="C1" s="82" t="s">
        <v>507</v>
      </c>
      <c r="D1" s="82" t="s">
        <v>509</v>
      </c>
      <c r="E1" s="13" t="s">
        <v>508</v>
      </c>
      <c r="F1" s="13" t="s">
        <v>510</v>
      </c>
    </row>
    <row r="2" spans="1:6" ht="15">
      <c r="A2" s="86" t="s">
        <v>505</v>
      </c>
      <c r="B2" s="82">
        <v>3</v>
      </c>
      <c r="C2" s="82"/>
      <c r="D2" s="82"/>
      <c r="E2" s="86" t="s">
        <v>505</v>
      </c>
      <c r="F2" s="82">
        <v>3</v>
      </c>
    </row>
    <row r="5" spans="1:6" ht="14.4" customHeight="1">
      <c r="A5" s="13" t="s">
        <v>512</v>
      </c>
      <c r="B5" s="13" t="s">
        <v>506</v>
      </c>
      <c r="C5" s="82" t="s">
        <v>513</v>
      </c>
      <c r="D5" s="82" t="s">
        <v>509</v>
      </c>
      <c r="E5" s="13" t="s">
        <v>514</v>
      </c>
      <c r="F5" s="13" t="s">
        <v>510</v>
      </c>
    </row>
    <row r="6" spans="1:6" ht="15">
      <c r="A6" s="82" t="s">
        <v>277</v>
      </c>
      <c r="B6" s="82">
        <v>3</v>
      </c>
      <c r="C6" s="82"/>
      <c r="D6" s="82"/>
      <c r="E6" s="82" t="s">
        <v>277</v>
      </c>
      <c r="F6" s="82">
        <v>3</v>
      </c>
    </row>
    <row r="9" spans="1:6" ht="14.4" customHeight="1">
      <c r="A9" s="13" t="s">
        <v>516</v>
      </c>
      <c r="B9" s="13" t="s">
        <v>506</v>
      </c>
      <c r="C9" s="13" t="s">
        <v>526</v>
      </c>
      <c r="D9" s="13" t="s">
        <v>509</v>
      </c>
      <c r="E9" s="13" t="s">
        <v>527</v>
      </c>
      <c r="F9" s="13" t="s">
        <v>510</v>
      </c>
    </row>
    <row r="10" spans="1:6" ht="15">
      <c r="A10" s="82" t="s">
        <v>517</v>
      </c>
      <c r="B10" s="82">
        <v>3</v>
      </c>
      <c r="C10" s="82" t="s">
        <v>517</v>
      </c>
      <c r="D10" s="82">
        <v>3</v>
      </c>
      <c r="E10" s="82" t="s">
        <v>519</v>
      </c>
      <c r="F10" s="82">
        <v>3</v>
      </c>
    </row>
    <row r="11" spans="1:6" ht="15">
      <c r="A11" s="83" t="s">
        <v>518</v>
      </c>
      <c r="B11" s="82">
        <v>3</v>
      </c>
      <c r="C11" s="82" t="s">
        <v>518</v>
      </c>
      <c r="D11" s="82">
        <v>3</v>
      </c>
      <c r="E11" s="82" t="s">
        <v>520</v>
      </c>
      <c r="F11" s="82">
        <v>3</v>
      </c>
    </row>
    <row r="12" spans="1:6" ht="15">
      <c r="A12" s="83" t="s">
        <v>519</v>
      </c>
      <c r="B12" s="82">
        <v>3</v>
      </c>
      <c r="C12" s="82"/>
      <c r="D12" s="82"/>
      <c r="E12" s="82" t="s">
        <v>521</v>
      </c>
      <c r="F12" s="82">
        <v>3</v>
      </c>
    </row>
    <row r="13" spans="1:6" ht="15">
      <c r="A13" s="83" t="s">
        <v>520</v>
      </c>
      <c r="B13" s="82">
        <v>3</v>
      </c>
      <c r="C13" s="82"/>
      <c r="D13" s="82"/>
      <c r="E13" s="82" t="s">
        <v>522</v>
      </c>
      <c r="F13" s="82">
        <v>3</v>
      </c>
    </row>
    <row r="14" spans="1:6" ht="15">
      <c r="A14" s="83" t="s">
        <v>521</v>
      </c>
      <c r="B14" s="82">
        <v>3</v>
      </c>
      <c r="C14" s="82"/>
      <c r="D14" s="82"/>
      <c r="E14" s="82" t="s">
        <v>523</v>
      </c>
      <c r="F14" s="82">
        <v>3</v>
      </c>
    </row>
    <row r="15" spans="1:6" ht="15">
      <c r="A15" s="83" t="s">
        <v>522</v>
      </c>
      <c r="B15" s="82">
        <v>3</v>
      </c>
      <c r="C15" s="82"/>
      <c r="D15" s="82"/>
      <c r="E15" s="82" t="s">
        <v>524</v>
      </c>
      <c r="F15" s="82">
        <v>3</v>
      </c>
    </row>
    <row r="16" spans="1:6" ht="15">
      <c r="A16" s="83" t="s">
        <v>523</v>
      </c>
      <c r="B16" s="82">
        <v>3</v>
      </c>
      <c r="C16" s="82"/>
      <c r="D16" s="82"/>
      <c r="E16" s="82" t="s">
        <v>525</v>
      </c>
      <c r="F16" s="82">
        <v>3</v>
      </c>
    </row>
    <row r="17" spans="1:6" ht="15">
      <c r="A17" s="83" t="s">
        <v>524</v>
      </c>
      <c r="B17" s="82">
        <v>3</v>
      </c>
      <c r="C17" s="82"/>
      <c r="D17" s="82"/>
      <c r="E17" s="82"/>
      <c r="F17" s="82"/>
    </row>
    <row r="18" spans="1:6" ht="15">
      <c r="A18" s="83" t="s">
        <v>525</v>
      </c>
      <c r="B18" s="82">
        <v>3</v>
      </c>
      <c r="C18" s="82"/>
      <c r="D18" s="82"/>
      <c r="E18" s="82"/>
      <c r="F18" s="82"/>
    </row>
    <row r="21" spans="1:6" ht="14.4" customHeight="1">
      <c r="A21" s="13" t="s">
        <v>529</v>
      </c>
      <c r="B21" s="13" t="s">
        <v>506</v>
      </c>
      <c r="C21" s="13" t="s">
        <v>530</v>
      </c>
      <c r="D21" s="13" t="s">
        <v>509</v>
      </c>
      <c r="E21" s="13" t="s">
        <v>531</v>
      </c>
      <c r="F21" s="13" t="s">
        <v>510</v>
      </c>
    </row>
    <row r="22" spans="1:6" ht="15">
      <c r="A22" s="88" t="s">
        <v>267</v>
      </c>
      <c r="B22" s="88">
        <v>8</v>
      </c>
      <c r="C22" s="88" t="s">
        <v>267</v>
      </c>
      <c r="D22" s="88">
        <v>5</v>
      </c>
      <c r="E22" s="88" t="s">
        <v>423</v>
      </c>
      <c r="F22" s="88">
        <v>3</v>
      </c>
    </row>
    <row r="23" spans="1:6" ht="15">
      <c r="A23" s="89" t="s">
        <v>402</v>
      </c>
      <c r="B23" s="88">
        <v>6</v>
      </c>
      <c r="C23" s="88" t="s">
        <v>403</v>
      </c>
      <c r="D23" s="88">
        <v>3</v>
      </c>
      <c r="E23" s="88" t="s">
        <v>424</v>
      </c>
      <c r="F23" s="88">
        <v>3</v>
      </c>
    </row>
    <row r="24" spans="1:6" ht="15">
      <c r="A24" s="89" t="s">
        <v>403</v>
      </c>
      <c r="B24" s="88">
        <v>3</v>
      </c>
      <c r="C24" s="88" t="s">
        <v>404</v>
      </c>
      <c r="D24" s="88">
        <v>3</v>
      </c>
      <c r="E24" s="88" t="s">
        <v>425</v>
      </c>
      <c r="F24" s="88">
        <v>3</v>
      </c>
    </row>
    <row r="25" spans="1:6" ht="15">
      <c r="A25" s="89" t="s">
        <v>404</v>
      </c>
      <c r="B25" s="88">
        <v>3</v>
      </c>
      <c r="C25" s="88" t="s">
        <v>402</v>
      </c>
      <c r="D25" s="88">
        <v>3</v>
      </c>
      <c r="E25" s="88" t="s">
        <v>426</v>
      </c>
      <c r="F25" s="88">
        <v>3</v>
      </c>
    </row>
    <row r="26" spans="1:6" ht="15">
      <c r="A26" s="89" t="s">
        <v>405</v>
      </c>
      <c r="B26" s="88">
        <v>3</v>
      </c>
      <c r="C26" s="88" t="s">
        <v>405</v>
      </c>
      <c r="D26" s="88">
        <v>3</v>
      </c>
      <c r="E26" s="88" t="s">
        <v>427</v>
      </c>
      <c r="F26" s="88">
        <v>3</v>
      </c>
    </row>
    <row r="27" spans="1:6" ht="15">
      <c r="A27" s="89" t="s">
        <v>406</v>
      </c>
      <c r="B27" s="88">
        <v>3</v>
      </c>
      <c r="C27" s="88" t="s">
        <v>406</v>
      </c>
      <c r="D27" s="88">
        <v>3</v>
      </c>
      <c r="E27" s="88" t="s">
        <v>428</v>
      </c>
      <c r="F27" s="88">
        <v>3</v>
      </c>
    </row>
    <row r="28" spans="1:6" ht="15">
      <c r="A28" s="89" t="s">
        <v>407</v>
      </c>
      <c r="B28" s="88">
        <v>3</v>
      </c>
      <c r="C28" s="88" t="s">
        <v>407</v>
      </c>
      <c r="D28" s="88">
        <v>3</v>
      </c>
      <c r="E28" s="88" t="s">
        <v>429</v>
      </c>
      <c r="F28" s="88">
        <v>3</v>
      </c>
    </row>
    <row r="29" spans="1:6" ht="15">
      <c r="A29" s="89" t="s">
        <v>408</v>
      </c>
      <c r="B29" s="88">
        <v>3</v>
      </c>
      <c r="C29" s="88" t="s">
        <v>408</v>
      </c>
      <c r="D29" s="88">
        <v>3</v>
      </c>
      <c r="E29" s="88" t="s">
        <v>430</v>
      </c>
      <c r="F29" s="88">
        <v>3</v>
      </c>
    </row>
    <row r="30" spans="1:6" ht="15">
      <c r="A30" s="89" t="s">
        <v>409</v>
      </c>
      <c r="B30" s="88">
        <v>3</v>
      </c>
      <c r="C30" s="88" t="s">
        <v>409</v>
      </c>
      <c r="D30" s="88">
        <v>3</v>
      </c>
      <c r="E30" s="88" t="s">
        <v>431</v>
      </c>
      <c r="F30" s="88">
        <v>3</v>
      </c>
    </row>
    <row r="31" spans="1:6" ht="15">
      <c r="A31" s="89" t="s">
        <v>410</v>
      </c>
      <c r="B31" s="88">
        <v>3</v>
      </c>
      <c r="C31" s="88" t="s">
        <v>410</v>
      </c>
      <c r="D31" s="88">
        <v>3</v>
      </c>
      <c r="E31" s="88" t="s">
        <v>432</v>
      </c>
      <c r="F31" s="88">
        <v>3</v>
      </c>
    </row>
    <row r="34" spans="1:6" ht="14.4" customHeight="1">
      <c r="A34" s="13" t="s">
        <v>535</v>
      </c>
      <c r="B34" s="13" t="s">
        <v>506</v>
      </c>
      <c r="C34" s="13" t="s">
        <v>546</v>
      </c>
      <c r="D34" s="13" t="s">
        <v>509</v>
      </c>
      <c r="E34" s="13" t="s">
        <v>547</v>
      </c>
      <c r="F34" s="13" t="s">
        <v>510</v>
      </c>
    </row>
    <row r="35" spans="1:6" ht="15">
      <c r="A35" s="88" t="s">
        <v>536</v>
      </c>
      <c r="B35" s="88">
        <v>3</v>
      </c>
      <c r="C35" s="88" t="s">
        <v>536</v>
      </c>
      <c r="D35" s="88">
        <v>3</v>
      </c>
      <c r="E35" s="88" t="s">
        <v>548</v>
      </c>
      <c r="F35" s="88">
        <v>3</v>
      </c>
    </row>
    <row r="36" spans="1:6" ht="15">
      <c r="A36" s="89" t="s">
        <v>537</v>
      </c>
      <c r="B36" s="88">
        <v>3</v>
      </c>
      <c r="C36" s="88" t="s">
        <v>537</v>
      </c>
      <c r="D36" s="88">
        <v>3</v>
      </c>
      <c r="E36" s="88" t="s">
        <v>549</v>
      </c>
      <c r="F36" s="88">
        <v>3</v>
      </c>
    </row>
    <row r="37" spans="1:6" ht="15">
      <c r="A37" s="89" t="s">
        <v>538</v>
      </c>
      <c r="B37" s="88">
        <v>3</v>
      </c>
      <c r="C37" s="88" t="s">
        <v>538</v>
      </c>
      <c r="D37" s="88">
        <v>3</v>
      </c>
      <c r="E37" s="88" t="s">
        <v>550</v>
      </c>
      <c r="F37" s="88">
        <v>3</v>
      </c>
    </row>
    <row r="38" spans="1:6" ht="15">
      <c r="A38" s="89" t="s">
        <v>539</v>
      </c>
      <c r="B38" s="88">
        <v>3</v>
      </c>
      <c r="C38" s="88" t="s">
        <v>539</v>
      </c>
      <c r="D38" s="88">
        <v>3</v>
      </c>
      <c r="E38" s="88" t="s">
        <v>551</v>
      </c>
      <c r="F38" s="88">
        <v>3</v>
      </c>
    </row>
    <row r="39" spans="1:6" ht="15">
      <c r="A39" s="89" t="s">
        <v>540</v>
      </c>
      <c r="B39" s="88">
        <v>3</v>
      </c>
      <c r="C39" s="88" t="s">
        <v>540</v>
      </c>
      <c r="D39" s="88">
        <v>3</v>
      </c>
      <c r="E39" s="88" t="s">
        <v>552</v>
      </c>
      <c r="F39" s="88">
        <v>3</v>
      </c>
    </row>
    <row r="40" spans="1:6" ht="15">
      <c r="A40" s="89" t="s">
        <v>541</v>
      </c>
      <c r="B40" s="88">
        <v>3</v>
      </c>
      <c r="C40" s="88" t="s">
        <v>541</v>
      </c>
      <c r="D40" s="88">
        <v>3</v>
      </c>
      <c r="E40" s="88" t="s">
        <v>553</v>
      </c>
      <c r="F40" s="88">
        <v>3</v>
      </c>
    </row>
    <row r="41" spans="1:6" ht="15">
      <c r="A41" s="89" t="s">
        <v>542</v>
      </c>
      <c r="B41" s="88">
        <v>3</v>
      </c>
      <c r="C41" s="88" t="s">
        <v>542</v>
      </c>
      <c r="D41" s="88">
        <v>3</v>
      </c>
      <c r="E41" s="88" t="s">
        <v>554</v>
      </c>
      <c r="F41" s="88">
        <v>3</v>
      </c>
    </row>
    <row r="42" spans="1:6" ht="15">
      <c r="A42" s="89" t="s">
        <v>543</v>
      </c>
      <c r="B42" s="88">
        <v>3</v>
      </c>
      <c r="C42" s="88" t="s">
        <v>543</v>
      </c>
      <c r="D42" s="88">
        <v>3</v>
      </c>
      <c r="E42" s="88" t="s">
        <v>555</v>
      </c>
      <c r="F42" s="88">
        <v>3</v>
      </c>
    </row>
    <row r="43" spans="1:6" ht="15">
      <c r="A43" s="89" t="s">
        <v>544</v>
      </c>
      <c r="B43" s="88">
        <v>3</v>
      </c>
      <c r="C43" s="88" t="s">
        <v>544</v>
      </c>
      <c r="D43" s="88">
        <v>3</v>
      </c>
      <c r="E43" s="88" t="s">
        <v>556</v>
      </c>
      <c r="F43" s="88">
        <v>3</v>
      </c>
    </row>
    <row r="44" spans="1:6" ht="15">
      <c r="A44" s="89" t="s">
        <v>545</v>
      </c>
      <c r="B44" s="88">
        <v>3</v>
      </c>
      <c r="C44" s="88" t="s">
        <v>545</v>
      </c>
      <c r="D44" s="88">
        <v>3</v>
      </c>
      <c r="E44" s="88" t="s">
        <v>557</v>
      </c>
      <c r="F44" s="88">
        <v>3</v>
      </c>
    </row>
    <row r="47" spans="1:6" ht="14.4" customHeight="1">
      <c r="A47" s="13" t="s">
        <v>561</v>
      </c>
      <c r="B47" s="13" t="s">
        <v>506</v>
      </c>
      <c r="C47" s="13" t="s">
        <v>563</v>
      </c>
      <c r="D47" s="13" t="s">
        <v>509</v>
      </c>
      <c r="E47" s="82" t="s">
        <v>564</v>
      </c>
      <c r="F47" s="82" t="s">
        <v>510</v>
      </c>
    </row>
    <row r="48" spans="1:6" ht="15">
      <c r="A48" s="82" t="s">
        <v>268</v>
      </c>
      <c r="B48" s="82">
        <v>1</v>
      </c>
      <c r="C48" s="82" t="s">
        <v>268</v>
      </c>
      <c r="D48" s="82">
        <v>1</v>
      </c>
      <c r="E48" s="82"/>
      <c r="F48" s="82"/>
    </row>
    <row r="49" spans="1:6" ht="15">
      <c r="A49" s="83" t="s">
        <v>267</v>
      </c>
      <c r="B49" s="82">
        <v>1</v>
      </c>
      <c r="C49" s="82" t="s">
        <v>267</v>
      </c>
      <c r="D49" s="82">
        <v>1</v>
      </c>
      <c r="E49" s="82"/>
      <c r="F49" s="82"/>
    </row>
    <row r="52" spans="1:6" ht="14.4" customHeight="1">
      <c r="A52" s="13" t="s">
        <v>562</v>
      </c>
      <c r="B52" s="13" t="s">
        <v>506</v>
      </c>
      <c r="C52" s="13" t="s">
        <v>565</v>
      </c>
      <c r="D52" s="13" t="s">
        <v>509</v>
      </c>
      <c r="E52" s="13" t="s">
        <v>566</v>
      </c>
      <c r="F52" s="13" t="s">
        <v>510</v>
      </c>
    </row>
    <row r="53" spans="1:6" ht="15">
      <c r="A53" s="82" t="s">
        <v>267</v>
      </c>
      <c r="B53" s="82">
        <v>7</v>
      </c>
      <c r="C53" s="82" t="s">
        <v>267</v>
      </c>
      <c r="D53" s="82">
        <v>4</v>
      </c>
      <c r="E53" s="82" t="s">
        <v>266</v>
      </c>
      <c r="F53" s="82">
        <v>3</v>
      </c>
    </row>
    <row r="54" spans="1:6" ht="15">
      <c r="A54" s="83" t="s">
        <v>266</v>
      </c>
      <c r="B54" s="82">
        <v>3</v>
      </c>
      <c r="C54" s="82"/>
      <c r="D54" s="82"/>
      <c r="E54" s="82" t="s">
        <v>265</v>
      </c>
      <c r="F54" s="82">
        <v>3</v>
      </c>
    </row>
    <row r="55" spans="1:6" ht="15">
      <c r="A55" s="83" t="s">
        <v>265</v>
      </c>
      <c r="B55" s="82">
        <v>3</v>
      </c>
      <c r="C55" s="82"/>
      <c r="D55" s="82"/>
      <c r="E55" s="82" t="s">
        <v>264</v>
      </c>
      <c r="F55" s="82">
        <v>3</v>
      </c>
    </row>
    <row r="56" spans="1:6" ht="15">
      <c r="A56" s="83" t="s">
        <v>264</v>
      </c>
      <c r="B56" s="82">
        <v>3</v>
      </c>
      <c r="C56" s="82"/>
      <c r="D56" s="82"/>
      <c r="E56" s="82" t="s">
        <v>267</v>
      </c>
      <c r="F56" s="82">
        <v>3</v>
      </c>
    </row>
    <row r="59" spans="1:6" ht="14.4" customHeight="1">
      <c r="A59" s="13" t="s">
        <v>571</v>
      </c>
      <c r="B59" s="13" t="s">
        <v>506</v>
      </c>
      <c r="C59" s="13" t="s">
        <v>572</v>
      </c>
      <c r="D59" s="13" t="s">
        <v>509</v>
      </c>
      <c r="E59" s="13" t="s">
        <v>573</v>
      </c>
      <c r="F59" s="13" t="s">
        <v>510</v>
      </c>
    </row>
    <row r="60" spans="1:6" ht="15">
      <c r="A60" s="115" t="s">
        <v>258</v>
      </c>
      <c r="B60" s="82">
        <v>125299</v>
      </c>
      <c r="C60" s="115" t="s">
        <v>258</v>
      </c>
      <c r="D60" s="82">
        <v>125299</v>
      </c>
      <c r="E60" s="115" t="s">
        <v>266</v>
      </c>
      <c r="F60" s="82">
        <v>5350</v>
      </c>
    </row>
    <row r="61" spans="1:6" ht="15">
      <c r="A61" s="117" t="s">
        <v>268</v>
      </c>
      <c r="B61" s="82">
        <v>36985</v>
      </c>
      <c r="C61" s="115" t="s">
        <v>268</v>
      </c>
      <c r="D61" s="82">
        <v>36985</v>
      </c>
      <c r="E61" s="115" t="s">
        <v>264</v>
      </c>
      <c r="F61" s="82">
        <v>4023</v>
      </c>
    </row>
    <row r="62" spans="1:6" ht="15">
      <c r="A62" s="117" t="s">
        <v>262</v>
      </c>
      <c r="B62" s="82">
        <v>17633</v>
      </c>
      <c r="C62" s="115" t="s">
        <v>262</v>
      </c>
      <c r="D62" s="82">
        <v>17633</v>
      </c>
      <c r="E62" s="115" t="s">
        <v>265</v>
      </c>
      <c r="F62" s="82">
        <v>2740</v>
      </c>
    </row>
    <row r="63" spans="1:6" ht="15">
      <c r="A63" s="117" t="s">
        <v>261</v>
      </c>
      <c r="B63" s="82">
        <v>16984</v>
      </c>
      <c r="C63" s="115" t="s">
        <v>261</v>
      </c>
      <c r="D63" s="82">
        <v>16984</v>
      </c>
      <c r="E63" s="115" t="s">
        <v>257</v>
      </c>
      <c r="F63" s="82">
        <v>1468</v>
      </c>
    </row>
    <row r="64" spans="1:6" ht="15">
      <c r="A64" s="117" t="s">
        <v>263</v>
      </c>
      <c r="B64" s="82">
        <v>7407</v>
      </c>
      <c r="C64" s="115" t="s">
        <v>263</v>
      </c>
      <c r="D64" s="82">
        <v>7407</v>
      </c>
      <c r="E64" s="115" t="s">
        <v>260</v>
      </c>
      <c r="F64" s="82">
        <v>176</v>
      </c>
    </row>
    <row r="65" spans="1:6" ht="15">
      <c r="A65" s="117" t="s">
        <v>266</v>
      </c>
      <c r="B65" s="82">
        <v>5350</v>
      </c>
      <c r="C65" s="115" t="s">
        <v>267</v>
      </c>
      <c r="D65" s="82">
        <v>3</v>
      </c>
      <c r="E65" s="115" t="s">
        <v>259</v>
      </c>
      <c r="F65" s="82">
        <v>46</v>
      </c>
    </row>
    <row r="66" spans="1:6" ht="15">
      <c r="A66" s="117" t="s">
        <v>264</v>
      </c>
      <c r="B66" s="82">
        <v>4023</v>
      </c>
      <c r="C66" s="115"/>
      <c r="D66" s="82"/>
      <c r="E66" s="115"/>
      <c r="F66" s="82"/>
    </row>
    <row r="67" spans="1:6" ht="15">
      <c r="A67" s="117" t="s">
        <v>265</v>
      </c>
      <c r="B67" s="82">
        <v>2740</v>
      </c>
      <c r="C67" s="115"/>
      <c r="D67" s="82"/>
      <c r="E67" s="115"/>
      <c r="F67" s="82"/>
    </row>
    <row r="68" spans="1:6" ht="15">
      <c r="A68" s="117" t="s">
        <v>257</v>
      </c>
      <c r="B68" s="82">
        <v>1468</v>
      </c>
      <c r="C68" s="115"/>
      <c r="D68" s="82"/>
      <c r="E68" s="115"/>
      <c r="F68" s="82"/>
    </row>
    <row r="69" spans="1:6" ht="15">
      <c r="A69" s="117" t="s">
        <v>260</v>
      </c>
      <c r="B69" s="82">
        <v>176</v>
      </c>
      <c r="C69" s="115"/>
      <c r="D69" s="82"/>
      <c r="E69" s="115"/>
      <c r="F69" s="82"/>
    </row>
  </sheetData>
  <hyperlinks>
    <hyperlink ref="A2" r:id="rId1" display="https://twitter.com/SavvyVanuatu/status/1528525324421541888"/>
    <hyperlink ref="E2" r:id="rId2" display="https://twitter.com/SavvyVanuatu/status/1528525324421541888"/>
  </hyperlinks>
  <printOptions/>
  <pageMargins left="0.7" right="0.7" top="0.75" bottom="0.75" header="0.3" footer="0.3"/>
  <pageSetup orientation="portrait" paperSize="9"/>
  <tableParts>
    <tablePart r:id="rId9"/>
    <tablePart r:id="rId5"/>
    <tablePart r:id="rId10"/>
    <tablePart r:id="rId3"/>
    <tablePart r:id="rId4"/>
    <tablePart r:id="rId8"/>
    <tablePart r:id="rId7"/>
    <tablePart r:id="rId6"/>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4F9DC5-C0C5-4DD7-B31F-00D0ED9093F0}">
  <dimension ref="A25:B34"/>
  <sheetViews>
    <sheetView tabSelected="1" workbookViewId="0" topLeftCell="A1"/>
  </sheetViews>
  <sheetFormatPr defaultColWidth="9.140625" defaultRowHeight="15"/>
  <cols>
    <col min="1" max="1" width="15.7109375" style="0" bestFit="1" customWidth="1"/>
    <col min="2" max="2" width="29.140625" style="0" bestFit="1" customWidth="1"/>
  </cols>
  <sheetData>
    <row r="25" spans="1:2" ht="15">
      <c r="A25" s="125" t="s">
        <v>591</v>
      </c>
      <c r="B25" t="s">
        <v>590</v>
      </c>
    </row>
    <row r="26" spans="1:2" ht="15">
      <c r="A26" s="126">
        <v>44704.214155092595</v>
      </c>
      <c r="B26" s="3">
        <v>1</v>
      </c>
    </row>
    <row r="27" spans="1:2" ht="15">
      <c r="A27" s="126">
        <v>44704.265555555554</v>
      </c>
      <c r="B27" s="3">
        <v>1</v>
      </c>
    </row>
    <row r="28" spans="1:2" ht="15">
      <c r="A28" s="126">
        <v>44704.274618055555</v>
      </c>
      <c r="B28" s="3">
        <v>1</v>
      </c>
    </row>
    <row r="29" spans="1:2" ht="15">
      <c r="A29" s="126">
        <v>44704.662824074076</v>
      </c>
      <c r="B29" s="3">
        <v>1</v>
      </c>
    </row>
    <row r="30" spans="1:2" ht="15">
      <c r="A30" s="126">
        <v>44704.92990740741</v>
      </c>
      <c r="B30" s="3">
        <v>1</v>
      </c>
    </row>
    <row r="31" spans="1:2" ht="15">
      <c r="A31" s="126">
        <v>44705.49633101852</v>
      </c>
      <c r="B31" s="3">
        <v>1</v>
      </c>
    </row>
    <row r="32" spans="1:2" ht="15">
      <c r="A32" s="126">
        <v>44707.1528587963</v>
      </c>
      <c r="B32" s="3">
        <v>1</v>
      </c>
    </row>
    <row r="33" spans="1:2" ht="15">
      <c r="A33" s="126">
        <v>44707.15369212963</v>
      </c>
      <c r="B33" s="3">
        <v>1</v>
      </c>
    </row>
    <row r="34" spans="1:2" ht="15">
      <c r="A34" s="126" t="s">
        <v>592</v>
      </c>
      <c r="B34" s="3">
        <v>8</v>
      </c>
    </row>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28125" style="0" bestFit="1" customWidth="1"/>
    <col min="41" max="41" width="14.7109375" style="0" bestFit="1" customWidth="1"/>
    <col min="42" max="42" width="11.8515625" style="0" bestFit="1" customWidth="1"/>
    <col min="43" max="43" width="9.28125" style="0" bestFit="1" customWidth="1"/>
    <col min="44" max="44" width="15.00390625" style="0" bestFit="1" customWidth="1"/>
    <col min="45" max="45" width="9.7109375" style="0" bestFit="1" customWidth="1"/>
    <col min="46" max="46" width="10.8515625" style="0" bestFit="1" customWidth="1"/>
    <col min="47" max="47" width="8.140625" style="0" bestFit="1" customWidth="1"/>
    <col min="48" max="48" width="18.7109375" style="0" bestFit="1" customWidth="1"/>
    <col min="49" max="49" width="9.57421875" style="0" bestFit="1" customWidth="1"/>
    <col min="50" max="51" width="14.57421875" style="0" bestFit="1" customWidth="1"/>
    <col min="52" max="52" width="16.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308</v>
      </c>
      <c r="AE2" s="13" t="s">
        <v>309</v>
      </c>
      <c r="AF2" s="13" t="s">
        <v>310</v>
      </c>
      <c r="AG2" s="13" t="s">
        <v>311</v>
      </c>
      <c r="AH2" s="13" t="s">
        <v>312</v>
      </c>
      <c r="AI2" s="13" t="s">
        <v>313</v>
      </c>
      <c r="AJ2" s="13" t="s">
        <v>314</v>
      </c>
      <c r="AK2" s="13" t="s">
        <v>315</v>
      </c>
      <c r="AL2" s="13" t="s">
        <v>316</v>
      </c>
      <c r="AM2" s="13" t="s">
        <v>317</v>
      </c>
      <c r="AN2" s="13" t="s">
        <v>318</v>
      </c>
      <c r="AO2" s="13" t="s">
        <v>319</v>
      </c>
      <c r="AP2" s="13" t="s">
        <v>320</v>
      </c>
      <c r="AQ2" s="13" t="s">
        <v>321</v>
      </c>
      <c r="AR2" s="13" t="s">
        <v>322</v>
      </c>
      <c r="AS2" s="13" t="s">
        <v>323</v>
      </c>
      <c r="AT2" s="13" t="s">
        <v>237</v>
      </c>
      <c r="AU2" s="13" t="s">
        <v>324</v>
      </c>
      <c r="AV2" s="13" t="s">
        <v>325</v>
      </c>
      <c r="AW2" s="13" t="s">
        <v>326</v>
      </c>
      <c r="AX2" s="13" t="s">
        <v>327</v>
      </c>
      <c r="AY2" s="13" t="s">
        <v>328</v>
      </c>
      <c r="AZ2" s="13" t="s">
        <v>329</v>
      </c>
      <c r="BA2" s="13" t="s">
        <v>390</v>
      </c>
      <c r="BB2" s="120" t="s">
        <v>458</v>
      </c>
      <c r="BC2" s="120" t="s">
        <v>459</v>
      </c>
      <c r="BD2" s="120" t="s">
        <v>460</v>
      </c>
      <c r="BE2" s="120" t="s">
        <v>461</v>
      </c>
      <c r="BF2" s="120" t="s">
        <v>462</v>
      </c>
      <c r="BG2" s="120" t="s">
        <v>463</v>
      </c>
      <c r="BH2" s="120" t="s">
        <v>464</v>
      </c>
      <c r="BI2" s="120" t="s">
        <v>465</v>
      </c>
      <c r="BJ2" s="120" t="s">
        <v>467</v>
      </c>
      <c r="BK2" s="120" t="s">
        <v>577</v>
      </c>
      <c r="BL2" s="120" t="s">
        <v>578</v>
      </c>
      <c r="BM2" s="120" t="s">
        <v>579</v>
      </c>
      <c r="BN2" s="120" t="s">
        <v>580</v>
      </c>
      <c r="BO2" s="120" t="s">
        <v>581</v>
      </c>
      <c r="BP2" s="120" t="s">
        <v>582</v>
      </c>
      <c r="BQ2" s="120" t="s">
        <v>583</v>
      </c>
      <c r="BR2" s="120" t="s">
        <v>586</v>
      </c>
      <c r="BS2" s="120" t="s">
        <v>587</v>
      </c>
      <c r="BT2" s="120" t="s">
        <v>589</v>
      </c>
      <c r="BU2" s="3"/>
      <c r="BV2" s="3"/>
    </row>
    <row r="3" spans="1:74" ht="15" customHeight="1">
      <c r="A3" s="50" t="s">
        <v>257</v>
      </c>
      <c r="B3" s="53"/>
      <c r="C3" s="53"/>
      <c r="D3" s="54">
        <v>730</v>
      </c>
      <c r="E3" s="55"/>
      <c r="F3" s="111" t="str">
        <f>HYPERLINK("https://pbs.twimg.com/profile_images/1511983894358523907/qUCGGohF_normal.jpg")</f>
        <v>https://pbs.twimg.com/profile_images/1511983894358523907/qUCGGohF_normal.jpg</v>
      </c>
      <c r="G3" s="53"/>
      <c r="H3" s="57" t="s">
        <v>257</v>
      </c>
      <c r="I3" s="56"/>
      <c r="J3" s="56"/>
      <c r="K3" s="113" t="s">
        <v>384</v>
      </c>
      <c r="L3" s="59">
        <v>1907.975476839237</v>
      </c>
      <c r="M3" s="60">
        <v>1396.6328125</v>
      </c>
      <c r="N3" s="60">
        <v>938.4708251953125</v>
      </c>
      <c r="O3" s="58"/>
      <c r="P3" s="61"/>
      <c r="Q3" s="61"/>
      <c r="R3" s="51"/>
      <c r="S3" s="51">
        <v>0</v>
      </c>
      <c r="T3" s="51">
        <v>5</v>
      </c>
      <c r="U3" s="52">
        <v>14</v>
      </c>
      <c r="V3" s="52">
        <v>0.611111</v>
      </c>
      <c r="W3" s="52">
        <v>0.394502</v>
      </c>
      <c r="X3" s="52">
        <v>0.086979</v>
      </c>
      <c r="Y3" s="52">
        <v>0.2</v>
      </c>
      <c r="Z3" s="52">
        <v>0</v>
      </c>
      <c r="AA3" s="62">
        <v>3</v>
      </c>
      <c r="AB3" s="62"/>
      <c r="AC3" s="63"/>
      <c r="AD3" s="82" t="s">
        <v>341</v>
      </c>
      <c r="AE3" s="88" t="s">
        <v>350</v>
      </c>
      <c r="AF3" s="82">
        <v>673</v>
      </c>
      <c r="AG3" s="82">
        <v>378</v>
      </c>
      <c r="AH3" s="82">
        <v>1468</v>
      </c>
      <c r="AI3" s="82">
        <v>7317</v>
      </c>
      <c r="AJ3" s="82"/>
      <c r="AK3" s="82" t="s">
        <v>362</v>
      </c>
      <c r="AL3" s="82" t="s">
        <v>371</v>
      </c>
      <c r="AM3" s="86" t="str">
        <f>HYPERLINK("https://t.co/CJdkIk6rZ9")</f>
        <v>https://t.co/CJdkIk6rZ9</v>
      </c>
      <c r="AN3" s="82"/>
      <c r="AO3" s="84">
        <v>43602.00471064815</v>
      </c>
      <c r="AP3" s="86" t="str">
        <f>HYPERLINK("https://pbs.twimg.com/profile_banners/1129176401565773824/1558053546")</f>
        <v>https://pbs.twimg.com/profile_banners/1129176401565773824/1558053546</v>
      </c>
      <c r="AQ3" s="82" t="b">
        <v>1</v>
      </c>
      <c r="AR3" s="82" t="b">
        <v>0</v>
      </c>
      <c r="AS3" s="82" t="b">
        <v>1</v>
      </c>
      <c r="AT3" s="82"/>
      <c r="AU3" s="82">
        <v>6</v>
      </c>
      <c r="AV3" s="82"/>
      <c r="AW3" s="82" t="b">
        <v>0</v>
      </c>
      <c r="AX3" s="82" t="s">
        <v>372</v>
      </c>
      <c r="AY3" s="86" t="str">
        <f>HYPERLINK("https://twitter.com/savvyvanuatu")</f>
        <v>https://twitter.com/savvyvanuatu</v>
      </c>
      <c r="AZ3" s="82" t="s">
        <v>66</v>
      </c>
      <c r="BA3" s="82" t="str">
        <f>REPLACE(INDEX(GroupVertices[Group],MATCH(Vertices[[#This Row],[Vertex]],GroupVertices[Vertex],0)),1,1,"")</f>
        <v>2</v>
      </c>
      <c r="BB3" s="51">
        <v>2</v>
      </c>
      <c r="BC3" s="52">
        <v>7.142857142857143</v>
      </c>
      <c r="BD3" s="51">
        <v>0</v>
      </c>
      <c r="BE3" s="52">
        <v>0</v>
      </c>
      <c r="BF3" s="51">
        <v>0</v>
      </c>
      <c r="BG3" s="52">
        <v>0</v>
      </c>
      <c r="BH3" s="51">
        <v>26</v>
      </c>
      <c r="BI3" s="52">
        <v>92.85714285714286</v>
      </c>
      <c r="BJ3" s="51">
        <v>28</v>
      </c>
      <c r="BK3" s="51" t="s">
        <v>505</v>
      </c>
      <c r="BL3" s="51" t="s">
        <v>505</v>
      </c>
      <c r="BM3" s="51" t="s">
        <v>277</v>
      </c>
      <c r="BN3" s="51" t="s">
        <v>277</v>
      </c>
      <c r="BO3" s="51" t="s">
        <v>278</v>
      </c>
      <c r="BP3" s="51" t="s">
        <v>278</v>
      </c>
      <c r="BQ3" s="124" t="s">
        <v>534</v>
      </c>
      <c r="BR3" s="124" t="s">
        <v>534</v>
      </c>
      <c r="BS3" s="124" t="s">
        <v>560</v>
      </c>
      <c r="BT3" s="124" t="s">
        <v>560</v>
      </c>
      <c r="BU3" s="3"/>
      <c r="BV3" s="3"/>
    </row>
    <row r="4" spans="1:77" ht="15">
      <c r="A4" s="14" t="s">
        <v>267</v>
      </c>
      <c r="B4" s="15"/>
      <c r="C4" s="15"/>
      <c r="D4" s="92">
        <v>1000</v>
      </c>
      <c r="E4" s="79"/>
      <c r="F4" s="111" t="str">
        <f>HYPERLINK("https://pbs.twimg.com/profile_images/1266172294348472321/e4_vQrQK_normal.jpg")</f>
        <v>https://pbs.twimg.com/profile_images/1266172294348472321/e4_vQrQK_normal.jpg</v>
      </c>
      <c r="G4" s="15"/>
      <c r="H4" s="16" t="s">
        <v>267</v>
      </c>
      <c r="I4" s="67"/>
      <c r="J4" s="67"/>
      <c r="K4" s="113" t="s">
        <v>373</v>
      </c>
      <c r="L4" s="93">
        <v>9999</v>
      </c>
      <c r="M4" s="94">
        <v>7533.7802734375</v>
      </c>
      <c r="N4" s="94">
        <v>6149.4833984375</v>
      </c>
      <c r="O4" s="78"/>
      <c r="P4" s="95"/>
      <c r="Q4" s="95"/>
      <c r="R4" s="96"/>
      <c r="S4" s="51">
        <v>7</v>
      </c>
      <c r="T4" s="51">
        <v>0</v>
      </c>
      <c r="U4" s="52">
        <v>73.4</v>
      </c>
      <c r="V4" s="52">
        <v>0.733333</v>
      </c>
      <c r="W4" s="52">
        <v>0.399865</v>
      </c>
      <c r="X4" s="52">
        <v>0.100454</v>
      </c>
      <c r="Y4" s="52">
        <v>0.09523809523809523</v>
      </c>
      <c r="Z4" s="52">
        <v>0</v>
      </c>
      <c r="AA4" s="80">
        <v>4</v>
      </c>
      <c r="AB4" s="80"/>
      <c r="AC4" s="97"/>
      <c r="AD4" s="82" t="s">
        <v>330</v>
      </c>
      <c r="AE4" s="88" t="s">
        <v>301</v>
      </c>
      <c r="AF4" s="82">
        <v>1</v>
      </c>
      <c r="AG4" s="82">
        <v>282</v>
      </c>
      <c r="AH4" s="82">
        <v>3</v>
      </c>
      <c r="AI4" s="82">
        <v>0</v>
      </c>
      <c r="AJ4" s="82"/>
      <c r="AK4" s="82" t="s">
        <v>351</v>
      </c>
      <c r="AL4" s="82"/>
      <c r="AM4" s="82"/>
      <c r="AN4" s="82"/>
      <c r="AO4" s="84">
        <v>43980.040347222224</v>
      </c>
      <c r="AP4" s="86" t="str">
        <f>HYPERLINK("https://pbs.twimg.com/profile_banners/1266171892777357313/1590715335")</f>
        <v>https://pbs.twimg.com/profile_banners/1266171892777357313/1590715335</v>
      </c>
      <c r="AQ4" s="82" t="b">
        <v>1</v>
      </c>
      <c r="AR4" s="82" t="b">
        <v>0</v>
      </c>
      <c r="AS4" s="82" t="b">
        <v>0</v>
      </c>
      <c r="AT4" s="82"/>
      <c r="AU4" s="82">
        <v>6</v>
      </c>
      <c r="AV4" s="82"/>
      <c r="AW4" s="82" t="b">
        <v>0</v>
      </c>
      <c r="AX4" s="82" t="s">
        <v>372</v>
      </c>
      <c r="AY4" s="86" t="str">
        <f>HYPERLINK("https://twitter.com/govtofvanuatu")</f>
        <v>https://twitter.com/govtofvanuatu</v>
      </c>
      <c r="AZ4" s="82" t="s">
        <v>65</v>
      </c>
      <c r="BA4" s="82" t="str">
        <f>REPLACE(INDEX(GroupVertices[Group],MATCH(Vertices[[#This Row],[Vertex]],GroupVertices[Vertex],0)),1,1,"")</f>
        <v>1</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264</v>
      </c>
      <c r="B5" s="15"/>
      <c r="C5" s="15"/>
      <c r="D5" s="92">
        <v>118</v>
      </c>
      <c r="E5" s="79"/>
      <c r="F5" s="111" t="str">
        <f>HYPERLINK("https://pbs.twimg.com/profile_images/1184292215163539456/YuoOQny2_normal.png")</f>
        <v>https://pbs.twimg.com/profile_images/1184292215163539456/YuoOQny2_normal.png</v>
      </c>
      <c r="G5" s="15"/>
      <c r="H5" s="16" t="s">
        <v>264</v>
      </c>
      <c r="I5" s="67"/>
      <c r="J5" s="67"/>
      <c r="K5" s="113" t="s">
        <v>374</v>
      </c>
      <c r="L5" s="93">
        <v>55.485013623978205</v>
      </c>
      <c r="M5" s="94">
        <v>3954.67626953125</v>
      </c>
      <c r="N5" s="94">
        <v>6160.896484375</v>
      </c>
      <c r="O5" s="78"/>
      <c r="P5" s="95"/>
      <c r="Q5" s="95"/>
      <c r="R5" s="96"/>
      <c r="S5" s="51">
        <v>3</v>
      </c>
      <c r="T5" s="51">
        <v>0</v>
      </c>
      <c r="U5" s="52">
        <v>0.4</v>
      </c>
      <c r="V5" s="52">
        <v>0.44</v>
      </c>
      <c r="W5" s="52">
        <v>0.28687</v>
      </c>
      <c r="X5" s="52">
        <v>0.078301</v>
      </c>
      <c r="Y5" s="52">
        <v>0.3333333333333333</v>
      </c>
      <c r="Z5" s="52">
        <v>0</v>
      </c>
      <c r="AA5" s="80">
        <v>5</v>
      </c>
      <c r="AB5" s="80"/>
      <c r="AC5" s="97"/>
      <c r="AD5" s="82" t="s">
        <v>331</v>
      </c>
      <c r="AE5" s="88" t="s">
        <v>342</v>
      </c>
      <c r="AF5" s="82">
        <v>615</v>
      </c>
      <c r="AG5" s="82">
        <v>9384</v>
      </c>
      <c r="AH5" s="82">
        <v>4023</v>
      </c>
      <c r="AI5" s="82">
        <v>1681</v>
      </c>
      <c r="AJ5" s="82"/>
      <c r="AK5" s="82" t="s">
        <v>352</v>
      </c>
      <c r="AL5" s="82" t="s">
        <v>363</v>
      </c>
      <c r="AM5" s="86" t="str">
        <f>HYPERLINK("https://t.co/2MiFld0739")</f>
        <v>https://t.co/2MiFld0739</v>
      </c>
      <c r="AN5" s="82"/>
      <c r="AO5" s="84">
        <v>40649.12851851852</v>
      </c>
      <c r="AP5" s="86" t="str">
        <f>HYPERLINK("https://pbs.twimg.com/profile_banners/282866169/1652126507")</f>
        <v>https://pbs.twimg.com/profile_banners/282866169/1652126507</v>
      </c>
      <c r="AQ5" s="82" t="b">
        <v>1</v>
      </c>
      <c r="AR5" s="82" t="b">
        <v>0</v>
      </c>
      <c r="AS5" s="82" t="b">
        <v>1</v>
      </c>
      <c r="AT5" s="82"/>
      <c r="AU5" s="82">
        <v>164</v>
      </c>
      <c r="AV5" s="86" t="str">
        <f>HYPERLINK("https://abs.twimg.com/images/themes/theme1/bg.png")</f>
        <v>https://abs.twimg.com/images/themes/theme1/bg.png</v>
      </c>
      <c r="AW5" s="82" t="b">
        <v>0</v>
      </c>
      <c r="AX5" s="82" t="s">
        <v>372</v>
      </c>
      <c r="AY5" s="86" t="str">
        <f>HYPERLINK("https://twitter.com/sprepchannel")</f>
        <v>https://twitter.com/sprepchannel</v>
      </c>
      <c r="AZ5" s="82" t="s">
        <v>65</v>
      </c>
      <c r="BA5" s="82"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265</v>
      </c>
      <c r="B6" s="15"/>
      <c r="C6" s="15"/>
      <c r="D6" s="92">
        <v>118</v>
      </c>
      <c r="E6" s="79"/>
      <c r="F6" s="111" t="str">
        <f>HYPERLINK("https://pbs.twimg.com/profile_images/1369924121061036033/U7xNl4zD_normal.jpg")</f>
        <v>https://pbs.twimg.com/profile_images/1369924121061036033/U7xNl4zD_normal.jpg</v>
      </c>
      <c r="G6" s="15"/>
      <c r="H6" s="16" t="s">
        <v>265</v>
      </c>
      <c r="I6" s="67"/>
      <c r="J6" s="67"/>
      <c r="K6" s="113" t="s">
        <v>375</v>
      </c>
      <c r="L6" s="93">
        <v>55.485013623978205</v>
      </c>
      <c r="M6" s="94">
        <v>281.1018371582031</v>
      </c>
      <c r="N6" s="94">
        <v>5473.14697265625</v>
      </c>
      <c r="O6" s="78"/>
      <c r="P6" s="95"/>
      <c r="Q6" s="95"/>
      <c r="R6" s="96"/>
      <c r="S6" s="51">
        <v>3</v>
      </c>
      <c r="T6" s="51">
        <v>0</v>
      </c>
      <c r="U6" s="52">
        <v>0.4</v>
      </c>
      <c r="V6" s="52">
        <v>0.44</v>
      </c>
      <c r="W6" s="52">
        <v>0.28687</v>
      </c>
      <c r="X6" s="52">
        <v>0.078301</v>
      </c>
      <c r="Y6" s="52">
        <v>0.3333333333333333</v>
      </c>
      <c r="Z6" s="52">
        <v>0</v>
      </c>
      <c r="AA6" s="80">
        <v>6</v>
      </c>
      <c r="AB6" s="80"/>
      <c r="AC6" s="97"/>
      <c r="AD6" s="82" t="s">
        <v>332</v>
      </c>
      <c r="AE6" s="88" t="s">
        <v>343</v>
      </c>
      <c r="AF6" s="82">
        <v>706</v>
      </c>
      <c r="AG6" s="82">
        <v>5385</v>
      </c>
      <c r="AH6" s="82">
        <v>2740</v>
      </c>
      <c r="AI6" s="82">
        <v>1027</v>
      </c>
      <c r="AJ6" s="82"/>
      <c r="AK6" s="82" t="s">
        <v>353</v>
      </c>
      <c r="AL6" s="82" t="s">
        <v>364</v>
      </c>
      <c r="AM6" s="86" t="str">
        <f>HYPERLINK("https://t.co/tpn0LYaWbh")</f>
        <v>https://t.co/tpn0LYaWbh</v>
      </c>
      <c r="AN6" s="82"/>
      <c r="AO6" s="84">
        <v>40317.09646990741</v>
      </c>
      <c r="AP6" s="86" t="str">
        <f>HYPERLINK("https://pbs.twimg.com/profile_banners/145476250/1607657197")</f>
        <v>https://pbs.twimg.com/profile_banners/145476250/1607657197</v>
      </c>
      <c r="AQ6" s="82" t="b">
        <v>0</v>
      </c>
      <c r="AR6" s="82" t="b">
        <v>0</v>
      </c>
      <c r="AS6" s="82" t="b">
        <v>1</v>
      </c>
      <c r="AT6" s="82"/>
      <c r="AU6" s="82">
        <v>77</v>
      </c>
      <c r="AV6" s="86" t="str">
        <f>HYPERLINK("https://abs.twimg.com/images/themes/theme1/bg.png")</f>
        <v>https://abs.twimg.com/images/themes/theme1/bg.png</v>
      </c>
      <c r="AW6" s="82" t="b">
        <v>1</v>
      </c>
      <c r="AX6" s="82" t="s">
        <v>372</v>
      </c>
      <c r="AY6" s="86" t="str">
        <f>HYPERLINK("https://twitter.com/swedeninth")</f>
        <v>https://twitter.com/swedeninth</v>
      </c>
      <c r="AZ6" s="82" t="s">
        <v>65</v>
      </c>
      <c r="BA6" s="82"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266</v>
      </c>
      <c r="B7" s="15"/>
      <c r="C7" s="15"/>
      <c r="D7" s="92">
        <v>118</v>
      </c>
      <c r="E7" s="79"/>
      <c r="F7" s="111" t="str">
        <f>HYPERLINK("https://pbs.twimg.com/profile_images/860691869591666689/zYXQbZnJ_normal.jpg")</f>
        <v>https://pbs.twimg.com/profile_images/860691869591666689/zYXQbZnJ_normal.jpg</v>
      </c>
      <c r="G7" s="15"/>
      <c r="H7" s="16" t="s">
        <v>266</v>
      </c>
      <c r="I7" s="67"/>
      <c r="J7" s="67"/>
      <c r="K7" s="113" t="s">
        <v>376</v>
      </c>
      <c r="L7" s="93">
        <v>55.485013623978205</v>
      </c>
      <c r="M7" s="94">
        <v>1786.2532958984375</v>
      </c>
      <c r="N7" s="94">
        <v>7594.22607421875</v>
      </c>
      <c r="O7" s="78"/>
      <c r="P7" s="95"/>
      <c r="Q7" s="95"/>
      <c r="R7" s="96"/>
      <c r="S7" s="51">
        <v>3</v>
      </c>
      <c r="T7" s="51">
        <v>0</v>
      </c>
      <c r="U7" s="52">
        <v>0.4</v>
      </c>
      <c r="V7" s="52">
        <v>0.44</v>
      </c>
      <c r="W7" s="52">
        <v>0.28687</v>
      </c>
      <c r="X7" s="52">
        <v>0.078301</v>
      </c>
      <c r="Y7" s="52">
        <v>0.3333333333333333</v>
      </c>
      <c r="Z7" s="52">
        <v>0</v>
      </c>
      <c r="AA7" s="80">
        <v>7</v>
      </c>
      <c r="AB7" s="80"/>
      <c r="AC7" s="97"/>
      <c r="AD7" s="82" t="s">
        <v>333</v>
      </c>
      <c r="AE7" s="88" t="s">
        <v>344</v>
      </c>
      <c r="AF7" s="82">
        <v>1178</v>
      </c>
      <c r="AG7" s="82">
        <v>12929</v>
      </c>
      <c r="AH7" s="82">
        <v>5350</v>
      </c>
      <c r="AI7" s="82">
        <v>3067</v>
      </c>
      <c r="AJ7" s="82"/>
      <c r="AK7" s="82" t="s">
        <v>354</v>
      </c>
      <c r="AL7" s="82" t="s">
        <v>365</v>
      </c>
      <c r="AM7" s="86" t="str">
        <f>HYPERLINK("https://t.co/xRi2DVBTES")</f>
        <v>https://t.co/xRi2DVBTES</v>
      </c>
      <c r="AN7" s="82"/>
      <c r="AO7" s="84">
        <v>41778.472766203704</v>
      </c>
      <c r="AP7" s="86" t="str">
        <f>HYPERLINK("https://pbs.twimg.com/profile_banners/2507156402/1653629816")</f>
        <v>https://pbs.twimg.com/profile_banners/2507156402/1653629816</v>
      </c>
      <c r="AQ7" s="82" t="b">
        <v>1</v>
      </c>
      <c r="AR7" s="82" t="b">
        <v>0</v>
      </c>
      <c r="AS7" s="82" t="b">
        <v>1</v>
      </c>
      <c r="AT7" s="82"/>
      <c r="AU7" s="82">
        <v>179</v>
      </c>
      <c r="AV7" s="86" t="str">
        <f>HYPERLINK("https://abs.twimg.com/images/themes/theme1/bg.png")</f>
        <v>https://abs.twimg.com/images/themes/theme1/bg.png</v>
      </c>
      <c r="AW7" s="82" t="b">
        <v>0</v>
      </c>
      <c r="AX7" s="82" t="s">
        <v>372</v>
      </c>
      <c r="AY7" s="86" t="str">
        <f>HYPERLINK("https://twitter.com/eupasifika")</f>
        <v>https://twitter.com/eupasifika</v>
      </c>
      <c r="AZ7" s="82" t="s">
        <v>65</v>
      </c>
      <c r="BA7" s="82" t="str">
        <f>REPLACE(INDEX(GroupVertices[Group],MATCH(Vertices[[#This Row],[Vertex]],GroupVertices[Vertex],0)),1,1,"")</f>
        <v>2</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259</v>
      </c>
      <c r="B8" s="15"/>
      <c r="C8" s="15"/>
      <c r="D8" s="92">
        <v>748</v>
      </c>
      <c r="E8" s="79"/>
      <c r="F8" s="111" t="str">
        <f>HYPERLINK("https://pbs.twimg.com/profile_images/1297989560971014145/NrsqUm9u_normal.jpg")</f>
        <v>https://pbs.twimg.com/profile_images/1297989560971014145/NrsqUm9u_normal.jpg</v>
      </c>
      <c r="G8" s="15"/>
      <c r="H8" s="16" t="s">
        <v>259</v>
      </c>
      <c r="I8" s="67"/>
      <c r="J8" s="67"/>
      <c r="K8" s="113" t="s">
        <v>377</v>
      </c>
      <c r="L8" s="93">
        <v>1962.4604904632154</v>
      </c>
      <c r="M8" s="94">
        <v>1975.214111328125</v>
      </c>
      <c r="N8" s="94">
        <v>9045.373046875</v>
      </c>
      <c r="O8" s="78"/>
      <c r="P8" s="95"/>
      <c r="Q8" s="95"/>
      <c r="R8" s="96"/>
      <c r="S8" s="51">
        <v>2</v>
      </c>
      <c r="T8" s="51">
        <v>4</v>
      </c>
      <c r="U8" s="52">
        <v>14.4</v>
      </c>
      <c r="V8" s="52">
        <v>0.647059</v>
      </c>
      <c r="W8" s="52">
        <v>0.467813</v>
      </c>
      <c r="X8" s="52">
        <v>0.089949</v>
      </c>
      <c r="Y8" s="52">
        <v>0.26666666666666666</v>
      </c>
      <c r="Z8" s="52">
        <v>0</v>
      </c>
      <c r="AA8" s="80">
        <v>8</v>
      </c>
      <c r="AB8" s="80"/>
      <c r="AC8" s="97"/>
      <c r="AD8" s="82" t="s">
        <v>334</v>
      </c>
      <c r="AE8" s="88" t="s">
        <v>345</v>
      </c>
      <c r="AF8" s="82">
        <v>2388</v>
      </c>
      <c r="AG8" s="82">
        <v>181</v>
      </c>
      <c r="AH8" s="82">
        <v>46</v>
      </c>
      <c r="AI8" s="82">
        <v>584</v>
      </c>
      <c r="AJ8" s="82"/>
      <c r="AK8" s="82" t="s">
        <v>355</v>
      </c>
      <c r="AL8" s="82" t="s">
        <v>366</v>
      </c>
      <c r="AM8" s="82"/>
      <c r="AN8" s="82"/>
      <c r="AO8" s="84">
        <v>42382.86284722222</v>
      </c>
      <c r="AP8" s="86" t="str">
        <f>HYPERLINK("https://pbs.twimg.com/profile_banners/4797465459/1652140224")</f>
        <v>https://pbs.twimg.com/profile_banners/4797465459/1652140224</v>
      </c>
      <c r="AQ8" s="82" t="b">
        <v>1</v>
      </c>
      <c r="AR8" s="82" t="b">
        <v>0</v>
      </c>
      <c r="AS8" s="82" t="b">
        <v>1</v>
      </c>
      <c r="AT8" s="82"/>
      <c r="AU8" s="82">
        <v>0</v>
      </c>
      <c r="AV8" s="82"/>
      <c r="AW8" s="82" t="b">
        <v>0</v>
      </c>
      <c r="AX8" s="82" t="s">
        <v>372</v>
      </c>
      <c r="AY8" s="86" t="str">
        <f>HYPERLINK("https://twitter.com/valespinedi")</f>
        <v>https://twitter.com/valespinedi</v>
      </c>
      <c r="AZ8" s="82" t="s">
        <v>66</v>
      </c>
      <c r="BA8" s="82" t="str">
        <f>REPLACE(INDEX(GroupVertices[Group],MATCH(Vertices[[#This Row],[Vertex]],GroupVertices[Vertex],0)),1,1,"")</f>
        <v>2</v>
      </c>
      <c r="BB8" s="51">
        <v>2</v>
      </c>
      <c r="BC8" s="52">
        <v>7.142857142857143</v>
      </c>
      <c r="BD8" s="51">
        <v>0</v>
      </c>
      <c r="BE8" s="52">
        <v>0</v>
      </c>
      <c r="BF8" s="51">
        <v>0</v>
      </c>
      <c r="BG8" s="52">
        <v>0</v>
      </c>
      <c r="BH8" s="51">
        <v>26</v>
      </c>
      <c r="BI8" s="52">
        <v>92.85714285714286</v>
      </c>
      <c r="BJ8" s="51">
        <v>28</v>
      </c>
      <c r="BK8" s="51" t="s">
        <v>505</v>
      </c>
      <c r="BL8" s="51" t="s">
        <v>505</v>
      </c>
      <c r="BM8" s="51" t="s">
        <v>277</v>
      </c>
      <c r="BN8" s="51" t="s">
        <v>277</v>
      </c>
      <c r="BO8" s="51" t="s">
        <v>278</v>
      </c>
      <c r="BP8" s="51" t="s">
        <v>278</v>
      </c>
      <c r="BQ8" s="124" t="s">
        <v>534</v>
      </c>
      <c r="BR8" s="124" t="s">
        <v>534</v>
      </c>
      <c r="BS8" s="124" t="s">
        <v>560</v>
      </c>
      <c r="BT8" s="124" t="s">
        <v>560</v>
      </c>
      <c r="BU8" s="2"/>
      <c r="BV8" s="3"/>
      <c r="BW8" s="3"/>
      <c r="BX8" s="3"/>
      <c r="BY8" s="3"/>
    </row>
    <row r="9" spans="1:77" ht="15">
      <c r="A9" s="14" t="s">
        <v>258</v>
      </c>
      <c r="B9" s="15"/>
      <c r="C9" s="15"/>
      <c r="D9" s="92">
        <v>100</v>
      </c>
      <c r="E9" s="79"/>
      <c r="F9" s="111" t="str">
        <f>HYPERLINK("https://pbs.twimg.com/profile_images/1493540770657169409/B3g__931_normal.jpg")</f>
        <v>https://pbs.twimg.com/profile_images/1493540770657169409/B3g__931_normal.jpg</v>
      </c>
      <c r="G9" s="15"/>
      <c r="H9" s="16" t="s">
        <v>258</v>
      </c>
      <c r="I9" s="67"/>
      <c r="J9" s="67"/>
      <c r="K9" s="113" t="s">
        <v>378</v>
      </c>
      <c r="L9" s="93">
        <v>1</v>
      </c>
      <c r="M9" s="94">
        <v>6690.26611328125</v>
      </c>
      <c r="N9" s="94">
        <v>9577.517578125</v>
      </c>
      <c r="O9" s="78"/>
      <c r="P9" s="95"/>
      <c r="Q9" s="95"/>
      <c r="R9" s="96"/>
      <c r="S9" s="51">
        <v>0</v>
      </c>
      <c r="T9" s="51">
        <v>2</v>
      </c>
      <c r="U9" s="52">
        <v>0</v>
      </c>
      <c r="V9" s="52">
        <v>0.458333</v>
      </c>
      <c r="W9" s="52">
        <v>0.125156</v>
      </c>
      <c r="X9" s="52">
        <v>0.077215</v>
      </c>
      <c r="Y9" s="52">
        <v>0.5</v>
      </c>
      <c r="Z9" s="52">
        <v>0</v>
      </c>
      <c r="AA9" s="80">
        <v>9</v>
      </c>
      <c r="AB9" s="80"/>
      <c r="AC9" s="97"/>
      <c r="AD9" s="82" t="s">
        <v>335</v>
      </c>
      <c r="AE9" s="88" t="s">
        <v>346</v>
      </c>
      <c r="AF9" s="82">
        <v>5003</v>
      </c>
      <c r="AG9" s="82">
        <v>582</v>
      </c>
      <c r="AH9" s="82">
        <v>125299</v>
      </c>
      <c r="AI9" s="82">
        <v>106101</v>
      </c>
      <c r="AJ9" s="82"/>
      <c r="AK9" s="82" t="s">
        <v>356</v>
      </c>
      <c r="AL9" s="82" t="s">
        <v>367</v>
      </c>
      <c r="AM9" s="82"/>
      <c r="AN9" s="82"/>
      <c r="AO9" s="84">
        <v>40631.28680555556</v>
      </c>
      <c r="AP9" s="86" t="str">
        <f>HYPERLINK("https://pbs.twimg.com/profile_banners/273819343/1644922724")</f>
        <v>https://pbs.twimg.com/profile_banners/273819343/1644922724</v>
      </c>
      <c r="AQ9" s="82" t="b">
        <v>1</v>
      </c>
      <c r="AR9" s="82" t="b">
        <v>0</v>
      </c>
      <c r="AS9" s="82" t="b">
        <v>1</v>
      </c>
      <c r="AT9" s="82"/>
      <c r="AU9" s="82">
        <v>2</v>
      </c>
      <c r="AV9" s="86" t="str">
        <f>HYPERLINK("https://abs.twimg.com/images/themes/theme1/bg.png")</f>
        <v>https://abs.twimg.com/images/themes/theme1/bg.png</v>
      </c>
      <c r="AW9" s="82" t="b">
        <v>0</v>
      </c>
      <c r="AX9" s="82" t="s">
        <v>372</v>
      </c>
      <c r="AY9" s="86" t="str">
        <f>HYPERLINK("https://twitter.com/drmiryounis")</f>
        <v>https://twitter.com/drmiryounis</v>
      </c>
      <c r="AZ9" s="82" t="s">
        <v>66</v>
      </c>
      <c r="BA9" s="82" t="str">
        <f>REPLACE(INDEX(GroupVertices[Group],MATCH(Vertices[[#This Row],[Vertex]],GroupVertices[Vertex],0)),1,1,"")</f>
        <v>1</v>
      </c>
      <c r="BB9" s="51">
        <v>4</v>
      </c>
      <c r="BC9" s="52">
        <v>12.121212121212121</v>
      </c>
      <c r="BD9" s="51">
        <v>0</v>
      </c>
      <c r="BE9" s="52">
        <v>0</v>
      </c>
      <c r="BF9" s="51">
        <v>0</v>
      </c>
      <c r="BG9" s="52">
        <v>0</v>
      </c>
      <c r="BH9" s="51">
        <v>29</v>
      </c>
      <c r="BI9" s="52">
        <v>87.87878787878788</v>
      </c>
      <c r="BJ9" s="51">
        <v>33</v>
      </c>
      <c r="BK9" s="51"/>
      <c r="BL9" s="51"/>
      <c r="BM9" s="51"/>
      <c r="BN9" s="51"/>
      <c r="BO9" s="51" t="s">
        <v>279</v>
      </c>
      <c r="BP9" s="51" t="s">
        <v>279</v>
      </c>
      <c r="BQ9" s="124" t="s">
        <v>584</v>
      </c>
      <c r="BR9" s="124" t="s">
        <v>584</v>
      </c>
      <c r="BS9" s="124" t="s">
        <v>559</v>
      </c>
      <c r="BT9" s="124" t="s">
        <v>559</v>
      </c>
      <c r="BU9" s="2"/>
      <c r="BV9" s="3"/>
      <c r="BW9" s="3"/>
      <c r="BX9" s="3"/>
      <c r="BY9" s="3"/>
    </row>
    <row r="10" spans="1:77" ht="15">
      <c r="A10" s="14" t="s">
        <v>261</v>
      </c>
      <c r="B10" s="15"/>
      <c r="C10" s="15"/>
      <c r="D10" s="92">
        <v>145</v>
      </c>
      <c r="E10" s="79"/>
      <c r="F10" s="111" t="str">
        <f>HYPERLINK("https://pbs.twimg.com/profile_images/1424931191279390724/nQzlOlyv_normal.jpg")</f>
        <v>https://pbs.twimg.com/profile_images/1424931191279390724/nQzlOlyv_normal.jpg</v>
      </c>
      <c r="G10" s="15"/>
      <c r="H10" s="16" t="s">
        <v>261</v>
      </c>
      <c r="I10" s="67"/>
      <c r="J10" s="67"/>
      <c r="K10" s="113" t="s">
        <v>379</v>
      </c>
      <c r="L10" s="93">
        <v>137.21253405994548</v>
      </c>
      <c r="M10" s="94">
        <v>8678.26171875</v>
      </c>
      <c r="N10" s="94">
        <v>8902.052734375</v>
      </c>
      <c r="O10" s="78"/>
      <c r="P10" s="95"/>
      <c r="Q10" s="95"/>
      <c r="R10" s="96"/>
      <c r="S10" s="51">
        <v>2</v>
      </c>
      <c r="T10" s="51">
        <v>1</v>
      </c>
      <c r="U10" s="52">
        <v>1</v>
      </c>
      <c r="V10" s="52">
        <v>0.478261</v>
      </c>
      <c r="W10" s="52">
        <v>0.148414</v>
      </c>
      <c r="X10" s="52">
        <v>0.084568</v>
      </c>
      <c r="Y10" s="52">
        <v>0.3333333333333333</v>
      </c>
      <c r="Z10" s="52">
        <v>0</v>
      </c>
      <c r="AA10" s="80">
        <v>10</v>
      </c>
      <c r="AB10" s="80"/>
      <c r="AC10" s="97"/>
      <c r="AD10" s="82" t="s">
        <v>336</v>
      </c>
      <c r="AE10" s="88" t="s">
        <v>300</v>
      </c>
      <c r="AF10" s="82">
        <v>1416</v>
      </c>
      <c r="AG10" s="82">
        <v>70146</v>
      </c>
      <c r="AH10" s="82">
        <v>16984</v>
      </c>
      <c r="AI10" s="82">
        <v>6749</v>
      </c>
      <c r="AJ10" s="82"/>
      <c r="AK10" s="82" t="s">
        <v>357</v>
      </c>
      <c r="AL10" s="82" t="s">
        <v>364</v>
      </c>
      <c r="AM10" s="86" t="str">
        <f>HYPERLINK("https://t.co/xbk0q4qKmG")</f>
        <v>https://t.co/xbk0q4qKmG</v>
      </c>
      <c r="AN10" s="82"/>
      <c r="AO10" s="84">
        <v>39966.07802083333</v>
      </c>
      <c r="AP10" s="86" t="str">
        <f>HYPERLINK("https://pbs.twimg.com/profile_banners/44031134/1651553283")</f>
        <v>https://pbs.twimg.com/profile_banners/44031134/1651553283</v>
      </c>
      <c r="AQ10" s="82" t="b">
        <v>0</v>
      </c>
      <c r="AR10" s="82" t="b">
        <v>0</v>
      </c>
      <c r="AS10" s="82" t="b">
        <v>1</v>
      </c>
      <c r="AT10" s="82"/>
      <c r="AU10" s="82">
        <v>991</v>
      </c>
      <c r="AV10" s="86" t="str">
        <f>HYPERLINK("https://abs.twimg.com/images/themes/theme1/bg.png")</f>
        <v>https://abs.twimg.com/images/themes/theme1/bg.png</v>
      </c>
      <c r="AW10" s="82" t="b">
        <v>1</v>
      </c>
      <c r="AX10" s="82" t="s">
        <v>372</v>
      </c>
      <c r="AY10" s="86" t="str">
        <f>HYPERLINK("https://twitter.com/unescap")</f>
        <v>https://twitter.com/unescap</v>
      </c>
      <c r="AZ10" s="82" t="s">
        <v>66</v>
      </c>
      <c r="BA10" s="82" t="str">
        <f>REPLACE(INDEX(GroupVertices[Group],MATCH(Vertices[[#This Row],[Vertex]],GroupVertices[Vertex],0)),1,1,"")</f>
        <v>1</v>
      </c>
      <c r="BB10" s="51">
        <v>4</v>
      </c>
      <c r="BC10" s="52">
        <v>12.121212121212121</v>
      </c>
      <c r="BD10" s="51">
        <v>0</v>
      </c>
      <c r="BE10" s="52">
        <v>0</v>
      </c>
      <c r="BF10" s="51">
        <v>0</v>
      </c>
      <c r="BG10" s="52">
        <v>0</v>
      </c>
      <c r="BH10" s="51">
        <v>29</v>
      </c>
      <c r="BI10" s="52">
        <v>87.87878787878788</v>
      </c>
      <c r="BJ10" s="51">
        <v>33</v>
      </c>
      <c r="BK10" s="51"/>
      <c r="BL10" s="51"/>
      <c r="BM10" s="51"/>
      <c r="BN10" s="51"/>
      <c r="BO10" s="51" t="s">
        <v>279</v>
      </c>
      <c r="BP10" s="51" t="s">
        <v>279</v>
      </c>
      <c r="BQ10" s="124" t="s">
        <v>584</v>
      </c>
      <c r="BR10" s="124" t="s">
        <v>584</v>
      </c>
      <c r="BS10" s="124" t="s">
        <v>559</v>
      </c>
      <c r="BT10" s="124" t="s">
        <v>559</v>
      </c>
      <c r="BU10" s="2"/>
      <c r="BV10" s="3"/>
      <c r="BW10" s="3"/>
      <c r="BX10" s="3"/>
      <c r="BY10" s="3"/>
    </row>
    <row r="11" spans="1:77" ht="15">
      <c r="A11" s="14" t="s">
        <v>260</v>
      </c>
      <c r="B11" s="15"/>
      <c r="C11" s="15"/>
      <c r="D11" s="92">
        <v>730</v>
      </c>
      <c r="E11" s="79"/>
      <c r="F11" s="111" t="str">
        <f>HYPERLINK("https://pbs.twimg.com/profile_images/1440837918835163137/ccHKl4E4_normal.jpg")</f>
        <v>https://pbs.twimg.com/profile_images/1440837918835163137/ccHKl4E4_normal.jpg</v>
      </c>
      <c r="G11" s="15"/>
      <c r="H11" s="16" t="s">
        <v>260</v>
      </c>
      <c r="I11" s="67"/>
      <c r="J11" s="67"/>
      <c r="K11" s="113" t="s">
        <v>380</v>
      </c>
      <c r="L11" s="93">
        <v>1907.975476839237</v>
      </c>
      <c r="M11" s="94">
        <v>4928.8857421875</v>
      </c>
      <c r="N11" s="94">
        <v>6462.2568359375</v>
      </c>
      <c r="O11" s="78"/>
      <c r="P11" s="95"/>
      <c r="Q11" s="95"/>
      <c r="R11" s="96"/>
      <c r="S11" s="51">
        <v>0</v>
      </c>
      <c r="T11" s="51">
        <v>5</v>
      </c>
      <c r="U11" s="52">
        <v>14</v>
      </c>
      <c r="V11" s="52">
        <v>0.611111</v>
      </c>
      <c r="W11" s="52">
        <v>0.394502</v>
      </c>
      <c r="X11" s="52">
        <v>0.086979</v>
      </c>
      <c r="Y11" s="52">
        <v>0.2</v>
      </c>
      <c r="Z11" s="52">
        <v>0</v>
      </c>
      <c r="AA11" s="80">
        <v>11</v>
      </c>
      <c r="AB11" s="80"/>
      <c r="AC11" s="97"/>
      <c r="AD11" s="82" t="s">
        <v>337</v>
      </c>
      <c r="AE11" s="88" t="s">
        <v>347</v>
      </c>
      <c r="AF11" s="82">
        <v>168</v>
      </c>
      <c r="AG11" s="82">
        <v>136</v>
      </c>
      <c r="AH11" s="82">
        <v>176</v>
      </c>
      <c r="AI11" s="82">
        <v>624</v>
      </c>
      <c r="AJ11" s="82"/>
      <c r="AK11" s="82" t="s">
        <v>358</v>
      </c>
      <c r="AL11" s="82" t="s">
        <v>368</v>
      </c>
      <c r="AM11" s="82"/>
      <c r="AN11" s="82"/>
      <c r="AO11" s="84">
        <v>44173.14686342593</v>
      </c>
      <c r="AP11" s="86" t="str">
        <f>HYPERLINK("https://pbs.twimg.com/profile_banners/1336151276896153601/1632357505")</f>
        <v>https://pbs.twimg.com/profile_banners/1336151276896153601/1632357505</v>
      </c>
      <c r="AQ11" s="82" t="b">
        <v>1</v>
      </c>
      <c r="AR11" s="82" t="b">
        <v>0</v>
      </c>
      <c r="AS11" s="82" t="b">
        <v>0</v>
      </c>
      <c r="AT11" s="82"/>
      <c r="AU11" s="82">
        <v>2</v>
      </c>
      <c r="AV11" s="82"/>
      <c r="AW11" s="82" t="b">
        <v>0</v>
      </c>
      <c r="AX11" s="82" t="s">
        <v>372</v>
      </c>
      <c r="AY11" s="86" t="str">
        <f>HYPERLINK("https://twitter.com/floridatlango")</f>
        <v>https://twitter.com/floridatlango</v>
      </c>
      <c r="AZ11" s="82" t="s">
        <v>66</v>
      </c>
      <c r="BA11" s="82" t="str">
        <f>REPLACE(INDEX(GroupVertices[Group],MATCH(Vertices[[#This Row],[Vertex]],GroupVertices[Vertex],0)),1,1,"")</f>
        <v>2</v>
      </c>
      <c r="BB11" s="51">
        <v>2</v>
      </c>
      <c r="BC11" s="52">
        <v>7.142857142857143</v>
      </c>
      <c r="BD11" s="51">
        <v>0</v>
      </c>
      <c r="BE11" s="52">
        <v>0</v>
      </c>
      <c r="BF11" s="51">
        <v>0</v>
      </c>
      <c r="BG11" s="52">
        <v>0</v>
      </c>
      <c r="BH11" s="51">
        <v>26</v>
      </c>
      <c r="BI11" s="52">
        <v>92.85714285714286</v>
      </c>
      <c r="BJ11" s="51">
        <v>28</v>
      </c>
      <c r="BK11" s="51" t="s">
        <v>505</v>
      </c>
      <c r="BL11" s="51" t="s">
        <v>505</v>
      </c>
      <c r="BM11" s="51" t="s">
        <v>277</v>
      </c>
      <c r="BN11" s="51" t="s">
        <v>277</v>
      </c>
      <c r="BO11" s="51" t="s">
        <v>278</v>
      </c>
      <c r="BP11" s="51" t="s">
        <v>278</v>
      </c>
      <c r="BQ11" s="124" t="s">
        <v>534</v>
      </c>
      <c r="BR11" s="124" t="s">
        <v>534</v>
      </c>
      <c r="BS11" s="124" t="s">
        <v>560</v>
      </c>
      <c r="BT11" s="124" t="s">
        <v>560</v>
      </c>
      <c r="BU11" s="2"/>
      <c r="BV11" s="3"/>
      <c r="BW11" s="3"/>
      <c r="BX11" s="3"/>
      <c r="BY11" s="3"/>
    </row>
    <row r="12" spans="1:77" ht="15">
      <c r="A12" s="14" t="s">
        <v>262</v>
      </c>
      <c r="B12" s="15"/>
      <c r="C12" s="15"/>
      <c r="D12" s="92">
        <v>100</v>
      </c>
      <c r="E12" s="79"/>
      <c r="F12" s="111" t="str">
        <f>HYPERLINK("https://abs.twimg.com/sticky/default_profile_images/default_profile_normal.png")</f>
        <v>https://abs.twimg.com/sticky/default_profile_images/default_profile_normal.png</v>
      </c>
      <c r="G12" s="15"/>
      <c r="H12" s="16" t="s">
        <v>262</v>
      </c>
      <c r="I12" s="67"/>
      <c r="J12" s="67"/>
      <c r="K12" s="113" t="s">
        <v>381</v>
      </c>
      <c r="L12" s="93">
        <v>1</v>
      </c>
      <c r="M12" s="94">
        <v>9733.490234375</v>
      </c>
      <c r="N12" s="94">
        <v>6084.8271484375</v>
      </c>
      <c r="O12" s="78"/>
      <c r="P12" s="95"/>
      <c r="Q12" s="95"/>
      <c r="R12" s="96"/>
      <c r="S12" s="51">
        <v>0</v>
      </c>
      <c r="T12" s="51">
        <v>2</v>
      </c>
      <c r="U12" s="52">
        <v>0</v>
      </c>
      <c r="V12" s="52">
        <v>0.458333</v>
      </c>
      <c r="W12" s="52">
        <v>0.125156</v>
      </c>
      <c r="X12" s="52">
        <v>0.077215</v>
      </c>
      <c r="Y12" s="52">
        <v>0.5</v>
      </c>
      <c r="Z12" s="52">
        <v>0</v>
      </c>
      <c r="AA12" s="80">
        <v>12</v>
      </c>
      <c r="AB12" s="80"/>
      <c r="AC12" s="97"/>
      <c r="AD12" s="82" t="s">
        <v>338</v>
      </c>
      <c r="AE12" s="88" t="s">
        <v>348</v>
      </c>
      <c r="AF12" s="82">
        <v>3869</v>
      </c>
      <c r="AG12" s="82">
        <v>305</v>
      </c>
      <c r="AH12" s="82">
        <v>17633</v>
      </c>
      <c r="AI12" s="82">
        <v>13389</v>
      </c>
      <c r="AJ12" s="82"/>
      <c r="AK12" s="82" t="s">
        <v>359</v>
      </c>
      <c r="AL12" s="82" t="s">
        <v>369</v>
      </c>
      <c r="AM12" s="86" t="str">
        <f>HYPERLINK("http://t.co/iFVGyBrJJw")</f>
        <v>http://t.co/iFVGyBrJJw</v>
      </c>
      <c r="AN12" s="82"/>
      <c r="AO12" s="84">
        <v>42045.83153935185</v>
      </c>
      <c r="AP12" s="82"/>
      <c r="AQ12" s="82" t="b">
        <v>1</v>
      </c>
      <c r="AR12" s="82" t="b">
        <v>1</v>
      </c>
      <c r="AS12" s="82" t="b">
        <v>0</v>
      </c>
      <c r="AT12" s="82"/>
      <c r="AU12" s="82">
        <v>2</v>
      </c>
      <c r="AV12" s="86" t="str">
        <f>HYPERLINK("https://abs.twimg.com/images/themes/theme1/bg.png")</f>
        <v>https://abs.twimg.com/images/themes/theme1/bg.png</v>
      </c>
      <c r="AW12" s="82" t="b">
        <v>0</v>
      </c>
      <c r="AX12" s="82" t="s">
        <v>372</v>
      </c>
      <c r="AY12" s="86" t="str">
        <f>HYPERLINK("https://twitter.com/jmdjossoujean")</f>
        <v>https://twitter.com/jmdjossoujean</v>
      </c>
      <c r="AZ12" s="82" t="s">
        <v>66</v>
      </c>
      <c r="BA12" s="82" t="str">
        <f>REPLACE(INDEX(GroupVertices[Group],MATCH(Vertices[[#This Row],[Vertex]],GroupVertices[Vertex],0)),1,1,"")</f>
        <v>1</v>
      </c>
      <c r="BB12" s="51">
        <v>4</v>
      </c>
      <c r="BC12" s="52">
        <v>12.121212121212121</v>
      </c>
      <c r="BD12" s="51">
        <v>0</v>
      </c>
      <c r="BE12" s="52">
        <v>0</v>
      </c>
      <c r="BF12" s="51">
        <v>0</v>
      </c>
      <c r="BG12" s="52">
        <v>0</v>
      </c>
      <c r="BH12" s="51">
        <v>29</v>
      </c>
      <c r="BI12" s="52">
        <v>87.87878787878788</v>
      </c>
      <c r="BJ12" s="51">
        <v>33</v>
      </c>
      <c r="BK12" s="51"/>
      <c r="BL12" s="51"/>
      <c r="BM12" s="51"/>
      <c r="BN12" s="51"/>
      <c r="BO12" s="51" t="s">
        <v>279</v>
      </c>
      <c r="BP12" s="51" t="s">
        <v>279</v>
      </c>
      <c r="BQ12" s="124" t="s">
        <v>584</v>
      </c>
      <c r="BR12" s="124" t="s">
        <v>584</v>
      </c>
      <c r="BS12" s="124" t="s">
        <v>559</v>
      </c>
      <c r="BT12" s="124" t="s">
        <v>559</v>
      </c>
      <c r="BU12" s="2"/>
      <c r="BV12" s="3"/>
      <c r="BW12" s="3"/>
      <c r="BX12" s="3"/>
      <c r="BY12" s="3"/>
    </row>
    <row r="13" spans="1:77" ht="15">
      <c r="A13" s="14" t="s">
        <v>263</v>
      </c>
      <c r="B13" s="15"/>
      <c r="C13" s="15"/>
      <c r="D13" s="92">
        <v>1000</v>
      </c>
      <c r="E13" s="79"/>
      <c r="F13" s="111" t="str">
        <f>HYPERLINK("https://pbs.twimg.com/profile_images/1515064205858074624/e6bEAhlH_normal.jpg")</f>
        <v>https://pbs.twimg.com/profile_images/1515064205858074624/e6bEAhlH_normal.jpg</v>
      </c>
      <c r="G13" s="15"/>
      <c r="H13" s="16" t="s">
        <v>263</v>
      </c>
      <c r="I13" s="67"/>
      <c r="J13" s="67"/>
      <c r="K13" s="113" t="s">
        <v>382</v>
      </c>
      <c r="L13" s="93">
        <v>2725.2506811989097</v>
      </c>
      <c r="M13" s="94">
        <v>6276.51220703125</v>
      </c>
      <c r="N13" s="94">
        <v>3125.670166015625</v>
      </c>
      <c r="O13" s="78"/>
      <c r="P13" s="95"/>
      <c r="Q13" s="95"/>
      <c r="R13" s="96"/>
      <c r="S13" s="51">
        <v>0</v>
      </c>
      <c r="T13" s="51">
        <v>2</v>
      </c>
      <c r="U13" s="52">
        <v>20</v>
      </c>
      <c r="V13" s="52">
        <v>0.478261</v>
      </c>
      <c r="W13" s="52">
        <v>0.096295</v>
      </c>
      <c r="X13" s="52">
        <v>0.084562</v>
      </c>
      <c r="Y13" s="52">
        <v>0</v>
      </c>
      <c r="Z13" s="52">
        <v>0</v>
      </c>
      <c r="AA13" s="80">
        <v>13</v>
      </c>
      <c r="AB13" s="80"/>
      <c r="AC13" s="97"/>
      <c r="AD13" s="82" t="s">
        <v>339</v>
      </c>
      <c r="AE13" s="88" t="s">
        <v>349</v>
      </c>
      <c r="AF13" s="82">
        <v>301</v>
      </c>
      <c r="AG13" s="82">
        <v>120</v>
      </c>
      <c r="AH13" s="82">
        <v>7407</v>
      </c>
      <c r="AI13" s="82">
        <v>7323</v>
      </c>
      <c r="AJ13" s="82"/>
      <c r="AK13" s="82" t="s">
        <v>360</v>
      </c>
      <c r="AL13" s="82"/>
      <c r="AM13" s="82"/>
      <c r="AN13" s="82"/>
      <c r="AO13" s="84">
        <v>44604.964155092595</v>
      </c>
      <c r="AP13" s="86" t="str">
        <f>HYPERLINK("https://pbs.twimg.com/profile_banners/1492636446557044737/1652663698")</f>
        <v>https://pbs.twimg.com/profile_banners/1492636446557044737/1652663698</v>
      </c>
      <c r="AQ13" s="82" t="b">
        <v>1</v>
      </c>
      <c r="AR13" s="82" t="b">
        <v>0</v>
      </c>
      <c r="AS13" s="82" t="b">
        <v>0</v>
      </c>
      <c r="AT13" s="82"/>
      <c r="AU13" s="82">
        <v>0</v>
      </c>
      <c r="AV13" s="82"/>
      <c r="AW13" s="82" t="b">
        <v>0</v>
      </c>
      <c r="AX13" s="82" t="s">
        <v>372</v>
      </c>
      <c r="AY13" s="86" t="str">
        <f>HYPERLINK("https://twitter.com/florarantakari")</f>
        <v>https://twitter.com/florarantakari</v>
      </c>
      <c r="AZ13" s="82" t="s">
        <v>66</v>
      </c>
      <c r="BA13" s="82" t="str">
        <f>REPLACE(INDEX(GroupVertices[Group],MATCH(Vertices[[#This Row],[Vertex]],GroupVertices[Vertex],0)),1,1,"")</f>
        <v>1</v>
      </c>
      <c r="BB13" s="51">
        <v>2</v>
      </c>
      <c r="BC13" s="52">
        <v>5.714285714285714</v>
      </c>
      <c r="BD13" s="51">
        <v>0</v>
      </c>
      <c r="BE13" s="52">
        <v>0</v>
      </c>
      <c r="BF13" s="51">
        <v>0</v>
      </c>
      <c r="BG13" s="52">
        <v>0</v>
      </c>
      <c r="BH13" s="51">
        <v>33</v>
      </c>
      <c r="BI13" s="52">
        <v>94.28571428571429</v>
      </c>
      <c r="BJ13" s="51">
        <v>35</v>
      </c>
      <c r="BK13" s="51"/>
      <c r="BL13" s="51"/>
      <c r="BM13" s="51"/>
      <c r="BN13" s="51"/>
      <c r="BO13" s="51"/>
      <c r="BP13" s="51"/>
      <c r="BQ13" s="124" t="s">
        <v>585</v>
      </c>
      <c r="BR13" s="124" t="s">
        <v>585</v>
      </c>
      <c r="BS13" s="124" t="s">
        <v>588</v>
      </c>
      <c r="BT13" s="124" t="s">
        <v>588</v>
      </c>
      <c r="BU13" s="2"/>
      <c r="BV13" s="3"/>
      <c r="BW13" s="3"/>
      <c r="BX13" s="3"/>
      <c r="BY13" s="3"/>
    </row>
    <row r="14" spans="1:77" ht="15">
      <c r="A14" s="98" t="s">
        <v>268</v>
      </c>
      <c r="B14" s="99"/>
      <c r="C14" s="99"/>
      <c r="D14" s="100">
        <v>100</v>
      </c>
      <c r="E14" s="101"/>
      <c r="F14" s="112" t="str">
        <f>HYPERLINK("https://pbs.twimg.com/profile_images/1508340436632440836/-bBDovk1_normal.jpg")</f>
        <v>https://pbs.twimg.com/profile_images/1508340436632440836/-bBDovk1_normal.jpg</v>
      </c>
      <c r="G14" s="99"/>
      <c r="H14" s="102" t="s">
        <v>268</v>
      </c>
      <c r="I14" s="103"/>
      <c r="J14" s="103"/>
      <c r="K14" s="114" t="s">
        <v>383</v>
      </c>
      <c r="L14" s="104">
        <v>1</v>
      </c>
      <c r="M14" s="105">
        <v>5070.1142578125</v>
      </c>
      <c r="N14" s="105">
        <v>412.5146484375</v>
      </c>
      <c r="O14" s="106"/>
      <c r="P14" s="107"/>
      <c r="Q14" s="107"/>
      <c r="R14" s="108"/>
      <c r="S14" s="51">
        <v>1</v>
      </c>
      <c r="T14" s="51">
        <v>0</v>
      </c>
      <c r="U14" s="52">
        <v>0</v>
      </c>
      <c r="V14" s="52">
        <v>0.333333</v>
      </c>
      <c r="W14" s="52">
        <v>0.02198</v>
      </c>
      <c r="X14" s="52">
        <v>0.077176</v>
      </c>
      <c r="Y14" s="52">
        <v>0</v>
      </c>
      <c r="Z14" s="52">
        <v>0</v>
      </c>
      <c r="AA14" s="109">
        <v>14</v>
      </c>
      <c r="AB14" s="109"/>
      <c r="AC14" s="110"/>
      <c r="AD14" s="82" t="s">
        <v>340</v>
      </c>
      <c r="AE14" s="88" t="s">
        <v>302</v>
      </c>
      <c r="AF14" s="82">
        <v>3184</v>
      </c>
      <c r="AG14" s="82">
        <v>2674</v>
      </c>
      <c r="AH14" s="82">
        <v>36985</v>
      </c>
      <c r="AI14" s="82">
        <v>26307</v>
      </c>
      <c r="AJ14" s="82"/>
      <c r="AK14" s="82" t="s">
        <v>361</v>
      </c>
      <c r="AL14" s="82" t="s">
        <v>370</v>
      </c>
      <c r="AM14" s="82"/>
      <c r="AN14" s="82"/>
      <c r="AO14" s="84">
        <v>40094.1040162037</v>
      </c>
      <c r="AP14" s="86" t="str">
        <f>HYPERLINK("https://pbs.twimg.com/profile_banners/80744574/1651027306")</f>
        <v>https://pbs.twimg.com/profile_banners/80744574/1651027306</v>
      </c>
      <c r="AQ14" s="82" t="b">
        <v>0</v>
      </c>
      <c r="AR14" s="82" t="b">
        <v>0</v>
      </c>
      <c r="AS14" s="82" t="b">
        <v>1</v>
      </c>
      <c r="AT14" s="82"/>
      <c r="AU14" s="82">
        <v>10</v>
      </c>
      <c r="AV14" s="86" t="str">
        <f>HYPERLINK("https://abs.twimg.com/images/themes/theme12/bg.gif")</f>
        <v>https://abs.twimg.com/images/themes/theme12/bg.gif</v>
      </c>
      <c r="AW14" s="82" t="b">
        <v>0</v>
      </c>
      <c r="AX14" s="82" t="s">
        <v>372</v>
      </c>
      <c r="AY14" s="86" t="str">
        <f>HYPERLINK("https://twitter.com/meselianne")</f>
        <v>https://twitter.com/meselianne</v>
      </c>
      <c r="AZ14" s="82" t="s">
        <v>65</v>
      </c>
      <c r="BA14" s="82" t="str">
        <f>REPLACE(INDEX(GroupVertices[Group],MATCH(Vertices[[#This Row],[Vertex]],GroupVertices[Vertex],0)),1,1,"")</f>
        <v>1</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458</v>
      </c>
      <c r="Z2" s="68" t="s">
        <v>459</v>
      </c>
      <c r="AA2" s="68" t="s">
        <v>460</v>
      </c>
      <c r="AB2" s="68" t="s">
        <v>461</v>
      </c>
      <c r="AC2" s="68" t="s">
        <v>462</v>
      </c>
      <c r="AD2" s="68" t="s">
        <v>463</v>
      </c>
      <c r="AE2" s="68" t="s">
        <v>464</v>
      </c>
      <c r="AF2" s="68" t="s">
        <v>465</v>
      </c>
      <c r="AG2" s="68" t="s">
        <v>468</v>
      </c>
      <c r="AH2" s="13" t="s">
        <v>511</v>
      </c>
      <c r="AI2" s="13" t="s">
        <v>515</v>
      </c>
      <c r="AJ2" s="13" t="s">
        <v>528</v>
      </c>
      <c r="AK2" s="13" t="s">
        <v>532</v>
      </c>
      <c r="AL2" s="13" t="s">
        <v>558</v>
      </c>
      <c r="AM2" s="13" t="s">
        <v>567</v>
      </c>
      <c r="AN2" s="13" t="s">
        <v>569</v>
      </c>
      <c r="AO2" s="13" t="s">
        <v>574</v>
      </c>
    </row>
    <row r="3" spans="1:41" ht="15">
      <c r="A3" s="81" t="s">
        <v>386</v>
      </c>
      <c r="B3" s="116" t="s">
        <v>388</v>
      </c>
      <c r="C3" s="116" t="s">
        <v>56</v>
      </c>
      <c r="D3" s="15"/>
      <c r="E3" s="15"/>
      <c r="F3" s="16" t="s">
        <v>595</v>
      </c>
      <c r="G3" s="78"/>
      <c r="H3" s="78"/>
      <c r="I3" s="80">
        <v>3</v>
      </c>
      <c r="J3" s="64"/>
      <c r="K3" s="51">
        <v>6</v>
      </c>
      <c r="L3" s="51">
        <v>6</v>
      </c>
      <c r="M3" s="51">
        <v>2</v>
      </c>
      <c r="N3" s="51">
        <v>8</v>
      </c>
      <c r="O3" s="51">
        <v>0</v>
      </c>
      <c r="P3" s="52">
        <v>0</v>
      </c>
      <c r="Q3" s="52">
        <v>0</v>
      </c>
      <c r="R3" s="51">
        <v>1</v>
      </c>
      <c r="S3" s="51">
        <v>0</v>
      </c>
      <c r="T3" s="51">
        <v>6</v>
      </c>
      <c r="U3" s="51">
        <v>8</v>
      </c>
      <c r="V3" s="51">
        <v>3</v>
      </c>
      <c r="W3" s="52">
        <v>1.444444</v>
      </c>
      <c r="X3" s="52">
        <v>0.23333333333333334</v>
      </c>
      <c r="Y3" s="51">
        <v>14</v>
      </c>
      <c r="Z3" s="52">
        <v>10.447761194029852</v>
      </c>
      <c r="AA3" s="51">
        <v>0</v>
      </c>
      <c r="AB3" s="52">
        <v>0</v>
      </c>
      <c r="AC3" s="51">
        <v>0</v>
      </c>
      <c r="AD3" s="52">
        <v>0</v>
      </c>
      <c r="AE3" s="51">
        <v>120</v>
      </c>
      <c r="AF3" s="52">
        <v>89.55223880597015</v>
      </c>
      <c r="AG3" s="51">
        <v>134</v>
      </c>
      <c r="AH3" s="82"/>
      <c r="AI3" s="82"/>
      <c r="AJ3" s="82" t="s">
        <v>279</v>
      </c>
      <c r="AK3" s="88" t="s">
        <v>533</v>
      </c>
      <c r="AL3" s="88" t="s">
        <v>559</v>
      </c>
      <c r="AM3" s="88" t="s">
        <v>568</v>
      </c>
      <c r="AN3" s="88" t="s">
        <v>267</v>
      </c>
      <c r="AO3" s="88" t="s">
        <v>575</v>
      </c>
    </row>
    <row r="4" spans="1:41" ht="15">
      <c r="A4" s="81" t="s">
        <v>387</v>
      </c>
      <c r="B4" s="116" t="s">
        <v>389</v>
      </c>
      <c r="C4" s="116" t="s">
        <v>56</v>
      </c>
      <c r="D4" s="15"/>
      <c r="E4" s="15"/>
      <c r="F4" s="16" t="s">
        <v>596</v>
      </c>
      <c r="G4" s="78"/>
      <c r="H4" s="78"/>
      <c r="I4" s="80">
        <v>4</v>
      </c>
      <c r="J4" s="80"/>
      <c r="K4" s="51">
        <v>6</v>
      </c>
      <c r="L4" s="51">
        <v>11</v>
      </c>
      <c r="M4" s="51">
        <v>0</v>
      </c>
      <c r="N4" s="51">
        <v>11</v>
      </c>
      <c r="O4" s="51">
        <v>0</v>
      </c>
      <c r="P4" s="52">
        <v>0</v>
      </c>
      <c r="Q4" s="52">
        <v>0</v>
      </c>
      <c r="R4" s="51">
        <v>1</v>
      </c>
      <c r="S4" s="51">
        <v>0</v>
      </c>
      <c r="T4" s="51">
        <v>6</v>
      </c>
      <c r="U4" s="51">
        <v>11</v>
      </c>
      <c r="V4" s="51">
        <v>2</v>
      </c>
      <c r="W4" s="52">
        <v>1.055556</v>
      </c>
      <c r="X4" s="52">
        <v>0.36666666666666664</v>
      </c>
      <c r="Y4" s="51">
        <v>6</v>
      </c>
      <c r="Z4" s="52">
        <v>7.142857142857143</v>
      </c>
      <c r="AA4" s="51">
        <v>0</v>
      </c>
      <c r="AB4" s="52">
        <v>0</v>
      </c>
      <c r="AC4" s="51">
        <v>0</v>
      </c>
      <c r="AD4" s="52">
        <v>0</v>
      </c>
      <c r="AE4" s="51">
        <v>78</v>
      </c>
      <c r="AF4" s="52">
        <v>92.85714285714286</v>
      </c>
      <c r="AG4" s="51">
        <v>84</v>
      </c>
      <c r="AH4" s="82" t="s">
        <v>505</v>
      </c>
      <c r="AI4" s="82" t="s">
        <v>277</v>
      </c>
      <c r="AJ4" s="82" t="s">
        <v>278</v>
      </c>
      <c r="AK4" s="88" t="s">
        <v>534</v>
      </c>
      <c r="AL4" s="88" t="s">
        <v>560</v>
      </c>
      <c r="AM4" s="88"/>
      <c r="AN4" s="88" t="s">
        <v>570</v>
      </c>
      <c r="AO4" s="88" t="s">
        <v>576</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2" t="s">
        <v>386</v>
      </c>
      <c r="B2" s="88" t="s">
        <v>263</v>
      </c>
      <c r="C2" s="82">
        <f>VLOOKUP(GroupVertices[[#This Row],[Vertex]],Vertices[],MATCH("ID",Vertices[[#Headers],[Vertex]:[Top Word Pairs in Tweet by Salience]],0),FALSE)</f>
        <v>13</v>
      </c>
    </row>
    <row r="3" spans="1:3" ht="15">
      <c r="A3" s="83" t="s">
        <v>386</v>
      </c>
      <c r="B3" s="88" t="s">
        <v>268</v>
      </c>
      <c r="C3" s="82">
        <f>VLOOKUP(GroupVertices[[#This Row],[Vertex]],Vertices[],MATCH("ID",Vertices[[#Headers],[Vertex]:[Top Word Pairs in Tweet by Salience]],0),FALSE)</f>
        <v>14</v>
      </c>
    </row>
    <row r="4" spans="1:3" ht="15">
      <c r="A4" s="83" t="s">
        <v>386</v>
      </c>
      <c r="B4" s="88" t="s">
        <v>267</v>
      </c>
      <c r="C4" s="82">
        <f>VLOOKUP(GroupVertices[[#This Row],[Vertex]],Vertices[],MATCH("ID",Vertices[[#Headers],[Vertex]:[Top Word Pairs in Tweet by Salience]],0),FALSE)</f>
        <v>4</v>
      </c>
    </row>
    <row r="5" spans="1:3" ht="15">
      <c r="A5" s="83" t="s">
        <v>386</v>
      </c>
      <c r="B5" s="88" t="s">
        <v>262</v>
      </c>
      <c r="C5" s="82">
        <f>VLOOKUP(GroupVertices[[#This Row],[Vertex]],Vertices[],MATCH("ID",Vertices[[#Headers],[Vertex]:[Top Word Pairs in Tweet by Salience]],0),FALSE)</f>
        <v>12</v>
      </c>
    </row>
    <row r="6" spans="1:3" ht="15">
      <c r="A6" s="83" t="s">
        <v>386</v>
      </c>
      <c r="B6" s="88" t="s">
        <v>261</v>
      </c>
      <c r="C6" s="82">
        <f>VLOOKUP(GroupVertices[[#This Row],[Vertex]],Vertices[],MATCH("ID",Vertices[[#Headers],[Vertex]:[Top Word Pairs in Tweet by Salience]],0),FALSE)</f>
        <v>10</v>
      </c>
    </row>
    <row r="7" spans="1:3" ht="15">
      <c r="A7" s="83" t="s">
        <v>386</v>
      </c>
      <c r="B7" s="88" t="s">
        <v>258</v>
      </c>
      <c r="C7" s="82">
        <f>VLOOKUP(GroupVertices[[#This Row],[Vertex]],Vertices[],MATCH("ID",Vertices[[#Headers],[Vertex]:[Top Word Pairs in Tweet by Salience]],0),FALSE)</f>
        <v>9</v>
      </c>
    </row>
    <row r="8" spans="1:3" ht="15">
      <c r="A8" s="83" t="s">
        <v>387</v>
      </c>
      <c r="B8" s="88" t="s">
        <v>260</v>
      </c>
      <c r="C8" s="82">
        <f>VLOOKUP(GroupVertices[[#This Row],[Vertex]],Vertices[],MATCH("ID",Vertices[[#Headers],[Vertex]:[Top Word Pairs in Tweet by Salience]],0),FALSE)</f>
        <v>11</v>
      </c>
    </row>
    <row r="9" spans="1:3" ht="15">
      <c r="A9" s="83" t="s">
        <v>387</v>
      </c>
      <c r="B9" s="88" t="s">
        <v>259</v>
      </c>
      <c r="C9" s="82">
        <f>VLOOKUP(GroupVertices[[#This Row],[Vertex]],Vertices[],MATCH("ID",Vertices[[#Headers],[Vertex]:[Top Word Pairs in Tweet by Salience]],0),FALSE)</f>
        <v>8</v>
      </c>
    </row>
    <row r="10" spans="1:3" ht="15">
      <c r="A10" s="83" t="s">
        <v>387</v>
      </c>
      <c r="B10" s="88" t="s">
        <v>266</v>
      </c>
      <c r="C10" s="82">
        <f>VLOOKUP(GroupVertices[[#This Row],[Vertex]],Vertices[],MATCH("ID",Vertices[[#Headers],[Vertex]:[Top Word Pairs in Tweet by Salience]],0),FALSE)</f>
        <v>7</v>
      </c>
    </row>
    <row r="11" spans="1:3" ht="15">
      <c r="A11" s="83" t="s">
        <v>387</v>
      </c>
      <c r="B11" s="88" t="s">
        <v>265</v>
      </c>
      <c r="C11" s="82">
        <f>VLOOKUP(GroupVertices[[#This Row],[Vertex]],Vertices[],MATCH("ID",Vertices[[#Headers],[Vertex]:[Top Word Pairs in Tweet by Salience]],0),FALSE)</f>
        <v>6</v>
      </c>
    </row>
    <row r="12" spans="1:3" ht="15">
      <c r="A12" s="83" t="s">
        <v>387</v>
      </c>
      <c r="B12" s="88" t="s">
        <v>264</v>
      </c>
      <c r="C12" s="82">
        <f>VLOOKUP(GroupVertices[[#This Row],[Vertex]],Vertices[],MATCH("ID",Vertices[[#Headers],[Vertex]:[Top Word Pairs in Tweet by Salience]],0),FALSE)</f>
        <v>5</v>
      </c>
    </row>
    <row r="13" spans="1:3" ht="15">
      <c r="A13" s="83" t="s">
        <v>387</v>
      </c>
      <c r="B13" s="88" t="s">
        <v>257</v>
      </c>
      <c r="C13" s="82">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472</v>
      </c>
      <c r="B2" s="36" t="s">
        <v>191</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7</v>
      </c>
      <c r="L2" s="39">
        <f>MIN(Vertices[Closeness Centrality])</f>
        <v>0.333333</v>
      </c>
      <c r="M2" s="40">
        <f>COUNTIF(Vertices[Closeness Centrality],"&gt;= "&amp;L2)-COUNTIF(Vertices[Closeness Centrality],"&gt;="&amp;L3)</f>
        <v>1</v>
      </c>
      <c r="N2" s="39">
        <f>MIN(Vertices[Eigenvector Centrality])</f>
        <v>0.02198</v>
      </c>
      <c r="O2" s="40">
        <f>COUNTIF(Vertices[Eigenvector Centrality],"&gt;= "&amp;N2)-COUNTIF(Vertices[Eigenvector Centrality],"&gt;="&amp;N3)</f>
        <v>1</v>
      </c>
      <c r="P2" s="39">
        <f>MIN(Vertices[PageRank])</f>
        <v>0.077176</v>
      </c>
      <c r="Q2" s="40">
        <f>COUNTIF(Vertices[PageRank],"&gt;= "&amp;P2)-COUNTIF(Vertices[PageRank],"&gt;="&amp;P3)</f>
        <v>3</v>
      </c>
      <c r="R2" s="39">
        <f>MIN(Vertices[Clustering Coefficient])</f>
        <v>0</v>
      </c>
      <c r="S2" s="45">
        <f>COUNTIF(Vertices[Clustering Coefficient],"&gt;= "&amp;R2)-COUNTIF(Vertices[Clustering Coefficient],"&gt;="&amp;R3)</f>
        <v>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3"/>
      <c r="B3" s="123"/>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2.158823529411765</v>
      </c>
      <c r="K3" s="42">
        <f>COUNTIF(Vertices[Betweenness Centrality],"&gt;= "&amp;J3)-COUNTIF(Vertices[Betweenness Centrality],"&gt;="&amp;J4)</f>
        <v>0</v>
      </c>
      <c r="L3" s="41">
        <f aca="true" t="shared" si="5" ref="L3:L35">L2+($L$36-$L$2)/BinDivisor</f>
        <v>0.34509770588235295</v>
      </c>
      <c r="M3" s="42">
        <f>COUNTIF(Vertices[Closeness Centrality],"&gt;= "&amp;L3)-COUNTIF(Vertices[Closeness Centrality],"&gt;="&amp;L4)</f>
        <v>0</v>
      </c>
      <c r="N3" s="41">
        <f aca="true" t="shared" si="6" ref="N3:N35">N2+($N$36-$N$2)/BinDivisor</f>
        <v>0.03509273529411765</v>
      </c>
      <c r="O3" s="42">
        <f>COUNTIF(Vertices[Eigenvector Centrality],"&gt;= "&amp;N3)-COUNTIF(Vertices[Eigenvector Centrality],"&gt;="&amp;N4)</f>
        <v>0</v>
      </c>
      <c r="P3" s="41">
        <f aca="true" t="shared" si="7" ref="P3:P35">P2+($P$36-$P$2)/BinDivisor</f>
        <v>0.07786064705882352</v>
      </c>
      <c r="Q3" s="42">
        <f>COUNTIF(Vertices[PageRank],"&gt;= "&amp;P3)-COUNTIF(Vertices[PageRank],"&gt;="&amp;P4)</f>
        <v>3</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12</v>
      </c>
      <c r="D4" s="34">
        <f t="shared" si="1"/>
        <v>0</v>
      </c>
      <c r="E4" s="3">
        <f>COUNTIF(Vertices[Degree],"&gt;= "&amp;D4)-COUNTIF(Vertices[Degree],"&gt;="&amp;D5)</f>
        <v>0</v>
      </c>
      <c r="F4" s="39">
        <f t="shared" si="2"/>
        <v>0.4117647058823529</v>
      </c>
      <c r="G4" s="40">
        <f>COUNTIF(Vertices[In-Degree],"&gt;= "&amp;F4)-COUNTIF(Vertices[In-Degree],"&gt;="&amp;F5)</f>
        <v>0</v>
      </c>
      <c r="H4" s="39">
        <f t="shared" si="3"/>
        <v>0.29411764705882354</v>
      </c>
      <c r="I4" s="40">
        <f>COUNTIF(Vertices[Out-Degree],"&gt;= "&amp;H4)-COUNTIF(Vertices[Out-Degree],"&gt;="&amp;H5)</f>
        <v>0</v>
      </c>
      <c r="J4" s="39">
        <f t="shared" si="4"/>
        <v>4.31764705882353</v>
      </c>
      <c r="K4" s="40">
        <f>COUNTIF(Vertices[Betweenness Centrality],"&gt;= "&amp;J4)-COUNTIF(Vertices[Betweenness Centrality],"&gt;="&amp;J5)</f>
        <v>0</v>
      </c>
      <c r="L4" s="39">
        <f t="shared" si="5"/>
        <v>0.3568624117647059</v>
      </c>
      <c r="M4" s="40">
        <f>COUNTIF(Vertices[Closeness Centrality],"&gt;= "&amp;L4)-COUNTIF(Vertices[Closeness Centrality],"&gt;="&amp;L5)</f>
        <v>0</v>
      </c>
      <c r="N4" s="39">
        <f t="shared" si="6"/>
        <v>0.048205470588235294</v>
      </c>
      <c r="O4" s="40">
        <f>COUNTIF(Vertices[Eigenvector Centrality],"&gt;= "&amp;N4)-COUNTIF(Vertices[Eigenvector Centrality],"&gt;="&amp;N5)</f>
        <v>0</v>
      </c>
      <c r="P4" s="39">
        <f t="shared" si="7"/>
        <v>0.07854529411764705</v>
      </c>
      <c r="Q4" s="40">
        <f>COUNTIF(Vertices[PageRank],"&gt;= "&amp;P4)-COUNTIF(Vertices[PageRank],"&gt;="&amp;P5)</f>
        <v>0</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3"/>
      <c r="B5" s="123"/>
      <c r="D5" s="34">
        <f t="shared" si="1"/>
        <v>0</v>
      </c>
      <c r="E5" s="3">
        <f>COUNTIF(Vertices[Degree],"&gt;= "&amp;D5)-COUNTIF(Vertices[Degree],"&gt;="&amp;D6)</f>
        <v>0</v>
      </c>
      <c r="F5" s="41">
        <f t="shared" si="2"/>
        <v>0.6176470588235294</v>
      </c>
      <c r="G5" s="42">
        <f>COUNTIF(Vertices[In-Degree],"&gt;= "&amp;F5)-COUNTIF(Vertices[In-Degree],"&gt;="&amp;F6)</f>
        <v>0</v>
      </c>
      <c r="H5" s="41">
        <f t="shared" si="3"/>
        <v>0.4411764705882353</v>
      </c>
      <c r="I5" s="42">
        <f>COUNTIF(Vertices[Out-Degree],"&gt;= "&amp;H5)-COUNTIF(Vertices[Out-Degree],"&gt;="&amp;H6)</f>
        <v>0</v>
      </c>
      <c r="J5" s="41">
        <f t="shared" si="4"/>
        <v>6.476470588235295</v>
      </c>
      <c r="K5" s="42">
        <f>COUNTIF(Vertices[Betweenness Centrality],"&gt;= "&amp;J5)-COUNTIF(Vertices[Betweenness Centrality],"&gt;="&amp;J6)</f>
        <v>0</v>
      </c>
      <c r="L5" s="41">
        <f t="shared" si="5"/>
        <v>0.36862711764705886</v>
      </c>
      <c r="M5" s="42">
        <f>COUNTIF(Vertices[Closeness Centrality],"&gt;= "&amp;L5)-COUNTIF(Vertices[Closeness Centrality],"&gt;="&amp;L6)</f>
        <v>0</v>
      </c>
      <c r="N5" s="41">
        <f t="shared" si="6"/>
        <v>0.06131820588235294</v>
      </c>
      <c r="O5" s="42">
        <f>COUNTIF(Vertices[Eigenvector Centrality],"&gt;= "&amp;N5)-COUNTIF(Vertices[Eigenvector Centrality],"&gt;="&amp;N6)</f>
        <v>0</v>
      </c>
      <c r="P5" s="41">
        <f t="shared" si="7"/>
        <v>0.07922994117647057</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20</v>
      </c>
      <c r="D6" s="34">
        <f t="shared" si="1"/>
        <v>0</v>
      </c>
      <c r="E6" s="3">
        <f>COUNTIF(Vertices[Degree],"&gt;= "&amp;D6)-COUNTIF(Vertices[Degree],"&gt;="&amp;D7)</f>
        <v>0</v>
      </c>
      <c r="F6" s="39">
        <f t="shared" si="2"/>
        <v>0.8235294117647058</v>
      </c>
      <c r="G6" s="40">
        <f>COUNTIF(Vertices[In-Degree],"&gt;= "&amp;F6)-COUNTIF(Vertices[In-Degree],"&gt;="&amp;F7)</f>
        <v>1</v>
      </c>
      <c r="H6" s="39">
        <f t="shared" si="3"/>
        <v>0.5882352941176471</v>
      </c>
      <c r="I6" s="40">
        <f>COUNTIF(Vertices[Out-Degree],"&gt;= "&amp;H6)-COUNTIF(Vertices[Out-Degree],"&gt;="&amp;H7)</f>
        <v>0</v>
      </c>
      <c r="J6" s="39">
        <f t="shared" si="4"/>
        <v>8.63529411764706</v>
      </c>
      <c r="K6" s="40">
        <f>COUNTIF(Vertices[Betweenness Centrality],"&gt;= "&amp;J6)-COUNTIF(Vertices[Betweenness Centrality],"&gt;="&amp;J7)</f>
        <v>0</v>
      </c>
      <c r="L6" s="39">
        <f t="shared" si="5"/>
        <v>0.3803918235294118</v>
      </c>
      <c r="M6" s="40">
        <f>COUNTIF(Vertices[Closeness Centrality],"&gt;= "&amp;L6)-COUNTIF(Vertices[Closeness Centrality],"&gt;="&amp;L7)</f>
        <v>0</v>
      </c>
      <c r="N6" s="39">
        <f t="shared" si="6"/>
        <v>0.07443094117647059</v>
      </c>
      <c r="O6" s="40">
        <f>COUNTIF(Vertices[Eigenvector Centrality],"&gt;= "&amp;N6)-COUNTIF(Vertices[Eigenvector Centrality],"&gt;="&amp;N7)</f>
        <v>0</v>
      </c>
      <c r="P6" s="39">
        <f t="shared" si="7"/>
        <v>0.0799145882352941</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1.0294117647058822</v>
      </c>
      <c r="G7" s="42">
        <f>COUNTIF(Vertices[In-Degree],"&gt;= "&amp;F7)-COUNTIF(Vertices[In-Degree],"&gt;="&amp;F8)</f>
        <v>0</v>
      </c>
      <c r="H7" s="41">
        <f t="shared" si="3"/>
        <v>0.7352941176470589</v>
      </c>
      <c r="I7" s="42">
        <f>COUNTIF(Vertices[Out-Degree],"&gt;= "&amp;H7)-COUNTIF(Vertices[Out-Degree],"&gt;="&amp;H8)</f>
        <v>0</v>
      </c>
      <c r="J7" s="41">
        <f t="shared" si="4"/>
        <v>10.794117647058826</v>
      </c>
      <c r="K7" s="42">
        <f>COUNTIF(Vertices[Betweenness Centrality],"&gt;= "&amp;J7)-COUNTIF(Vertices[Betweenness Centrality],"&gt;="&amp;J8)</f>
        <v>0</v>
      </c>
      <c r="L7" s="41">
        <f t="shared" si="5"/>
        <v>0.39215652941176476</v>
      </c>
      <c r="M7" s="42">
        <f>COUNTIF(Vertices[Closeness Centrality],"&gt;= "&amp;L7)-COUNTIF(Vertices[Closeness Centrality],"&gt;="&amp;L8)</f>
        <v>0</v>
      </c>
      <c r="N7" s="41">
        <f t="shared" si="6"/>
        <v>0.08754367647058824</v>
      </c>
      <c r="O7" s="42">
        <f>COUNTIF(Vertices[Eigenvector Centrality],"&gt;= "&amp;N7)-COUNTIF(Vertices[Eigenvector Centrality],"&gt;="&amp;N8)</f>
        <v>1</v>
      </c>
      <c r="P7" s="41">
        <f t="shared" si="7"/>
        <v>0.08059923529411762</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22</v>
      </c>
      <c r="D8" s="34">
        <f t="shared" si="1"/>
        <v>0</v>
      </c>
      <c r="E8" s="3">
        <f>COUNTIF(Vertices[Degree],"&gt;= "&amp;D8)-COUNTIF(Vertices[Degree],"&gt;="&amp;D9)</f>
        <v>0</v>
      </c>
      <c r="F8" s="39">
        <f t="shared" si="2"/>
        <v>1.2352941176470587</v>
      </c>
      <c r="G8" s="40">
        <f>COUNTIF(Vertices[In-Degree],"&gt;= "&amp;F8)-COUNTIF(Vertices[In-Degree],"&gt;="&amp;F9)</f>
        <v>0</v>
      </c>
      <c r="H8" s="39">
        <f t="shared" si="3"/>
        <v>0.8823529411764707</v>
      </c>
      <c r="I8" s="40">
        <f>COUNTIF(Vertices[Out-Degree],"&gt;= "&amp;H8)-COUNTIF(Vertices[Out-Degree],"&gt;="&amp;H9)</f>
        <v>1</v>
      </c>
      <c r="J8" s="39">
        <f t="shared" si="4"/>
        <v>12.952941176470592</v>
      </c>
      <c r="K8" s="40">
        <f>COUNTIF(Vertices[Betweenness Centrality],"&gt;= "&amp;J8)-COUNTIF(Vertices[Betweenness Centrality],"&gt;="&amp;J9)</f>
        <v>3</v>
      </c>
      <c r="L8" s="39">
        <f t="shared" si="5"/>
        <v>0.4039212352941177</v>
      </c>
      <c r="M8" s="40">
        <f>COUNTIF(Vertices[Closeness Centrality],"&gt;= "&amp;L8)-COUNTIF(Vertices[Closeness Centrality],"&gt;="&amp;L9)</f>
        <v>0</v>
      </c>
      <c r="N8" s="39">
        <f t="shared" si="6"/>
        <v>0.10065641176470588</v>
      </c>
      <c r="O8" s="40">
        <f>COUNTIF(Vertices[Eigenvector Centrality],"&gt;= "&amp;N8)-COUNTIF(Vertices[Eigenvector Centrality],"&gt;="&amp;N9)</f>
        <v>0</v>
      </c>
      <c r="P8" s="39">
        <f t="shared" si="7"/>
        <v>0.08128388235294115</v>
      </c>
      <c r="Q8" s="40">
        <f>COUNTIF(Vertices[PageRank],"&gt;= "&amp;P8)-COUNTIF(Vertices[PageRank],"&gt;="&amp;P9)</f>
        <v>0</v>
      </c>
      <c r="R8" s="39">
        <f t="shared" si="8"/>
        <v>0.08823529411764706</v>
      </c>
      <c r="S8" s="45">
        <f>COUNTIF(Vertices[Clustering Coefficient],"&gt;= "&amp;R8)-COUNTIF(Vertices[Clustering Coefficient],"&gt;="&amp;R9)</f>
        <v>1</v>
      </c>
      <c r="T8" s="39" t="e">
        <f ca="1" t="shared" si="9"/>
        <v>#REF!</v>
      </c>
      <c r="U8" s="40" t="e">
        <f ca="1" t="shared" si="0"/>
        <v>#REF!</v>
      </c>
    </row>
    <row r="9" spans="1:21" ht="15">
      <c r="A9" s="123"/>
      <c r="B9" s="123"/>
      <c r="D9" s="34">
        <f t="shared" si="1"/>
        <v>0</v>
      </c>
      <c r="E9" s="3">
        <f>COUNTIF(Vertices[Degree],"&gt;= "&amp;D9)-COUNTIF(Vertices[Degree],"&gt;="&amp;D10)</f>
        <v>0</v>
      </c>
      <c r="F9" s="41">
        <f t="shared" si="2"/>
        <v>1.441176470588235</v>
      </c>
      <c r="G9" s="42">
        <f>COUNTIF(Vertices[In-Degree],"&gt;= "&amp;F9)-COUNTIF(Vertices[In-Degree],"&gt;="&amp;F10)</f>
        <v>0</v>
      </c>
      <c r="H9" s="41">
        <f t="shared" si="3"/>
        <v>1.0294117647058825</v>
      </c>
      <c r="I9" s="42">
        <f>COUNTIF(Vertices[Out-Degree],"&gt;= "&amp;H9)-COUNTIF(Vertices[Out-Degree],"&gt;="&amp;H10)</f>
        <v>0</v>
      </c>
      <c r="J9" s="41">
        <f t="shared" si="4"/>
        <v>15.111764705882358</v>
      </c>
      <c r="K9" s="42">
        <f>COUNTIF(Vertices[Betweenness Centrality],"&gt;= "&amp;J9)-COUNTIF(Vertices[Betweenness Centrality],"&gt;="&amp;J10)</f>
        <v>0</v>
      </c>
      <c r="L9" s="41">
        <f t="shared" si="5"/>
        <v>0.4156859411764707</v>
      </c>
      <c r="M9" s="42">
        <f>COUNTIF(Vertices[Closeness Centrality],"&gt;= "&amp;L9)-COUNTIF(Vertices[Closeness Centrality],"&gt;="&amp;L10)</f>
        <v>0</v>
      </c>
      <c r="N9" s="41">
        <f t="shared" si="6"/>
        <v>0.11376914705882353</v>
      </c>
      <c r="O9" s="42">
        <f>COUNTIF(Vertices[Eigenvector Centrality],"&gt;= "&amp;N9)-COUNTIF(Vertices[Eigenvector Centrality],"&gt;="&amp;N10)</f>
        <v>2</v>
      </c>
      <c r="P9" s="41">
        <f t="shared" si="7"/>
        <v>0.08196852941176468</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473</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1.1764705882352942</v>
      </c>
      <c r="I10" s="40">
        <f>COUNTIF(Vertices[Out-Degree],"&gt;= "&amp;H10)-COUNTIF(Vertices[Out-Degree],"&gt;="&amp;H11)</f>
        <v>0</v>
      </c>
      <c r="J10" s="39">
        <f t="shared" si="4"/>
        <v>17.270588235294124</v>
      </c>
      <c r="K10" s="40">
        <f>COUNTIF(Vertices[Betweenness Centrality],"&gt;= "&amp;J10)-COUNTIF(Vertices[Betweenness Centrality],"&gt;="&amp;J11)</f>
        <v>0</v>
      </c>
      <c r="L10" s="39">
        <f t="shared" si="5"/>
        <v>0.42745064705882363</v>
      </c>
      <c r="M10" s="40">
        <f>COUNTIF(Vertices[Closeness Centrality],"&gt;= "&amp;L10)-COUNTIF(Vertices[Closeness Centrality],"&gt;="&amp;L11)</f>
        <v>0</v>
      </c>
      <c r="N10" s="39">
        <f t="shared" si="6"/>
        <v>0.12688188235294118</v>
      </c>
      <c r="O10" s="40">
        <f>COUNTIF(Vertices[Eigenvector Centrality],"&gt;= "&amp;N10)-COUNTIF(Vertices[Eigenvector Centrality],"&gt;="&amp;N11)</f>
        <v>0</v>
      </c>
      <c r="P10" s="39">
        <f t="shared" si="7"/>
        <v>0.0826531764705882</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3"/>
      <c r="B11" s="123"/>
      <c r="D11" s="34">
        <f t="shared" si="1"/>
        <v>0</v>
      </c>
      <c r="E11" s="3">
        <f>COUNTIF(Vertices[Degree],"&gt;= "&amp;D11)-COUNTIF(Vertices[Degree],"&gt;="&amp;D12)</f>
        <v>0</v>
      </c>
      <c r="F11" s="41">
        <f t="shared" si="2"/>
        <v>1.8529411764705879</v>
      </c>
      <c r="G11" s="42">
        <f>COUNTIF(Vertices[In-Degree],"&gt;= "&amp;F11)-COUNTIF(Vertices[In-Degree],"&gt;="&amp;F12)</f>
        <v>2</v>
      </c>
      <c r="H11" s="41">
        <f t="shared" si="3"/>
        <v>1.3235294117647058</v>
      </c>
      <c r="I11" s="42">
        <f>COUNTIF(Vertices[Out-Degree],"&gt;= "&amp;H11)-COUNTIF(Vertices[Out-Degree],"&gt;="&amp;H12)</f>
        <v>0</v>
      </c>
      <c r="J11" s="41">
        <f t="shared" si="4"/>
        <v>19.42941176470589</v>
      </c>
      <c r="K11" s="42">
        <f>COUNTIF(Vertices[Betweenness Centrality],"&gt;= "&amp;J11)-COUNTIF(Vertices[Betweenness Centrality],"&gt;="&amp;J12)</f>
        <v>1</v>
      </c>
      <c r="L11" s="41">
        <f t="shared" si="5"/>
        <v>0.4392153529411766</v>
      </c>
      <c r="M11" s="42">
        <f>COUNTIF(Vertices[Closeness Centrality],"&gt;= "&amp;L11)-COUNTIF(Vertices[Closeness Centrality],"&gt;="&amp;L12)</f>
        <v>3</v>
      </c>
      <c r="N11" s="41">
        <f t="shared" si="6"/>
        <v>0.13999461764705884</v>
      </c>
      <c r="O11" s="42">
        <f>COUNTIF(Vertices[Eigenvector Centrality],"&gt;= "&amp;N11)-COUNTIF(Vertices[Eigenvector Centrality],"&gt;="&amp;N12)</f>
        <v>1</v>
      </c>
      <c r="P11" s="41">
        <f t="shared" si="7"/>
        <v>0.08333782352941173</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272</v>
      </c>
      <c r="B12" s="36">
        <v>2</v>
      </c>
      <c r="D12" s="34">
        <f t="shared" si="1"/>
        <v>0</v>
      </c>
      <c r="E12" s="3">
        <f>COUNTIF(Vertices[Degree],"&gt;= "&amp;D12)-COUNTIF(Vertices[Degree],"&gt;="&amp;D13)</f>
        <v>0</v>
      </c>
      <c r="F12" s="39">
        <f t="shared" si="2"/>
        <v>2.0588235294117645</v>
      </c>
      <c r="G12" s="40">
        <f>COUNTIF(Vertices[In-Degree],"&gt;= "&amp;F12)-COUNTIF(Vertices[In-Degree],"&gt;="&amp;F13)</f>
        <v>0</v>
      </c>
      <c r="H12" s="39">
        <f t="shared" si="3"/>
        <v>1.4705882352941175</v>
      </c>
      <c r="I12" s="40">
        <f>COUNTIF(Vertices[Out-Degree],"&gt;= "&amp;H12)-COUNTIF(Vertices[Out-Degree],"&gt;="&amp;H13)</f>
        <v>0</v>
      </c>
      <c r="J12" s="39">
        <f t="shared" si="4"/>
        <v>21.588235294117656</v>
      </c>
      <c r="K12" s="40">
        <f>COUNTIF(Vertices[Betweenness Centrality],"&gt;= "&amp;J12)-COUNTIF(Vertices[Betweenness Centrality],"&gt;="&amp;J13)</f>
        <v>0</v>
      </c>
      <c r="L12" s="39">
        <f t="shared" si="5"/>
        <v>0.45098005882352954</v>
      </c>
      <c r="M12" s="40">
        <f>COUNTIF(Vertices[Closeness Centrality],"&gt;= "&amp;L12)-COUNTIF(Vertices[Closeness Centrality],"&gt;="&amp;L13)</f>
        <v>2</v>
      </c>
      <c r="N12" s="39">
        <f t="shared" si="6"/>
        <v>0.1531073529411765</v>
      </c>
      <c r="O12" s="40">
        <f>COUNTIF(Vertices[Eigenvector Centrality],"&gt;= "&amp;N12)-COUNTIF(Vertices[Eigenvector Centrality],"&gt;="&amp;N13)</f>
        <v>0</v>
      </c>
      <c r="P12" s="39">
        <f t="shared" si="7"/>
        <v>0.08402247058823525</v>
      </c>
      <c r="Q12" s="40">
        <f>COUNTIF(Vertices[PageRank],"&gt;= "&amp;P12)-COUNTIF(Vertices[PageRank],"&gt;="&amp;P13)</f>
        <v>2</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271</v>
      </c>
      <c r="B13" s="36">
        <v>6</v>
      </c>
      <c r="D13" s="34">
        <f t="shared" si="1"/>
        <v>0</v>
      </c>
      <c r="E13" s="3">
        <f>COUNTIF(Vertices[Degree],"&gt;= "&amp;D13)-COUNTIF(Vertices[Degree],"&gt;="&amp;D14)</f>
        <v>0</v>
      </c>
      <c r="F13" s="41">
        <f t="shared" si="2"/>
        <v>2.264705882352941</v>
      </c>
      <c r="G13" s="42">
        <f>COUNTIF(Vertices[In-Degree],"&gt;= "&amp;F13)-COUNTIF(Vertices[In-Degree],"&gt;="&amp;F14)</f>
        <v>0</v>
      </c>
      <c r="H13" s="41">
        <f t="shared" si="3"/>
        <v>1.6176470588235292</v>
      </c>
      <c r="I13" s="42">
        <f>COUNTIF(Vertices[Out-Degree],"&gt;= "&amp;H13)-COUNTIF(Vertices[Out-Degree],"&gt;="&amp;H14)</f>
        <v>0</v>
      </c>
      <c r="J13" s="41">
        <f t="shared" si="4"/>
        <v>23.74705882352942</v>
      </c>
      <c r="K13" s="42">
        <f>COUNTIF(Vertices[Betweenness Centrality],"&gt;= "&amp;J13)-COUNTIF(Vertices[Betweenness Centrality],"&gt;="&amp;J14)</f>
        <v>0</v>
      </c>
      <c r="L13" s="41">
        <f t="shared" si="5"/>
        <v>0.4627447647058825</v>
      </c>
      <c r="M13" s="42">
        <f>COUNTIF(Vertices[Closeness Centrality],"&gt;= "&amp;L13)-COUNTIF(Vertices[Closeness Centrality],"&gt;="&amp;L14)</f>
        <v>0</v>
      </c>
      <c r="N13" s="41">
        <f t="shared" si="6"/>
        <v>0.16622008823529416</v>
      </c>
      <c r="O13" s="42">
        <f>COUNTIF(Vertices[Eigenvector Centrality],"&gt;= "&amp;N13)-COUNTIF(Vertices[Eigenvector Centrality],"&gt;="&amp;N14)</f>
        <v>0</v>
      </c>
      <c r="P13" s="41">
        <f t="shared" si="7"/>
        <v>0.08470711764705878</v>
      </c>
      <c r="Q13" s="42">
        <f>COUNTIF(Vertices[PageRank],"&gt;= "&amp;P13)-COUNTIF(Vertices[PageRank],"&gt;="&amp;P14)</f>
        <v>0</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269</v>
      </c>
      <c r="B14" s="36">
        <v>10</v>
      </c>
      <c r="D14" s="34">
        <f t="shared" si="1"/>
        <v>0</v>
      </c>
      <c r="E14" s="3">
        <f>COUNTIF(Vertices[Degree],"&gt;= "&amp;D14)-COUNTIF(Vertices[Degree],"&gt;="&amp;D15)</f>
        <v>0</v>
      </c>
      <c r="F14" s="39">
        <f t="shared" si="2"/>
        <v>2.4705882352941178</v>
      </c>
      <c r="G14" s="40">
        <f>COUNTIF(Vertices[In-Degree],"&gt;= "&amp;F14)-COUNTIF(Vertices[In-Degree],"&gt;="&amp;F15)</f>
        <v>0</v>
      </c>
      <c r="H14" s="39">
        <f t="shared" si="3"/>
        <v>1.764705882352941</v>
      </c>
      <c r="I14" s="40">
        <f>COUNTIF(Vertices[Out-Degree],"&gt;= "&amp;H14)-COUNTIF(Vertices[Out-Degree],"&gt;="&amp;H15)</f>
        <v>0</v>
      </c>
      <c r="J14" s="39">
        <f t="shared" si="4"/>
        <v>25.905882352941187</v>
      </c>
      <c r="K14" s="40">
        <f>COUNTIF(Vertices[Betweenness Centrality],"&gt;= "&amp;J14)-COUNTIF(Vertices[Betweenness Centrality],"&gt;="&amp;J15)</f>
        <v>0</v>
      </c>
      <c r="L14" s="39">
        <f t="shared" si="5"/>
        <v>0.47450947058823545</v>
      </c>
      <c r="M14" s="40">
        <f>COUNTIF(Vertices[Closeness Centrality],"&gt;= "&amp;L14)-COUNTIF(Vertices[Closeness Centrality],"&gt;="&amp;L15)</f>
        <v>2</v>
      </c>
      <c r="N14" s="39">
        <f t="shared" si="6"/>
        <v>0.17933282352941182</v>
      </c>
      <c r="O14" s="40">
        <f>COUNTIF(Vertices[Eigenvector Centrality],"&gt;= "&amp;N14)-COUNTIF(Vertices[Eigenvector Centrality],"&gt;="&amp;N15)</f>
        <v>0</v>
      </c>
      <c r="P14" s="39">
        <f t="shared" si="7"/>
        <v>0.0853917647058823</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270</v>
      </c>
      <c r="B15" s="36">
        <v>4</v>
      </c>
      <c r="D15" s="34">
        <f t="shared" si="1"/>
        <v>0</v>
      </c>
      <c r="E15" s="3">
        <f>COUNTIF(Vertices[Degree],"&gt;= "&amp;D15)-COUNTIF(Vertices[Degree],"&gt;="&amp;D16)</f>
        <v>0</v>
      </c>
      <c r="F15" s="41">
        <f t="shared" si="2"/>
        <v>2.6764705882352944</v>
      </c>
      <c r="G15" s="42">
        <f>COUNTIF(Vertices[In-Degree],"&gt;= "&amp;F15)-COUNTIF(Vertices[In-Degree],"&gt;="&amp;F16)</f>
        <v>0</v>
      </c>
      <c r="H15" s="41">
        <f t="shared" si="3"/>
        <v>1.9117647058823526</v>
      </c>
      <c r="I15" s="42">
        <f>COUNTIF(Vertices[Out-Degree],"&gt;= "&amp;H15)-COUNTIF(Vertices[Out-Degree],"&gt;="&amp;H16)</f>
        <v>3</v>
      </c>
      <c r="J15" s="41">
        <f t="shared" si="4"/>
        <v>28.064705882352953</v>
      </c>
      <c r="K15" s="42">
        <f>COUNTIF(Vertices[Betweenness Centrality],"&gt;= "&amp;J15)-COUNTIF(Vertices[Betweenness Centrality],"&gt;="&amp;J16)</f>
        <v>0</v>
      </c>
      <c r="L15" s="41">
        <f t="shared" si="5"/>
        <v>0.4862741764705884</v>
      </c>
      <c r="M15" s="42">
        <f>COUNTIF(Vertices[Closeness Centrality],"&gt;= "&amp;L15)-COUNTIF(Vertices[Closeness Centrality],"&gt;="&amp;L16)</f>
        <v>0</v>
      </c>
      <c r="N15" s="41">
        <f t="shared" si="6"/>
        <v>0.19244555882352948</v>
      </c>
      <c r="O15" s="42">
        <f>COUNTIF(Vertices[Eigenvector Centrality],"&gt;= "&amp;N15)-COUNTIF(Vertices[Eigenvector Centrality],"&gt;="&amp;N16)</f>
        <v>0</v>
      </c>
      <c r="P15" s="41">
        <f t="shared" si="7"/>
        <v>0.08607641176470583</v>
      </c>
      <c r="Q15" s="42">
        <f>COUNTIF(Vertices[PageRank],"&gt;= "&amp;P15)-COUNTIF(Vertices[PageRank],"&gt;="&amp;P16)</f>
        <v>0</v>
      </c>
      <c r="R15" s="41">
        <f t="shared" si="8"/>
        <v>0.1911764705882353</v>
      </c>
      <c r="S15" s="46">
        <f>COUNTIF(Vertices[Clustering Coefficient],"&gt;= "&amp;R15)-COUNTIF(Vertices[Clustering Coefficient],"&gt;="&amp;R16)</f>
        <v>2</v>
      </c>
      <c r="T15" s="41" t="e">
        <f ca="1" t="shared" si="9"/>
        <v>#REF!</v>
      </c>
      <c r="U15" s="42" t="e">
        <f ca="1" t="shared" si="0"/>
        <v>#REF!</v>
      </c>
    </row>
    <row r="16" spans="1:21" ht="15">
      <c r="A16" s="123"/>
      <c r="B16" s="123"/>
      <c r="D16" s="34">
        <f t="shared" si="1"/>
        <v>0</v>
      </c>
      <c r="E16" s="3">
        <f>COUNTIF(Vertices[Degree],"&gt;= "&amp;D16)-COUNTIF(Vertices[Degree],"&gt;="&amp;D17)</f>
        <v>0</v>
      </c>
      <c r="F16" s="39">
        <f t="shared" si="2"/>
        <v>2.882352941176471</v>
      </c>
      <c r="G16" s="40">
        <f>COUNTIF(Vertices[In-Degree],"&gt;= "&amp;F16)-COUNTIF(Vertices[In-Degree],"&gt;="&amp;F17)</f>
        <v>3</v>
      </c>
      <c r="H16" s="39">
        <f t="shared" si="3"/>
        <v>2.0588235294117645</v>
      </c>
      <c r="I16" s="40">
        <f>COUNTIF(Vertices[Out-Degree],"&gt;= "&amp;H16)-COUNTIF(Vertices[Out-Degree],"&gt;="&amp;H17)</f>
        <v>0</v>
      </c>
      <c r="J16" s="39">
        <f t="shared" si="4"/>
        <v>30.22352941176472</v>
      </c>
      <c r="K16" s="40">
        <f>COUNTIF(Vertices[Betweenness Centrality],"&gt;= "&amp;J16)-COUNTIF(Vertices[Betweenness Centrality],"&gt;="&amp;J17)</f>
        <v>0</v>
      </c>
      <c r="L16" s="39">
        <f t="shared" si="5"/>
        <v>0.49803888235294136</v>
      </c>
      <c r="M16" s="40">
        <f>COUNTIF(Vertices[Closeness Centrality],"&gt;= "&amp;L16)-COUNTIF(Vertices[Closeness Centrality],"&gt;="&amp;L17)</f>
        <v>0</v>
      </c>
      <c r="N16" s="39">
        <f t="shared" si="6"/>
        <v>0.20555829411764714</v>
      </c>
      <c r="O16" s="40">
        <f>COUNTIF(Vertices[Eigenvector Centrality],"&gt;= "&amp;N16)-COUNTIF(Vertices[Eigenvector Centrality],"&gt;="&amp;N17)</f>
        <v>0</v>
      </c>
      <c r="P16" s="39">
        <f t="shared" si="7"/>
        <v>0.08676105882352936</v>
      </c>
      <c r="Q16" s="40">
        <f>COUNTIF(Vertices[PageRank],"&gt;= "&amp;P16)-COUNTIF(Vertices[PageRank],"&gt;="&amp;P17)</f>
        <v>2</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0</v>
      </c>
      <c r="D17" s="34">
        <f t="shared" si="1"/>
        <v>0</v>
      </c>
      <c r="E17" s="3">
        <f>COUNTIF(Vertices[Degree],"&gt;= "&amp;D17)-COUNTIF(Vertices[Degree],"&gt;="&amp;D18)</f>
        <v>0</v>
      </c>
      <c r="F17" s="41">
        <f t="shared" si="2"/>
        <v>3.0882352941176476</v>
      </c>
      <c r="G17" s="42">
        <f>COUNTIF(Vertices[In-Degree],"&gt;= "&amp;F17)-COUNTIF(Vertices[In-Degree],"&gt;="&amp;F18)</f>
        <v>0</v>
      </c>
      <c r="H17" s="41">
        <f t="shared" si="3"/>
        <v>2.205882352941176</v>
      </c>
      <c r="I17" s="42">
        <f>COUNTIF(Vertices[Out-Degree],"&gt;= "&amp;H17)-COUNTIF(Vertices[Out-Degree],"&gt;="&amp;H18)</f>
        <v>0</v>
      </c>
      <c r="J17" s="41">
        <f t="shared" si="4"/>
        <v>32.382352941176485</v>
      </c>
      <c r="K17" s="42">
        <f>COUNTIF(Vertices[Betweenness Centrality],"&gt;= "&amp;J17)-COUNTIF(Vertices[Betweenness Centrality],"&gt;="&amp;J18)</f>
        <v>0</v>
      </c>
      <c r="L17" s="41">
        <f t="shared" si="5"/>
        <v>0.5098035882352943</v>
      </c>
      <c r="M17" s="42">
        <f>COUNTIF(Vertices[Closeness Centrality],"&gt;= "&amp;L17)-COUNTIF(Vertices[Closeness Centrality],"&gt;="&amp;L18)</f>
        <v>0</v>
      </c>
      <c r="N17" s="41">
        <f t="shared" si="6"/>
        <v>0.2186710294117648</v>
      </c>
      <c r="O17" s="42">
        <f>COUNTIF(Vertices[Eigenvector Centrality],"&gt;= "&amp;N17)-COUNTIF(Vertices[Eigenvector Centrality],"&gt;="&amp;N18)</f>
        <v>0</v>
      </c>
      <c r="P17" s="41">
        <f t="shared" si="7"/>
        <v>0.08744570588235288</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3"/>
      <c r="B18" s="123"/>
      <c r="D18" s="34">
        <f t="shared" si="1"/>
        <v>0</v>
      </c>
      <c r="E18" s="3">
        <f>COUNTIF(Vertices[Degree],"&gt;= "&amp;D18)-COUNTIF(Vertices[Degree],"&gt;="&amp;D19)</f>
        <v>0</v>
      </c>
      <c r="F18" s="39">
        <f t="shared" si="2"/>
        <v>3.2941176470588243</v>
      </c>
      <c r="G18" s="40">
        <f>COUNTIF(Vertices[In-Degree],"&gt;= "&amp;F18)-COUNTIF(Vertices[In-Degree],"&gt;="&amp;F19)</f>
        <v>0</v>
      </c>
      <c r="H18" s="39">
        <f t="shared" si="3"/>
        <v>2.352941176470588</v>
      </c>
      <c r="I18" s="40">
        <f>COUNTIF(Vertices[Out-Degree],"&gt;= "&amp;H18)-COUNTIF(Vertices[Out-Degree],"&gt;="&amp;H19)</f>
        <v>0</v>
      </c>
      <c r="J18" s="39">
        <f t="shared" si="4"/>
        <v>34.54117647058825</v>
      </c>
      <c r="K18" s="40">
        <f>COUNTIF(Vertices[Betweenness Centrality],"&gt;= "&amp;J18)-COUNTIF(Vertices[Betweenness Centrality],"&gt;="&amp;J19)</f>
        <v>0</v>
      </c>
      <c r="L18" s="39">
        <f t="shared" si="5"/>
        <v>0.5215682941176472</v>
      </c>
      <c r="M18" s="40">
        <f>COUNTIF(Vertices[Closeness Centrality],"&gt;= "&amp;L18)-COUNTIF(Vertices[Closeness Centrality],"&gt;="&amp;L19)</f>
        <v>0</v>
      </c>
      <c r="N18" s="39">
        <f t="shared" si="6"/>
        <v>0.23178376470588247</v>
      </c>
      <c r="O18" s="40">
        <f>COUNTIF(Vertices[Eigenvector Centrality],"&gt;= "&amp;N18)-COUNTIF(Vertices[Eigenvector Centrality],"&gt;="&amp;N19)</f>
        <v>0</v>
      </c>
      <c r="P18" s="39">
        <f t="shared" si="7"/>
        <v>0.08813035294117641</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2.4999999999999996</v>
      </c>
      <c r="I19" s="42">
        <f>COUNTIF(Vertices[Out-Degree],"&gt;= "&amp;H19)-COUNTIF(Vertices[Out-Degree],"&gt;="&amp;H20)</f>
        <v>0</v>
      </c>
      <c r="J19" s="41">
        <f t="shared" si="4"/>
        <v>36.70000000000001</v>
      </c>
      <c r="K19" s="42">
        <f>COUNTIF(Vertices[Betweenness Centrality],"&gt;= "&amp;J19)-COUNTIF(Vertices[Betweenness Centrality],"&gt;="&amp;J20)</f>
        <v>0</v>
      </c>
      <c r="L19" s="41">
        <f t="shared" si="5"/>
        <v>0.5333330000000001</v>
      </c>
      <c r="M19" s="42">
        <f>COUNTIF(Vertices[Closeness Centrality],"&gt;= "&amp;L19)-COUNTIF(Vertices[Closeness Centrality],"&gt;="&amp;L20)</f>
        <v>0</v>
      </c>
      <c r="N19" s="41">
        <f t="shared" si="6"/>
        <v>0.24489650000000013</v>
      </c>
      <c r="O19" s="42">
        <f>COUNTIF(Vertices[Eigenvector Centrality],"&gt;= "&amp;N19)-COUNTIF(Vertices[Eigenvector Centrality],"&gt;="&amp;N20)</f>
        <v>0</v>
      </c>
      <c r="P19" s="41">
        <f t="shared" si="7"/>
        <v>0.08881499999999994</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2.6470588235294112</v>
      </c>
      <c r="I20" s="40">
        <f>COUNTIF(Vertices[Out-Degree],"&gt;= "&amp;H20)-COUNTIF(Vertices[Out-Degree],"&gt;="&amp;H21)</f>
        <v>0</v>
      </c>
      <c r="J20" s="39">
        <f t="shared" si="4"/>
        <v>38.85882352941177</v>
      </c>
      <c r="K20" s="40">
        <f>COUNTIF(Vertices[Betweenness Centrality],"&gt;= "&amp;J20)-COUNTIF(Vertices[Betweenness Centrality],"&gt;="&amp;J21)</f>
        <v>0</v>
      </c>
      <c r="L20" s="39">
        <f t="shared" si="5"/>
        <v>0.545097705882353</v>
      </c>
      <c r="M20" s="40">
        <f>COUNTIF(Vertices[Closeness Centrality],"&gt;= "&amp;L20)-COUNTIF(Vertices[Closeness Centrality],"&gt;="&amp;L21)</f>
        <v>0</v>
      </c>
      <c r="N20" s="39">
        <f t="shared" si="6"/>
        <v>0.2580092352941178</v>
      </c>
      <c r="O20" s="40">
        <f>COUNTIF(Vertices[Eigenvector Centrality],"&gt;= "&amp;N20)-COUNTIF(Vertices[Eigenvector Centrality],"&gt;="&amp;N21)</f>
        <v>0</v>
      </c>
      <c r="P20" s="39">
        <f t="shared" si="7"/>
        <v>0.08949964705882346</v>
      </c>
      <c r="Q20" s="40">
        <f>COUNTIF(Vertices[PageRank],"&gt;= "&amp;P20)-COUNTIF(Vertices[PageRank],"&gt;="&amp;P21)</f>
        <v>1</v>
      </c>
      <c r="R20" s="39">
        <f t="shared" si="8"/>
        <v>0.2647058823529412</v>
      </c>
      <c r="S20" s="45">
        <f>COUNTIF(Vertices[Clustering Coefficient],"&gt;= "&amp;R20)-COUNTIF(Vertices[Clustering Coefficient],"&gt;="&amp;R21)</f>
        <v>1</v>
      </c>
      <c r="T20" s="39" t="e">
        <f ca="1" t="shared" si="9"/>
        <v>#REF!</v>
      </c>
      <c r="U20" s="40" t="e">
        <f ca="1" t="shared" si="0"/>
        <v>#REF!</v>
      </c>
    </row>
    <row r="21" spans="1:21" ht="15">
      <c r="A21" s="123"/>
      <c r="B21" s="123"/>
      <c r="D21" s="34">
        <f t="shared" si="1"/>
        <v>0</v>
      </c>
      <c r="E21" s="3">
        <f>COUNTIF(Vertices[Degree],"&gt;= "&amp;D21)-COUNTIF(Vertices[Degree],"&gt;="&amp;D22)</f>
        <v>0</v>
      </c>
      <c r="F21" s="41">
        <f t="shared" si="2"/>
        <v>3.911764705882354</v>
      </c>
      <c r="G21" s="42">
        <f>COUNTIF(Vertices[In-Degree],"&gt;= "&amp;F21)-COUNTIF(Vertices[In-Degree],"&gt;="&amp;F22)</f>
        <v>0</v>
      </c>
      <c r="H21" s="41">
        <f t="shared" si="3"/>
        <v>2.794117647058823</v>
      </c>
      <c r="I21" s="42">
        <f>COUNTIF(Vertices[Out-Degree],"&gt;= "&amp;H21)-COUNTIF(Vertices[Out-Degree],"&gt;="&amp;H22)</f>
        <v>0</v>
      </c>
      <c r="J21" s="41">
        <f t="shared" si="4"/>
        <v>41.017647058823535</v>
      </c>
      <c r="K21" s="42">
        <f>COUNTIF(Vertices[Betweenness Centrality],"&gt;= "&amp;J21)-COUNTIF(Vertices[Betweenness Centrality],"&gt;="&amp;J22)</f>
        <v>0</v>
      </c>
      <c r="L21" s="41">
        <f t="shared" si="5"/>
        <v>0.5568624117647059</v>
      </c>
      <c r="M21" s="42">
        <f>COUNTIF(Vertices[Closeness Centrality],"&gt;= "&amp;L21)-COUNTIF(Vertices[Closeness Centrality],"&gt;="&amp;L22)</f>
        <v>0</v>
      </c>
      <c r="N21" s="41">
        <f t="shared" si="6"/>
        <v>0.27112197058823545</v>
      </c>
      <c r="O21" s="42">
        <f>COUNTIF(Vertices[Eigenvector Centrality],"&gt;= "&amp;N21)-COUNTIF(Vertices[Eigenvector Centrality],"&gt;="&amp;N22)</f>
        <v>0</v>
      </c>
      <c r="P21" s="41">
        <f t="shared" si="7"/>
        <v>0.09018429411764699</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4.117647058823531</v>
      </c>
      <c r="G22" s="40">
        <f>COUNTIF(Vertices[In-Degree],"&gt;= "&amp;F22)-COUNTIF(Vertices[In-Degree],"&gt;="&amp;F23)</f>
        <v>0</v>
      </c>
      <c r="H22" s="39">
        <f t="shared" si="3"/>
        <v>2.9411764705882346</v>
      </c>
      <c r="I22" s="40">
        <f>COUNTIF(Vertices[Out-Degree],"&gt;= "&amp;H22)-COUNTIF(Vertices[Out-Degree],"&gt;="&amp;H23)</f>
        <v>0</v>
      </c>
      <c r="J22" s="39">
        <f t="shared" si="4"/>
        <v>43.1764705882353</v>
      </c>
      <c r="K22" s="40">
        <f>COUNTIF(Vertices[Betweenness Centrality],"&gt;= "&amp;J22)-COUNTIF(Vertices[Betweenness Centrality],"&gt;="&amp;J23)</f>
        <v>0</v>
      </c>
      <c r="L22" s="39">
        <f t="shared" si="5"/>
        <v>0.5686271176470588</v>
      </c>
      <c r="M22" s="40">
        <f>COUNTIF(Vertices[Closeness Centrality],"&gt;= "&amp;L22)-COUNTIF(Vertices[Closeness Centrality],"&gt;="&amp;L23)</f>
        <v>0</v>
      </c>
      <c r="N22" s="39">
        <f t="shared" si="6"/>
        <v>0.2842347058823531</v>
      </c>
      <c r="O22" s="40">
        <f>COUNTIF(Vertices[Eigenvector Centrality],"&gt;= "&amp;N22)-COUNTIF(Vertices[Eigenvector Centrality],"&gt;="&amp;N23)</f>
        <v>3</v>
      </c>
      <c r="P22" s="39">
        <f t="shared" si="7"/>
        <v>0.09086894117647051</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4.323529411764707</v>
      </c>
      <c r="G23" s="42">
        <f>COUNTIF(Vertices[In-Degree],"&gt;= "&amp;F23)-COUNTIF(Vertices[In-Degree],"&gt;="&amp;F24)</f>
        <v>0</v>
      </c>
      <c r="H23" s="41">
        <f t="shared" si="3"/>
        <v>3.0882352941176463</v>
      </c>
      <c r="I23" s="42">
        <f>COUNTIF(Vertices[Out-Degree],"&gt;= "&amp;H23)-COUNTIF(Vertices[Out-Degree],"&gt;="&amp;H24)</f>
        <v>0</v>
      </c>
      <c r="J23" s="41">
        <f t="shared" si="4"/>
        <v>45.33529411764706</v>
      </c>
      <c r="K23" s="42">
        <f>COUNTIF(Vertices[Betweenness Centrality],"&gt;= "&amp;J23)-COUNTIF(Vertices[Betweenness Centrality],"&gt;="&amp;J24)</f>
        <v>0</v>
      </c>
      <c r="L23" s="41">
        <f t="shared" si="5"/>
        <v>0.5803918235294117</v>
      </c>
      <c r="M23" s="42">
        <f>COUNTIF(Vertices[Closeness Centrality],"&gt;= "&amp;L23)-COUNTIF(Vertices[Closeness Centrality],"&gt;="&amp;L24)</f>
        <v>0</v>
      </c>
      <c r="N23" s="41">
        <f t="shared" si="6"/>
        <v>0.2973474411764708</v>
      </c>
      <c r="O23" s="42">
        <f>COUNTIF(Vertices[Eigenvector Centrality],"&gt;= "&amp;N23)-COUNTIF(Vertices[Eigenvector Centrality],"&gt;="&amp;N24)</f>
        <v>0</v>
      </c>
      <c r="P23" s="41">
        <f t="shared" si="7"/>
        <v>0.09155358823529404</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12</v>
      </c>
      <c r="D24" s="34">
        <f t="shared" si="1"/>
        <v>0</v>
      </c>
      <c r="E24" s="3">
        <f>COUNTIF(Vertices[Degree],"&gt;= "&amp;D24)-COUNTIF(Vertices[Degree],"&gt;="&amp;D25)</f>
        <v>0</v>
      </c>
      <c r="F24" s="39">
        <f t="shared" si="2"/>
        <v>4.529411764705884</v>
      </c>
      <c r="G24" s="40">
        <f>COUNTIF(Vertices[In-Degree],"&gt;= "&amp;F24)-COUNTIF(Vertices[In-Degree],"&gt;="&amp;F25)</f>
        <v>0</v>
      </c>
      <c r="H24" s="39">
        <f t="shared" si="3"/>
        <v>3.235294117647058</v>
      </c>
      <c r="I24" s="40">
        <f>COUNTIF(Vertices[Out-Degree],"&gt;= "&amp;H24)-COUNTIF(Vertices[Out-Degree],"&gt;="&amp;H25)</f>
        <v>0</v>
      </c>
      <c r="J24" s="39">
        <f t="shared" si="4"/>
        <v>47.49411764705882</v>
      </c>
      <c r="K24" s="40">
        <f>COUNTIF(Vertices[Betweenness Centrality],"&gt;= "&amp;J24)-COUNTIF(Vertices[Betweenness Centrality],"&gt;="&amp;J25)</f>
        <v>0</v>
      </c>
      <c r="L24" s="39">
        <f t="shared" si="5"/>
        <v>0.5921565294117646</v>
      </c>
      <c r="M24" s="40">
        <f>COUNTIF(Vertices[Closeness Centrality],"&gt;= "&amp;L24)-COUNTIF(Vertices[Closeness Centrality],"&gt;="&amp;L25)</f>
        <v>0</v>
      </c>
      <c r="N24" s="39">
        <f t="shared" si="6"/>
        <v>0.31046017647058843</v>
      </c>
      <c r="O24" s="40">
        <f>COUNTIF(Vertices[Eigenvector Centrality],"&gt;= "&amp;N24)-COUNTIF(Vertices[Eigenvector Centrality],"&gt;="&amp;N25)</f>
        <v>0</v>
      </c>
      <c r="P24" s="39">
        <f t="shared" si="7"/>
        <v>0.09223823529411757</v>
      </c>
      <c r="Q24" s="40">
        <f>COUNTIF(Vertices[PageRank],"&gt;= "&amp;P24)-COUNTIF(Vertices[PageRank],"&gt;="&amp;P25)</f>
        <v>0</v>
      </c>
      <c r="R24" s="39">
        <f t="shared" si="8"/>
        <v>0.3235294117647059</v>
      </c>
      <c r="S24" s="45">
        <f>COUNTIF(Vertices[Clustering Coefficient],"&gt;= "&amp;R24)-COUNTIF(Vertices[Clustering Coefficient],"&gt;="&amp;R25)</f>
        <v>4</v>
      </c>
      <c r="T24" s="39" t="e">
        <f ca="1" t="shared" si="9"/>
        <v>#REF!</v>
      </c>
      <c r="U24" s="40" t="e">
        <f ca="1" t="shared" si="0"/>
        <v>#REF!</v>
      </c>
    </row>
    <row r="25" spans="1:21" ht="15">
      <c r="A25" s="36" t="s">
        <v>155</v>
      </c>
      <c r="B25" s="36">
        <v>22</v>
      </c>
      <c r="D25" s="34">
        <f t="shared" si="1"/>
        <v>0</v>
      </c>
      <c r="E25" s="3">
        <f>COUNTIF(Vertices[Degree],"&gt;= "&amp;D25)-COUNTIF(Vertices[Degree],"&gt;="&amp;D26)</f>
        <v>0</v>
      </c>
      <c r="F25" s="41">
        <f t="shared" si="2"/>
        <v>4.735294117647061</v>
      </c>
      <c r="G25" s="42">
        <f>COUNTIF(Vertices[In-Degree],"&gt;= "&amp;F25)-COUNTIF(Vertices[In-Degree],"&gt;="&amp;F26)</f>
        <v>0</v>
      </c>
      <c r="H25" s="41">
        <f t="shared" si="3"/>
        <v>3.3823529411764697</v>
      </c>
      <c r="I25" s="42">
        <f>COUNTIF(Vertices[Out-Degree],"&gt;= "&amp;H25)-COUNTIF(Vertices[Out-Degree],"&gt;="&amp;H26)</f>
        <v>0</v>
      </c>
      <c r="J25" s="41">
        <f t="shared" si="4"/>
        <v>49.652941176470584</v>
      </c>
      <c r="K25" s="42">
        <f>COUNTIF(Vertices[Betweenness Centrality],"&gt;= "&amp;J25)-COUNTIF(Vertices[Betweenness Centrality],"&gt;="&amp;J26)</f>
        <v>0</v>
      </c>
      <c r="L25" s="41">
        <f t="shared" si="5"/>
        <v>0.6039212352941175</v>
      </c>
      <c r="M25" s="42">
        <f>COUNTIF(Vertices[Closeness Centrality],"&gt;= "&amp;L25)-COUNTIF(Vertices[Closeness Centrality],"&gt;="&amp;L26)</f>
        <v>2</v>
      </c>
      <c r="N25" s="41">
        <f t="shared" si="6"/>
        <v>0.3235729117647061</v>
      </c>
      <c r="O25" s="42">
        <f>COUNTIF(Vertices[Eigenvector Centrality],"&gt;= "&amp;N25)-COUNTIF(Vertices[Eigenvector Centrality],"&gt;="&amp;N26)</f>
        <v>0</v>
      </c>
      <c r="P25" s="41">
        <f t="shared" si="7"/>
        <v>0.09292288235294109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3"/>
      <c r="B26" s="123"/>
      <c r="D26" s="34">
        <f t="shared" si="1"/>
        <v>0</v>
      </c>
      <c r="E26" s="3">
        <f>COUNTIF(Vertices[Degree],"&gt;= "&amp;D26)-COUNTIF(Vertices[Degree],"&gt;="&amp;D27)</f>
        <v>0</v>
      </c>
      <c r="F26" s="39">
        <f t="shared" si="2"/>
        <v>4.941176470588237</v>
      </c>
      <c r="G26" s="40">
        <f>COUNTIF(Vertices[In-Degree],"&gt;= "&amp;F26)-COUNTIF(Vertices[In-Degree],"&gt;="&amp;F27)</f>
        <v>0</v>
      </c>
      <c r="H26" s="39">
        <f t="shared" si="3"/>
        <v>3.5294117647058814</v>
      </c>
      <c r="I26" s="40">
        <f>COUNTIF(Vertices[Out-Degree],"&gt;= "&amp;H26)-COUNTIF(Vertices[Out-Degree],"&gt;="&amp;H27)</f>
        <v>0</v>
      </c>
      <c r="J26" s="39">
        <f t="shared" si="4"/>
        <v>51.81176470588235</v>
      </c>
      <c r="K26" s="40">
        <f>COUNTIF(Vertices[Betweenness Centrality],"&gt;= "&amp;J26)-COUNTIF(Vertices[Betweenness Centrality],"&gt;="&amp;J27)</f>
        <v>0</v>
      </c>
      <c r="L26" s="39">
        <f t="shared" si="5"/>
        <v>0.6156859411764704</v>
      </c>
      <c r="M26" s="40">
        <f>COUNTIF(Vertices[Closeness Centrality],"&gt;= "&amp;L26)-COUNTIF(Vertices[Closeness Centrality],"&gt;="&amp;L27)</f>
        <v>0</v>
      </c>
      <c r="N26" s="39">
        <f t="shared" si="6"/>
        <v>0.33668564705882376</v>
      </c>
      <c r="O26" s="40">
        <f>COUNTIF(Vertices[Eigenvector Centrality],"&gt;= "&amp;N26)-COUNTIF(Vertices[Eigenvector Centrality],"&gt;="&amp;N27)</f>
        <v>0</v>
      </c>
      <c r="P26" s="39">
        <f t="shared" si="7"/>
        <v>0.09360752941176462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5.147058823529414</v>
      </c>
      <c r="G27" s="42">
        <f>COUNTIF(Vertices[In-Degree],"&gt;= "&amp;F27)-COUNTIF(Vertices[In-Degree],"&gt;="&amp;F28)</f>
        <v>0</v>
      </c>
      <c r="H27" s="41">
        <f t="shared" si="3"/>
        <v>3.676470588235293</v>
      </c>
      <c r="I27" s="42">
        <f>COUNTIF(Vertices[Out-Degree],"&gt;= "&amp;H27)-COUNTIF(Vertices[Out-Degree],"&gt;="&amp;H28)</f>
        <v>0</v>
      </c>
      <c r="J27" s="41">
        <f t="shared" si="4"/>
        <v>53.97058823529411</v>
      </c>
      <c r="K27" s="42">
        <f>COUNTIF(Vertices[Betweenness Centrality],"&gt;= "&amp;J27)-COUNTIF(Vertices[Betweenness Centrality],"&gt;="&amp;J28)</f>
        <v>0</v>
      </c>
      <c r="L27" s="41">
        <f t="shared" si="5"/>
        <v>0.6274506470588233</v>
      </c>
      <c r="M27" s="42">
        <f>COUNTIF(Vertices[Closeness Centrality],"&gt;= "&amp;L27)-COUNTIF(Vertices[Closeness Centrality],"&gt;="&amp;L28)</f>
        <v>0</v>
      </c>
      <c r="N27" s="41">
        <f t="shared" si="6"/>
        <v>0.3497983823529414</v>
      </c>
      <c r="O27" s="42">
        <f>COUNTIF(Vertices[Eigenvector Centrality],"&gt;= "&amp;N27)-COUNTIF(Vertices[Eigenvector Centrality],"&gt;="&amp;N28)</f>
        <v>0</v>
      </c>
      <c r="P27" s="41">
        <f t="shared" si="7"/>
        <v>0.09429217647058814</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1.875</v>
      </c>
      <c r="D28" s="34">
        <f t="shared" si="1"/>
        <v>0</v>
      </c>
      <c r="E28" s="3">
        <f>COUNTIF(Vertices[Degree],"&gt;= "&amp;D28)-COUNTIF(Vertices[Degree],"&gt;="&amp;D29)</f>
        <v>0</v>
      </c>
      <c r="F28" s="39">
        <f t="shared" si="2"/>
        <v>5.3529411764705905</v>
      </c>
      <c r="G28" s="40">
        <f>COUNTIF(Vertices[In-Degree],"&gt;= "&amp;F28)-COUNTIF(Vertices[In-Degree],"&gt;="&amp;F29)</f>
        <v>0</v>
      </c>
      <c r="H28" s="39">
        <f t="shared" si="3"/>
        <v>3.8235294117647047</v>
      </c>
      <c r="I28" s="40">
        <f>COUNTIF(Vertices[Out-Degree],"&gt;= "&amp;H28)-COUNTIF(Vertices[Out-Degree],"&gt;="&amp;H29)</f>
        <v>0</v>
      </c>
      <c r="J28" s="39">
        <f t="shared" si="4"/>
        <v>56.12941176470587</v>
      </c>
      <c r="K28" s="40">
        <f>COUNTIF(Vertices[Betweenness Centrality],"&gt;= "&amp;J28)-COUNTIF(Vertices[Betweenness Centrality],"&gt;="&amp;J29)</f>
        <v>0</v>
      </c>
      <c r="L28" s="39">
        <f t="shared" si="5"/>
        <v>0.6392153529411762</v>
      </c>
      <c r="M28" s="40">
        <f>COUNTIF(Vertices[Closeness Centrality],"&gt;= "&amp;L28)-COUNTIF(Vertices[Closeness Centrality],"&gt;="&amp;L29)</f>
        <v>1</v>
      </c>
      <c r="N28" s="39">
        <f t="shared" si="6"/>
        <v>0.3629111176470591</v>
      </c>
      <c r="O28" s="40">
        <f>COUNTIF(Vertices[Eigenvector Centrality],"&gt;= "&amp;N28)-COUNTIF(Vertices[Eigenvector Centrality],"&gt;="&amp;N29)</f>
        <v>0</v>
      </c>
      <c r="P28" s="39">
        <f t="shared" si="7"/>
        <v>0.09497682352941167</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3"/>
      <c r="B29" s="123"/>
      <c r="D29" s="34">
        <f t="shared" si="1"/>
        <v>0</v>
      </c>
      <c r="E29" s="3">
        <f>COUNTIF(Vertices[Degree],"&gt;= "&amp;D29)-COUNTIF(Vertices[Degree],"&gt;="&amp;D30)</f>
        <v>0</v>
      </c>
      <c r="F29" s="41">
        <f t="shared" si="2"/>
        <v>5.558823529411767</v>
      </c>
      <c r="G29" s="42">
        <f>COUNTIF(Vertices[In-Degree],"&gt;= "&amp;F29)-COUNTIF(Vertices[In-Degree],"&gt;="&amp;F30)</f>
        <v>0</v>
      </c>
      <c r="H29" s="41">
        <f t="shared" si="3"/>
        <v>3.9705882352941164</v>
      </c>
      <c r="I29" s="42">
        <f>COUNTIF(Vertices[Out-Degree],"&gt;= "&amp;H29)-COUNTIF(Vertices[Out-Degree],"&gt;="&amp;H30)</f>
        <v>1</v>
      </c>
      <c r="J29" s="41">
        <f t="shared" si="4"/>
        <v>58.288235294117634</v>
      </c>
      <c r="K29" s="42">
        <f>COUNTIF(Vertices[Betweenness Centrality],"&gt;= "&amp;J29)-COUNTIF(Vertices[Betweenness Centrality],"&gt;="&amp;J30)</f>
        <v>0</v>
      </c>
      <c r="L29" s="41">
        <f t="shared" si="5"/>
        <v>0.650980058823529</v>
      </c>
      <c r="M29" s="42">
        <f>COUNTIF(Vertices[Closeness Centrality],"&gt;= "&amp;L29)-COUNTIF(Vertices[Closeness Centrality],"&gt;="&amp;L30)</f>
        <v>0</v>
      </c>
      <c r="N29" s="41">
        <f t="shared" si="6"/>
        <v>0.37602385294117674</v>
      </c>
      <c r="O29" s="42">
        <f>COUNTIF(Vertices[Eigenvector Centrality],"&gt;= "&amp;N29)-COUNTIF(Vertices[Eigenvector Centrality],"&gt;="&amp;N30)</f>
        <v>0</v>
      </c>
      <c r="P29" s="41">
        <f t="shared" si="7"/>
        <v>0.0956614705882352</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0.1590909090909091</v>
      </c>
      <c r="D30" s="34">
        <f t="shared" si="1"/>
        <v>0</v>
      </c>
      <c r="E30" s="3">
        <f>COUNTIF(Vertices[Degree],"&gt;= "&amp;D30)-COUNTIF(Vertices[Degree],"&gt;="&amp;D31)</f>
        <v>0</v>
      </c>
      <c r="F30" s="39">
        <f t="shared" si="2"/>
        <v>5.764705882352944</v>
      </c>
      <c r="G30" s="40">
        <f>COUNTIF(Vertices[In-Degree],"&gt;= "&amp;F30)-COUNTIF(Vertices[In-Degree],"&gt;="&amp;F31)</f>
        <v>0</v>
      </c>
      <c r="H30" s="39">
        <f t="shared" si="3"/>
        <v>4.117647058823528</v>
      </c>
      <c r="I30" s="40">
        <f>COUNTIF(Vertices[Out-Degree],"&gt;= "&amp;H30)-COUNTIF(Vertices[Out-Degree],"&gt;="&amp;H31)</f>
        <v>0</v>
      </c>
      <c r="J30" s="39">
        <f t="shared" si="4"/>
        <v>60.447058823529396</v>
      </c>
      <c r="K30" s="40">
        <f>COUNTIF(Vertices[Betweenness Centrality],"&gt;= "&amp;J30)-COUNTIF(Vertices[Betweenness Centrality],"&gt;="&amp;J31)</f>
        <v>0</v>
      </c>
      <c r="L30" s="39">
        <f t="shared" si="5"/>
        <v>0.662744764705882</v>
      </c>
      <c r="M30" s="40">
        <f>COUNTIF(Vertices[Closeness Centrality],"&gt;= "&amp;L30)-COUNTIF(Vertices[Closeness Centrality],"&gt;="&amp;L31)</f>
        <v>0</v>
      </c>
      <c r="N30" s="39">
        <f t="shared" si="6"/>
        <v>0.3891365882352944</v>
      </c>
      <c r="O30" s="40">
        <f>COUNTIF(Vertices[Eigenvector Centrality],"&gt;= "&amp;N30)-COUNTIF(Vertices[Eigenvector Centrality],"&gt;="&amp;N31)</f>
        <v>3</v>
      </c>
      <c r="P30" s="39">
        <f t="shared" si="7"/>
        <v>0.09634611764705872</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474</v>
      </c>
      <c r="B31" s="36">
        <v>0.346074</v>
      </c>
      <c r="D31" s="34">
        <f t="shared" si="1"/>
        <v>0</v>
      </c>
      <c r="E31" s="3">
        <f>COUNTIF(Vertices[Degree],"&gt;= "&amp;D31)-COUNTIF(Vertices[Degree],"&gt;="&amp;D32)</f>
        <v>0</v>
      </c>
      <c r="F31" s="41">
        <f t="shared" si="2"/>
        <v>5.97058823529412</v>
      </c>
      <c r="G31" s="42">
        <f>COUNTIF(Vertices[In-Degree],"&gt;= "&amp;F31)-COUNTIF(Vertices[In-Degree],"&gt;="&amp;F32)</f>
        <v>0</v>
      </c>
      <c r="H31" s="41">
        <f t="shared" si="3"/>
        <v>4.26470588235294</v>
      </c>
      <c r="I31" s="42">
        <f>COUNTIF(Vertices[Out-Degree],"&gt;= "&amp;H31)-COUNTIF(Vertices[Out-Degree],"&gt;="&amp;H32)</f>
        <v>0</v>
      </c>
      <c r="J31" s="41">
        <f t="shared" si="4"/>
        <v>62.60588235294116</v>
      </c>
      <c r="K31" s="42">
        <f>COUNTIF(Vertices[Betweenness Centrality],"&gt;= "&amp;J31)-COUNTIF(Vertices[Betweenness Centrality],"&gt;="&amp;J32)</f>
        <v>0</v>
      </c>
      <c r="L31" s="41">
        <f t="shared" si="5"/>
        <v>0.6745094705882348</v>
      </c>
      <c r="M31" s="42">
        <f>COUNTIF(Vertices[Closeness Centrality],"&gt;= "&amp;L31)-COUNTIF(Vertices[Closeness Centrality],"&gt;="&amp;L32)</f>
        <v>0</v>
      </c>
      <c r="N31" s="41">
        <f t="shared" si="6"/>
        <v>0.40224932352941206</v>
      </c>
      <c r="O31" s="42">
        <f>COUNTIF(Vertices[Eigenvector Centrality],"&gt;= "&amp;N31)-COUNTIF(Vertices[Eigenvector Centrality],"&gt;="&amp;N32)</f>
        <v>0</v>
      </c>
      <c r="P31" s="41">
        <f t="shared" si="7"/>
        <v>0.09703076470588225</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3"/>
      <c r="B32" s="123"/>
      <c r="D32" s="34">
        <f t="shared" si="1"/>
        <v>0</v>
      </c>
      <c r="E32" s="3">
        <f>COUNTIF(Vertices[Degree],"&gt;= "&amp;D32)-COUNTIF(Vertices[Degree],"&gt;="&amp;D33)</f>
        <v>0</v>
      </c>
      <c r="F32" s="39">
        <f t="shared" si="2"/>
        <v>6.176470588235297</v>
      </c>
      <c r="G32" s="40">
        <f>COUNTIF(Vertices[In-Degree],"&gt;= "&amp;F32)-COUNTIF(Vertices[In-Degree],"&gt;="&amp;F33)</f>
        <v>0</v>
      </c>
      <c r="H32" s="39">
        <f t="shared" si="3"/>
        <v>4.411764705882352</v>
      </c>
      <c r="I32" s="40">
        <f>COUNTIF(Vertices[Out-Degree],"&gt;= "&amp;H32)-COUNTIF(Vertices[Out-Degree],"&gt;="&amp;H33)</f>
        <v>0</v>
      </c>
      <c r="J32" s="39">
        <f t="shared" si="4"/>
        <v>64.76470588235293</v>
      </c>
      <c r="K32" s="40">
        <f>COUNTIF(Vertices[Betweenness Centrality],"&gt;= "&amp;J32)-COUNTIF(Vertices[Betweenness Centrality],"&gt;="&amp;J33)</f>
        <v>0</v>
      </c>
      <c r="L32" s="39">
        <f t="shared" si="5"/>
        <v>0.6862741764705877</v>
      </c>
      <c r="M32" s="40">
        <f>COUNTIF(Vertices[Closeness Centrality],"&gt;= "&amp;L32)-COUNTIF(Vertices[Closeness Centrality],"&gt;="&amp;L33)</f>
        <v>0</v>
      </c>
      <c r="N32" s="39">
        <f t="shared" si="6"/>
        <v>0.4153620588235297</v>
      </c>
      <c r="O32" s="40">
        <f>COUNTIF(Vertices[Eigenvector Centrality],"&gt;= "&amp;N32)-COUNTIF(Vertices[Eigenvector Centrality],"&gt;="&amp;N33)</f>
        <v>0</v>
      </c>
      <c r="P32" s="39">
        <f t="shared" si="7"/>
        <v>0.09771541176470577</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475</v>
      </c>
      <c r="B33" s="36" t="s">
        <v>490</v>
      </c>
      <c r="D33" s="34">
        <f t="shared" si="1"/>
        <v>0</v>
      </c>
      <c r="E33" s="3">
        <f>COUNTIF(Vertices[Degree],"&gt;= "&amp;D33)-COUNTIF(Vertices[Degree],"&gt;="&amp;D34)</f>
        <v>0</v>
      </c>
      <c r="F33" s="41">
        <f t="shared" si="2"/>
        <v>6.382352941176474</v>
      </c>
      <c r="G33" s="42">
        <f>COUNTIF(Vertices[In-Degree],"&gt;= "&amp;F33)-COUNTIF(Vertices[In-Degree],"&gt;="&amp;F34)</f>
        <v>0</v>
      </c>
      <c r="H33" s="41">
        <f t="shared" si="3"/>
        <v>4.5588235294117645</v>
      </c>
      <c r="I33" s="42">
        <f>COUNTIF(Vertices[Out-Degree],"&gt;= "&amp;H33)-COUNTIF(Vertices[Out-Degree],"&gt;="&amp;H34)</f>
        <v>0</v>
      </c>
      <c r="J33" s="41">
        <f t="shared" si="4"/>
        <v>66.92352941176469</v>
      </c>
      <c r="K33" s="42">
        <f>COUNTIF(Vertices[Betweenness Centrality],"&gt;= "&amp;J33)-COUNTIF(Vertices[Betweenness Centrality],"&gt;="&amp;J34)</f>
        <v>0</v>
      </c>
      <c r="L33" s="41">
        <f t="shared" si="5"/>
        <v>0.6980388823529406</v>
      </c>
      <c r="M33" s="42">
        <f>COUNTIF(Vertices[Closeness Centrality],"&gt;= "&amp;L33)-COUNTIF(Vertices[Closeness Centrality],"&gt;="&amp;L34)</f>
        <v>0</v>
      </c>
      <c r="N33" s="41">
        <f t="shared" si="6"/>
        <v>0.4284747941176474</v>
      </c>
      <c r="O33" s="42">
        <f>COUNTIF(Vertices[Eigenvector Centrality],"&gt;= "&amp;N33)-COUNTIF(Vertices[Eigenvector Centrality],"&gt;="&amp;N34)</f>
        <v>0</v>
      </c>
      <c r="P33" s="41">
        <f t="shared" si="7"/>
        <v>0.0984000588235293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3"/>
      <c r="B34" s="123"/>
      <c r="D34" s="34">
        <f t="shared" si="1"/>
        <v>0</v>
      </c>
      <c r="E34" s="3">
        <f>COUNTIF(Vertices[Degree],"&gt;= "&amp;D34)-COUNTIF(Vertices[Degree],"&gt;="&amp;D35)</f>
        <v>0</v>
      </c>
      <c r="F34" s="39">
        <f t="shared" si="2"/>
        <v>6.58823529411765</v>
      </c>
      <c r="G34" s="40">
        <f>COUNTIF(Vertices[In-Degree],"&gt;= "&amp;F34)-COUNTIF(Vertices[In-Degree],"&gt;="&amp;F35)</f>
        <v>0</v>
      </c>
      <c r="H34" s="39">
        <f t="shared" si="3"/>
        <v>4.705882352941177</v>
      </c>
      <c r="I34" s="40">
        <f>COUNTIF(Vertices[Out-Degree],"&gt;= "&amp;H34)-COUNTIF(Vertices[Out-Degree],"&gt;="&amp;H35)</f>
        <v>0</v>
      </c>
      <c r="J34" s="39">
        <f t="shared" si="4"/>
        <v>69.08235294117645</v>
      </c>
      <c r="K34" s="40">
        <f>COUNTIF(Vertices[Betweenness Centrality],"&gt;= "&amp;J34)-COUNTIF(Vertices[Betweenness Centrality],"&gt;="&amp;J35)</f>
        <v>0</v>
      </c>
      <c r="L34" s="39">
        <f t="shared" si="5"/>
        <v>0.7098035882352935</v>
      </c>
      <c r="M34" s="40">
        <f>COUNTIF(Vertices[Closeness Centrality],"&gt;= "&amp;L34)-COUNTIF(Vertices[Closeness Centrality],"&gt;="&amp;L35)</f>
        <v>0</v>
      </c>
      <c r="N34" s="39">
        <f t="shared" si="6"/>
        <v>0.44158752941176505</v>
      </c>
      <c r="O34" s="40">
        <f>COUNTIF(Vertices[Eigenvector Centrality],"&gt;= "&amp;N34)-COUNTIF(Vertices[Eigenvector Centrality],"&gt;="&amp;N35)</f>
        <v>0</v>
      </c>
      <c r="P34" s="39">
        <f t="shared" si="7"/>
        <v>0.09908470588235282</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476</v>
      </c>
      <c r="B35" s="36" t="s">
        <v>604</v>
      </c>
      <c r="D35" s="34">
        <f t="shared" si="1"/>
        <v>0</v>
      </c>
      <c r="E35" s="3">
        <f>COUNTIF(Vertices[Degree],"&gt;= "&amp;D35)-COUNTIF(Vertices[Degree],"&gt;="&amp;D36)</f>
        <v>0</v>
      </c>
      <c r="F35" s="41">
        <f t="shared" si="2"/>
        <v>6.794117647058827</v>
      </c>
      <c r="G35" s="42">
        <f>COUNTIF(Vertices[In-Degree],"&gt;= "&amp;F35)-COUNTIF(Vertices[In-Degree],"&gt;="&amp;F36)</f>
        <v>0</v>
      </c>
      <c r="H35" s="41">
        <f t="shared" si="3"/>
        <v>4.852941176470589</v>
      </c>
      <c r="I35" s="42">
        <f>COUNTIF(Vertices[Out-Degree],"&gt;= "&amp;H35)-COUNTIF(Vertices[Out-Degree],"&gt;="&amp;H36)</f>
        <v>0</v>
      </c>
      <c r="J35" s="41">
        <f t="shared" si="4"/>
        <v>71.24117647058821</v>
      </c>
      <c r="K35" s="42">
        <f>COUNTIF(Vertices[Betweenness Centrality],"&gt;= "&amp;J35)-COUNTIF(Vertices[Betweenness Centrality],"&gt;="&amp;J36)</f>
        <v>0</v>
      </c>
      <c r="L35" s="41">
        <f t="shared" si="5"/>
        <v>0.7215682941176464</v>
      </c>
      <c r="M35" s="42">
        <f>COUNTIF(Vertices[Closeness Centrality],"&gt;= "&amp;L35)-COUNTIF(Vertices[Closeness Centrality],"&gt;="&amp;L36)</f>
        <v>0</v>
      </c>
      <c r="N35" s="41">
        <f t="shared" si="6"/>
        <v>0.4547002647058827</v>
      </c>
      <c r="O35" s="42">
        <f>COUNTIF(Vertices[Eigenvector Centrality],"&gt;= "&amp;N35)-COUNTIF(Vertices[Eigenvector Centrality],"&gt;="&amp;N36)</f>
        <v>0</v>
      </c>
      <c r="P35" s="41">
        <f t="shared" si="7"/>
        <v>0.09976935294117635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477</v>
      </c>
      <c r="B36" s="36" t="s">
        <v>605</v>
      </c>
      <c r="D36" s="34">
        <f>MAX(Vertices[Degree])</f>
        <v>0</v>
      </c>
      <c r="E36" s="3">
        <f>COUNTIF(Vertices[Degree],"&gt;= "&amp;D36)-COUNTIF(Vertices[Degree],"&gt;="&amp;#REF!)</f>
        <v>0</v>
      </c>
      <c r="F36" s="43">
        <f>MAX(Vertices[In-Degree])</f>
        <v>7</v>
      </c>
      <c r="G36" s="44">
        <f>COUNTIF(Vertices[In-Degree],"&gt;= "&amp;F36)-COUNTIF(Vertices[In-Degree],"&gt;="&amp;#REF!)</f>
        <v>1</v>
      </c>
      <c r="H36" s="43">
        <f>MAX(Vertices[Out-Degree])</f>
        <v>5</v>
      </c>
      <c r="I36" s="44">
        <f>COUNTIF(Vertices[Out-Degree],"&gt;= "&amp;H36)-COUNTIF(Vertices[Out-Degree],"&gt;="&amp;#REF!)</f>
        <v>2</v>
      </c>
      <c r="J36" s="43">
        <f>MAX(Vertices[Betweenness Centrality])</f>
        <v>73.4</v>
      </c>
      <c r="K36" s="44">
        <f>COUNTIF(Vertices[Betweenness Centrality],"&gt;= "&amp;J36)-COUNTIF(Vertices[Betweenness Centrality],"&gt;="&amp;#REF!)</f>
        <v>1</v>
      </c>
      <c r="L36" s="43">
        <f>MAX(Vertices[Closeness Centrality])</f>
        <v>0.733333</v>
      </c>
      <c r="M36" s="44">
        <f>COUNTIF(Vertices[Closeness Centrality],"&gt;= "&amp;L36)-COUNTIF(Vertices[Closeness Centrality],"&gt;="&amp;#REF!)</f>
        <v>1</v>
      </c>
      <c r="N36" s="43">
        <f>MAX(Vertices[Eigenvector Centrality])</f>
        <v>0.467813</v>
      </c>
      <c r="O36" s="44">
        <f>COUNTIF(Vertices[Eigenvector Centrality],"&gt;= "&amp;N36)-COUNTIF(Vertices[Eigenvector Centrality],"&gt;="&amp;#REF!)</f>
        <v>1</v>
      </c>
      <c r="P36" s="43">
        <f>MAX(Vertices[PageRank])</f>
        <v>0.100454</v>
      </c>
      <c r="Q36" s="44">
        <f>COUNTIF(Vertices[PageRank],"&gt;= "&amp;P36)-COUNTIF(Vertices[PageRank],"&gt;="&amp;#REF!)</f>
        <v>1</v>
      </c>
      <c r="R36" s="43">
        <f>MAX(Vertices[Clustering Coefficient])</f>
        <v>0.5</v>
      </c>
      <c r="S36" s="47">
        <f>COUNTIF(Vertices[Clustering Coefficient],"&gt;= "&amp;R36)-COUNTIF(Vertices[Clustering Coefficient],"&gt;="&amp;#REF!)</f>
        <v>2</v>
      </c>
      <c r="T36" s="43" t="e">
        <f ca="1">MAX(INDIRECT(DynamicFilterSourceColumnRange))</f>
        <v>#REF!</v>
      </c>
      <c r="U36" s="44" t="e">
        <f ca="1">COUNTIF(INDIRECT(DynamicFilterSourceColumnRange),"&gt;= "&amp;T36)-COUNTIF(INDIRECT(DynamicFilterSourceColumnRange),"&gt;="&amp;#REF!)</f>
        <v>#REF!</v>
      </c>
    </row>
    <row r="37" spans="1:2" ht="15">
      <c r="A37" s="123"/>
      <c r="B37" s="123"/>
    </row>
    <row r="38" spans="1:2" ht="15">
      <c r="A38" s="36" t="s">
        <v>478</v>
      </c>
      <c r="B38" s="36" t="s">
        <v>599</v>
      </c>
    </row>
    <row r="39" spans="1:2" ht="15">
      <c r="A39" s="36" t="s">
        <v>479</v>
      </c>
      <c r="B39" s="36" t="s">
        <v>600</v>
      </c>
    </row>
    <row r="40" spans="1:2" ht="409.6">
      <c r="A40" s="36" t="s">
        <v>480</v>
      </c>
      <c r="B40" s="68" t="s">
        <v>601</v>
      </c>
    </row>
    <row r="41" spans="1:2" ht="15">
      <c r="A41" s="36" t="s">
        <v>481</v>
      </c>
      <c r="B41" s="36" t="s">
        <v>602</v>
      </c>
    </row>
    <row r="42" spans="1:2" ht="15">
      <c r="A42" s="36" t="s">
        <v>482</v>
      </c>
      <c r="B42" s="36" t="s">
        <v>603</v>
      </c>
    </row>
    <row r="43" spans="1:2" ht="15">
      <c r="A43" s="36" t="s">
        <v>483</v>
      </c>
      <c r="B43" s="36" t="s">
        <v>385</v>
      </c>
    </row>
    <row r="44" spans="1:2" ht="15">
      <c r="A44" s="36" t="s">
        <v>484</v>
      </c>
      <c r="B44" s="36" t="s">
        <v>385</v>
      </c>
    </row>
    <row r="45" spans="1:2" ht="15">
      <c r="A45" s="36" t="s">
        <v>485</v>
      </c>
      <c r="B45" s="36" t="s">
        <v>385</v>
      </c>
    </row>
    <row r="46" spans="1:2" ht="15">
      <c r="A46" s="36" t="s">
        <v>486</v>
      </c>
      <c r="B46" s="36"/>
    </row>
    <row r="47" spans="1:2" ht="15">
      <c r="A47" s="36" t="s">
        <v>21</v>
      </c>
      <c r="B47" s="36"/>
    </row>
    <row r="48" spans="1:2" ht="15">
      <c r="A48" s="36" t="s">
        <v>487</v>
      </c>
      <c r="B48" s="36" t="s">
        <v>34</v>
      </c>
    </row>
    <row r="49" spans="1:2" ht="15">
      <c r="A49" s="36" t="s">
        <v>488</v>
      </c>
      <c r="B49" s="36"/>
    </row>
    <row r="50" spans="1:2" ht="15">
      <c r="A50" s="36" t="s">
        <v>489</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1.75</v>
      </c>
    </row>
    <row r="84" spans="1:2" ht="15">
      <c r="A84" s="35" t="s">
        <v>91</v>
      </c>
      <c r="B84" s="49">
        <f>_xlfn.IFERROR(MEDIAN(Vertices[In-Degree]),NoMetricMessage)</f>
        <v>1.5</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1.75</v>
      </c>
    </row>
    <row r="98" spans="1:2" ht="15">
      <c r="A98" s="35" t="s">
        <v>97</v>
      </c>
      <c r="B98" s="49">
        <f>_xlfn.IFERROR(MEDIAN(Vertices[Out-Degree]),NoMetricMessage)</f>
        <v>1.5</v>
      </c>
    </row>
    <row r="109" spans="1:2" ht="15">
      <c r="A109" s="35" t="s">
        <v>100</v>
      </c>
      <c r="B109" s="49">
        <f>IF(COUNT(Vertices[Betweenness Centrality])&gt;0,J2,NoMetricMessage)</f>
        <v>0</v>
      </c>
    </row>
    <row r="110" spans="1:2" ht="15">
      <c r="A110" s="35" t="s">
        <v>101</v>
      </c>
      <c r="B110" s="49">
        <f>IF(COUNT(Vertices[Betweenness Centrality])&gt;0,J36,NoMetricMessage)</f>
        <v>73.4</v>
      </c>
    </row>
    <row r="111" spans="1:2" ht="15">
      <c r="A111" s="35" t="s">
        <v>102</v>
      </c>
      <c r="B111" s="49">
        <f>_xlfn.IFERROR(AVERAGE(Vertices[Betweenness Centrality]),NoMetricMessage)</f>
        <v>11.500000000000002</v>
      </c>
    </row>
    <row r="112" spans="1:2" ht="15">
      <c r="A112" s="35" t="s">
        <v>103</v>
      </c>
      <c r="B112" s="49">
        <f>_xlfn.IFERROR(MEDIAN(Vertices[Betweenness Centrality]),NoMetricMessage)</f>
        <v>0.7</v>
      </c>
    </row>
    <row r="123" spans="1:2" ht="15">
      <c r="A123" s="35" t="s">
        <v>106</v>
      </c>
      <c r="B123" s="49">
        <f>IF(COUNT(Vertices[Closeness Centrality])&gt;0,L2,NoMetricMessage)</f>
        <v>0.333333</v>
      </c>
    </row>
    <row r="124" spans="1:2" ht="15">
      <c r="A124" s="35" t="s">
        <v>107</v>
      </c>
      <c r="B124" s="49">
        <f>IF(COUNT(Vertices[Closeness Centrality])&gt;0,L36,NoMetricMessage)</f>
        <v>0.733333</v>
      </c>
    </row>
    <row r="125" spans="1:2" ht="15">
      <c r="A125" s="35" t="s">
        <v>108</v>
      </c>
      <c r="B125" s="49">
        <f>_xlfn.IFERROR(AVERAGE(Vertices[Closeness Centrality]),NoMetricMessage)</f>
        <v>0.5107612499999999</v>
      </c>
    </row>
    <row r="126" spans="1:2" ht="15">
      <c r="A126" s="35" t="s">
        <v>109</v>
      </c>
      <c r="B126" s="49">
        <f>_xlfn.IFERROR(MEDIAN(Vertices[Closeness Centrality]),NoMetricMessage)</f>
        <v>0.46829699999999996</v>
      </c>
    </row>
    <row r="137" spans="1:2" ht="15">
      <c r="A137" s="35" t="s">
        <v>112</v>
      </c>
      <c r="B137" s="49">
        <f>IF(COUNT(Vertices[Eigenvector Centrality])&gt;0,N2,NoMetricMessage)</f>
        <v>0.02198</v>
      </c>
    </row>
    <row r="138" spans="1:2" ht="15">
      <c r="A138" s="35" t="s">
        <v>113</v>
      </c>
      <c r="B138" s="49">
        <f>IF(COUNT(Vertices[Eigenvector Centrality])&gt;0,N36,NoMetricMessage)</f>
        <v>0.467813</v>
      </c>
    </row>
    <row r="139" spans="1:2" ht="15">
      <c r="A139" s="35" t="s">
        <v>114</v>
      </c>
      <c r="B139" s="49">
        <f>_xlfn.IFERROR(AVERAGE(Vertices[Eigenvector Centrality]),NoMetricMessage)</f>
        <v>0.25285775</v>
      </c>
    </row>
    <row r="140" spans="1:2" ht="15">
      <c r="A140" s="35" t="s">
        <v>115</v>
      </c>
      <c r="B140" s="49">
        <f>_xlfn.IFERROR(MEDIAN(Vertices[Eigenvector Centrality]),NoMetricMessage)</f>
        <v>0.28687</v>
      </c>
    </row>
    <row r="151" spans="1:2" ht="15">
      <c r="A151" s="35" t="s">
        <v>140</v>
      </c>
      <c r="B151" s="49">
        <f>IF(COUNT(Vertices[PageRank])&gt;0,P2,NoMetricMessage)</f>
        <v>0.077176</v>
      </c>
    </row>
    <row r="152" spans="1:2" ht="15">
      <c r="A152" s="35" t="s">
        <v>141</v>
      </c>
      <c r="B152" s="49">
        <f>IF(COUNT(Vertices[PageRank])&gt;0,P36,NoMetricMessage)</f>
        <v>0.100454</v>
      </c>
    </row>
    <row r="153" spans="1:2" ht="15">
      <c r="A153" s="35" t="s">
        <v>142</v>
      </c>
      <c r="B153" s="49">
        <f>_xlfn.IFERROR(AVERAGE(Vertices[PageRank]),NoMetricMessage)</f>
        <v>0.08333333333333336</v>
      </c>
    </row>
    <row r="154" spans="1:2" ht="15">
      <c r="A154" s="35" t="s">
        <v>143</v>
      </c>
      <c r="B154" s="49">
        <f>_xlfn.IFERROR(MEDIAN(Vertices[PageRank]),NoMetricMessage)</f>
        <v>0.08143149999999999</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0.25793650793650796</v>
      </c>
    </row>
    <row r="168" spans="1:2" ht="15">
      <c r="A168" s="35" t="s">
        <v>121</v>
      </c>
      <c r="B168" s="49">
        <f>_xlfn.IFERROR(MEDIAN(Vertices[Clustering Coefficient]),NoMetricMessage)</f>
        <v>0.3</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8"/>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192</v>
      </c>
    </row>
    <row r="6" spans="1:18" ht="409.6">
      <c r="A6">
        <v>0</v>
      </c>
      <c r="B6" s="1" t="s">
        <v>136</v>
      </c>
      <c r="C6">
        <v>1</v>
      </c>
      <c r="D6" t="s">
        <v>59</v>
      </c>
      <c r="E6" t="s">
        <v>59</v>
      </c>
      <c r="F6">
        <v>0</v>
      </c>
      <c r="H6" t="s">
        <v>71</v>
      </c>
      <c r="J6" t="s">
        <v>173</v>
      </c>
      <c r="K6" s="13" t="s">
        <v>193</v>
      </c>
      <c r="R6" t="s">
        <v>129</v>
      </c>
    </row>
    <row r="7" spans="1:11" ht="409.6">
      <c r="A7">
        <v>2</v>
      </c>
      <c r="B7">
        <v>1</v>
      </c>
      <c r="C7">
        <v>0</v>
      </c>
      <c r="D7" t="s">
        <v>60</v>
      </c>
      <c r="E7" t="s">
        <v>60</v>
      </c>
      <c r="F7">
        <v>2</v>
      </c>
      <c r="H7" t="s">
        <v>72</v>
      </c>
      <c r="J7" t="s">
        <v>174</v>
      </c>
      <c r="K7" s="13" t="s">
        <v>194</v>
      </c>
    </row>
    <row r="8" spans="1:11" ht="409.6">
      <c r="A8"/>
      <c r="B8">
        <v>2</v>
      </c>
      <c r="C8">
        <v>2</v>
      </c>
      <c r="D8" t="s">
        <v>61</v>
      </c>
      <c r="E8" t="s">
        <v>61</v>
      </c>
      <c r="H8" t="s">
        <v>73</v>
      </c>
      <c r="J8" t="s">
        <v>175</v>
      </c>
      <c r="K8" s="13" t="s">
        <v>195</v>
      </c>
    </row>
    <row r="9" spans="1:11" ht="409.6">
      <c r="A9"/>
      <c r="B9">
        <v>3</v>
      </c>
      <c r="C9">
        <v>4</v>
      </c>
      <c r="D9" t="s">
        <v>62</v>
      </c>
      <c r="E9" t="s">
        <v>62</v>
      </c>
      <c r="H9" t="s">
        <v>74</v>
      </c>
      <c r="J9" t="s">
        <v>176</v>
      </c>
      <c r="K9" s="13" t="s">
        <v>196</v>
      </c>
    </row>
    <row r="10" spans="1:11" ht="409.6">
      <c r="A10"/>
      <c r="B10">
        <v>4</v>
      </c>
      <c r="D10" t="s">
        <v>63</v>
      </c>
      <c r="E10" t="s">
        <v>63</v>
      </c>
      <c r="H10" t="s">
        <v>75</v>
      </c>
      <c r="J10" t="s">
        <v>177</v>
      </c>
      <c r="K10" s="13" t="s">
        <v>197</v>
      </c>
    </row>
    <row r="11" spans="1:11" ht="409.6">
      <c r="A11"/>
      <c r="B11">
        <v>5</v>
      </c>
      <c r="D11" t="s">
        <v>46</v>
      </c>
      <c r="E11">
        <v>1</v>
      </c>
      <c r="H11" t="s">
        <v>76</v>
      </c>
      <c r="J11" t="s">
        <v>178</v>
      </c>
      <c r="K11" s="13" t="s">
        <v>198</v>
      </c>
    </row>
    <row r="12" spans="1:11" ht="409.6">
      <c r="A12"/>
      <c r="B12"/>
      <c r="D12" t="s">
        <v>64</v>
      </c>
      <c r="E12">
        <v>2</v>
      </c>
      <c r="H12">
        <v>0</v>
      </c>
      <c r="J12" t="s">
        <v>179</v>
      </c>
      <c r="K12" s="13"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6">
      <c r="D20">
        <v>8</v>
      </c>
      <c r="H20">
        <v>8</v>
      </c>
      <c r="J20" t="s">
        <v>187</v>
      </c>
      <c r="K20" s="13" t="s">
        <v>207</v>
      </c>
    </row>
    <row r="21" spans="4:11" ht="409.6">
      <c r="D21">
        <v>9</v>
      </c>
      <c r="H21">
        <v>9</v>
      </c>
      <c r="J21" t="s">
        <v>188</v>
      </c>
      <c r="K21" s="13" t="s">
        <v>208</v>
      </c>
    </row>
    <row r="22" spans="4:11" ht="409.6">
      <c r="D22">
        <v>10</v>
      </c>
      <c r="J22" t="s">
        <v>189</v>
      </c>
      <c r="K22" s="13" t="s">
        <v>209</v>
      </c>
    </row>
    <row r="23" spans="4:11" ht="15">
      <c r="D23">
        <v>11</v>
      </c>
      <c r="J23" t="s">
        <v>190</v>
      </c>
      <c r="K23">
        <v>21</v>
      </c>
    </row>
    <row r="24" spans="10:11" ht="409.6">
      <c r="J24" t="s">
        <v>210</v>
      </c>
      <c r="K24" s="13" t="s">
        <v>211</v>
      </c>
    </row>
    <row r="25" spans="10:11" ht="409.6">
      <c r="J25" t="s">
        <v>212</v>
      </c>
      <c r="K25" s="13" t="s">
        <v>213</v>
      </c>
    </row>
    <row r="26" spans="10:11" ht="409.6">
      <c r="J26" t="s">
        <v>214</v>
      </c>
      <c r="K26" s="13" t="s">
        <v>606</v>
      </c>
    </row>
    <row r="27" spans="10:11" ht="15">
      <c r="J27" t="s">
        <v>215</v>
      </c>
      <c r="K27" t="s">
        <v>597</v>
      </c>
    </row>
    <row r="28" spans="10:11" ht="409.6">
      <c r="J28" t="s">
        <v>216</v>
      </c>
      <c r="K28" s="13" t="s">
        <v>598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958EA-29C2-40F6-A2C8-88DA7F7E312B}">
  <dimension ref="A1:G95"/>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393</v>
      </c>
      <c r="B1" s="13" t="s">
        <v>440</v>
      </c>
      <c r="C1" s="13" t="s">
        <v>444</v>
      </c>
      <c r="D1" s="13" t="s">
        <v>144</v>
      </c>
      <c r="E1" s="13" t="s">
        <v>446</v>
      </c>
      <c r="F1" s="13" t="s">
        <v>447</v>
      </c>
      <c r="G1" s="13" t="s">
        <v>448</v>
      </c>
    </row>
    <row r="2" spans="1:7" ht="15">
      <c r="A2" s="82" t="s">
        <v>394</v>
      </c>
      <c r="B2" s="82" t="s">
        <v>441</v>
      </c>
      <c r="C2" s="118"/>
      <c r="D2" s="82"/>
      <c r="E2" s="82"/>
      <c r="F2" s="82"/>
      <c r="G2" s="82"/>
    </row>
    <row r="3" spans="1:7" ht="15">
      <c r="A3" s="83" t="s">
        <v>395</v>
      </c>
      <c r="B3" s="82" t="s">
        <v>442</v>
      </c>
      <c r="C3" s="118"/>
      <c r="D3" s="82"/>
      <c r="E3" s="82"/>
      <c r="F3" s="82"/>
      <c r="G3" s="82"/>
    </row>
    <row r="4" spans="1:7" ht="15">
      <c r="A4" s="83" t="s">
        <v>396</v>
      </c>
      <c r="B4" s="82" t="s">
        <v>443</v>
      </c>
      <c r="C4" s="118"/>
      <c r="D4" s="82"/>
      <c r="E4" s="82"/>
      <c r="F4" s="82"/>
      <c r="G4" s="82"/>
    </row>
    <row r="5" spans="1:7" ht="15">
      <c r="A5" s="83" t="s">
        <v>397</v>
      </c>
      <c r="B5" s="82">
        <v>20</v>
      </c>
      <c r="C5" s="118">
        <v>0.09174311926605505</v>
      </c>
      <c r="D5" s="82"/>
      <c r="E5" s="82"/>
      <c r="F5" s="82"/>
      <c r="G5" s="82"/>
    </row>
    <row r="6" spans="1:7" ht="15">
      <c r="A6" s="83" t="s">
        <v>398</v>
      </c>
      <c r="B6" s="82">
        <v>0</v>
      </c>
      <c r="C6" s="118">
        <v>0</v>
      </c>
      <c r="D6" s="82"/>
      <c r="E6" s="82"/>
      <c r="F6" s="82"/>
      <c r="G6" s="82"/>
    </row>
    <row r="7" spans="1:7" ht="15">
      <c r="A7" s="83" t="s">
        <v>399</v>
      </c>
      <c r="B7" s="82">
        <v>0</v>
      </c>
      <c r="C7" s="118">
        <v>0</v>
      </c>
      <c r="D7" s="82"/>
      <c r="E7" s="82"/>
      <c r="F7" s="82"/>
      <c r="G7" s="82"/>
    </row>
    <row r="8" spans="1:7" ht="15">
      <c r="A8" s="83" t="s">
        <v>400</v>
      </c>
      <c r="B8" s="82">
        <v>198</v>
      </c>
      <c r="C8" s="118">
        <v>0.9082568807339451</v>
      </c>
      <c r="D8" s="82"/>
      <c r="E8" s="82"/>
      <c r="F8" s="82"/>
      <c r="G8" s="82"/>
    </row>
    <row r="9" spans="1:7" ht="15">
      <c r="A9" s="83" t="s">
        <v>401</v>
      </c>
      <c r="B9" s="82">
        <v>218</v>
      </c>
      <c r="C9" s="118">
        <v>1</v>
      </c>
      <c r="D9" s="82"/>
      <c r="E9" s="82"/>
      <c r="F9" s="82"/>
      <c r="G9" s="82"/>
    </row>
    <row r="10" spans="1:7" ht="15">
      <c r="A10" s="89" t="s">
        <v>267</v>
      </c>
      <c r="B10" s="88">
        <v>8</v>
      </c>
      <c r="C10" s="119">
        <v>0</v>
      </c>
      <c r="D10" s="88" t="s">
        <v>445</v>
      </c>
      <c r="E10" s="88" t="b">
        <v>0</v>
      </c>
      <c r="F10" s="88" t="b">
        <v>0</v>
      </c>
      <c r="G10" s="88" t="b">
        <v>0</v>
      </c>
    </row>
    <row r="11" spans="1:7" ht="15">
      <c r="A11" s="89" t="s">
        <v>402</v>
      </c>
      <c r="B11" s="88">
        <v>6</v>
      </c>
      <c r="C11" s="119">
        <v>0.005065083916552701</v>
      </c>
      <c r="D11" s="88" t="s">
        <v>445</v>
      </c>
      <c r="E11" s="88" t="b">
        <v>1</v>
      </c>
      <c r="F11" s="88" t="b">
        <v>0</v>
      </c>
      <c r="G11" s="88" t="b">
        <v>0</v>
      </c>
    </row>
    <row r="12" spans="1:7" ht="15">
      <c r="A12" s="89" t="s">
        <v>403</v>
      </c>
      <c r="B12" s="88">
        <v>3</v>
      </c>
      <c r="C12" s="119">
        <v>0.008634501329843537</v>
      </c>
      <c r="D12" s="88" t="s">
        <v>445</v>
      </c>
      <c r="E12" s="88" t="b">
        <v>1</v>
      </c>
      <c r="F12" s="88" t="b">
        <v>0</v>
      </c>
      <c r="G12" s="88" t="b">
        <v>0</v>
      </c>
    </row>
    <row r="13" spans="1:7" ht="15">
      <c r="A13" s="89" t="s">
        <v>404</v>
      </c>
      <c r="B13" s="88">
        <v>3</v>
      </c>
      <c r="C13" s="119">
        <v>0.008634501329843537</v>
      </c>
      <c r="D13" s="88" t="s">
        <v>445</v>
      </c>
      <c r="E13" s="88" t="b">
        <v>1</v>
      </c>
      <c r="F13" s="88" t="b">
        <v>0</v>
      </c>
      <c r="G13" s="88" t="b">
        <v>0</v>
      </c>
    </row>
    <row r="14" spans="1:7" ht="15">
      <c r="A14" s="89" t="s">
        <v>405</v>
      </c>
      <c r="B14" s="88">
        <v>3</v>
      </c>
      <c r="C14" s="119">
        <v>0.008634501329843537</v>
      </c>
      <c r="D14" s="88" t="s">
        <v>445</v>
      </c>
      <c r="E14" s="88" t="b">
        <v>0</v>
      </c>
      <c r="F14" s="88" t="b">
        <v>0</v>
      </c>
      <c r="G14" s="88" t="b">
        <v>0</v>
      </c>
    </row>
    <row r="15" spans="1:7" ht="15">
      <c r="A15" s="89" t="s">
        <v>406</v>
      </c>
      <c r="B15" s="88">
        <v>3</v>
      </c>
      <c r="C15" s="119">
        <v>0.008634501329843537</v>
      </c>
      <c r="D15" s="88" t="s">
        <v>445</v>
      </c>
      <c r="E15" s="88" t="b">
        <v>0</v>
      </c>
      <c r="F15" s="88" t="b">
        <v>0</v>
      </c>
      <c r="G15" s="88" t="b">
        <v>0</v>
      </c>
    </row>
    <row r="16" spans="1:7" ht="15">
      <c r="A16" s="89" t="s">
        <v>407</v>
      </c>
      <c r="B16" s="88">
        <v>3</v>
      </c>
      <c r="C16" s="119">
        <v>0.008634501329843537</v>
      </c>
      <c r="D16" s="88" t="s">
        <v>445</v>
      </c>
      <c r="E16" s="88" t="b">
        <v>0</v>
      </c>
      <c r="F16" s="88" t="b">
        <v>0</v>
      </c>
      <c r="G16" s="88" t="b">
        <v>0</v>
      </c>
    </row>
    <row r="17" spans="1:7" ht="15">
      <c r="A17" s="89" t="s">
        <v>408</v>
      </c>
      <c r="B17" s="88">
        <v>3</v>
      </c>
      <c r="C17" s="119">
        <v>0.008634501329843537</v>
      </c>
      <c r="D17" s="88" t="s">
        <v>445</v>
      </c>
      <c r="E17" s="88" t="b">
        <v>0</v>
      </c>
      <c r="F17" s="88" t="b">
        <v>0</v>
      </c>
      <c r="G17" s="88" t="b">
        <v>0</v>
      </c>
    </row>
    <row r="18" spans="1:7" ht="15">
      <c r="A18" s="89" t="s">
        <v>409</v>
      </c>
      <c r="B18" s="88">
        <v>3</v>
      </c>
      <c r="C18" s="119">
        <v>0.008634501329843537</v>
      </c>
      <c r="D18" s="88" t="s">
        <v>445</v>
      </c>
      <c r="E18" s="88" t="b">
        <v>0</v>
      </c>
      <c r="F18" s="88" t="b">
        <v>0</v>
      </c>
      <c r="G18" s="88" t="b">
        <v>0</v>
      </c>
    </row>
    <row r="19" spans="1:7" ht="15">
      <c r="A19" s="89" t="s">
        <v>410</v>
      </c>
      <c r="B19" s="88">
        <v>3</v>
      </c>
      <c r="C19" s="119">
        <v>0.008634501329843537</v>
      </c>
      <c r="D19" s="88" t="s">
        <v>445</v>
      </c>
      <c r="E19" s="88" t="b">
        <v>0</v>
      </c>
      <c r="F19" s="88" t="b">
        <v>0</v>
      </c>
      <c r="G19" s="88" t="b">
        <v>0</v>
      </c>
    </row>
    <row r="20" spans="1:7" ht="15">
      <c r="A20" s="89" t="s">
        <v>411</v>
      </c>
      <c r="B20" s="88">
        <v>3</v>
      </c>
      <c r="C20" s="119">
        <v>0.008634501329843537</v>
      </c>
      <c r="D20" s="88" t="s">
        <v>445</v>
      </c>
      <c r="E20" s="88" t="b">
        <v>0</v>
      </c>
      <c r="F20" s="88" t="b">
        <v>0</v>
      </c>
      <c r="G20" s="88" t="b">
        <v>0</v>
      </c>
    </row>
    <row r="21" spans="1:7" ht="15">
      <c r="A21" s="89" t="s">
        <v>412</v>
      </c>
      <c r="B21" s="88">
        <v>3</v>
      </c>
      <c r="C21" s="119">
        <v>0.008634501329843537</v>
      </c>
      <c r="D21" s="88" t="s">
        <v>445</v>
      </c>
      <c r="E21" s="88" t="b">
        <v>0</v>
      </c>
      <c r="F21" s="88" t="b">
        <v>0</v>
      </c>
      <c r="G21" s="88" t="b">
        <v>0</v>
      </c>
    </row>
    <row r="22" spans="1:7" ht="15">
      <c r="A22" s="89" t="s">
        <v>413</v>
      </c>
      <c r="B22" s="88">
        <v>3</v>
      </c>
      <c r="C22" s="119">
        <v>0.008634501329843537</v>
      </c>
      <c r="D22" s="88" t="s">
        <v>445</v>
      </c>
      <c r="E22" s="88" t="b">
        <v>0</v>
      </c>
      <c r="F22" s="88" t="b">
        <v>0</v>
      </c>
      <c r="G22" s="88" t="b">
        <v>0</v>
      </c>
    </row>
    <row r="23" spans="1:7" ht="15">
      <c r="A23" s="89" t="s">
        <v>414</v>
      </c>
      <c r="B23" s="88">
        <v>3</v>
      </c>
      <c r="C23" s="119">
        <v>0.008634501329843537</v>
      </c>
      <c r="D23" s="88" t="s">
        <v>445</v>
      </c>
      <c r="E23" s="88" t="b">
        <v>0</v>
      </c>
      <c r="F23" s="88" t="b">
        <v>0</v>
      </c>
      <c r="G23" s="88" t="b">
        <v>0</v>
      </c>
    </row>
    <row r="24" spans="1:7" ht="15">
      <c r="A24" s="89" t="s">
        <v>415</v>
      </c>
      <c r="B24" s="88">
        <v>3</v>
      </c>
      <c r="C24" s="119">
        <v>0.008634501329843537</v>
      </c>
      <c r="D24" s="88" t="s">
        <v>445</v>
      </c>
      <c r="E24" s="88" t="b">
        <v>1</v>
      </c>
      <c r="F24" s="88" t="b">
        <v>0</v>
      </c>
      <c r="G24" s="88" t="b">
        <v>0</v>
      </c>
    </row>
    <row r="25" spans="1:7" ht="15">
      <c r="A25" s="89" t="s">
        <v>416</v>
      </c>
      <c r="B25" s="88">
        <v>3</v>
      </c>
      <c r="C25" s="119">
        <v>0.008634501329843537</v>
      </c>
      <c r="D25" s="88" t="s">
        <v>445</v>
      </c>
      <c r="E25" s="88" t="b">
        <v>0</v>
      </c>
      <c r="F25" s="88" t="b">
        <v>0</v>
      </c>
      <c r="G25" s="88" t="b">
        <v>0</v>
      </c>
    </row>
    <row r="26" spans="1:7" ht="15">
      <c r="A26" s="89" t="s">
        <v>417</v>
      </c>
      <c r="B26" s="88">
        <v>3</v>
      </c>
      <c r="C26" s="119">
        <v>0.008634501329843537</v>
      </c>
      <c r="D26" s="88" t="s">
        <v>445</v>
      </c>
      <c r="E26" s="88" t="b">
        <v>0</v>
      </c>
      <c r="F26" s="88" t="b">
        <v>0</v>
      </c>
      <c r="G26" s="88" t="b">
        <v>0</v>
      </c>
    </row>
    <row r="27" spans="1:7" ht="15">
      <c r="A27" s="89" t="s">
        <v>418</v>
      </c>
      <c r="B27" s="88">
        <v>3</v>
      </c>
      <c r="C27" s="119">
        <v>0.008634501329843537</v>
      </c>
      <c r="D27" s="88" t="s">
        <v>445</v>
      </c>
      <c r="E27" s="88" t="b">
        <v>0</v>
      </c>
      <c r="F27" s="88" t="b">
        <v>0</v>
      </c>
      <c r="G27" s="88" t="b">
        <v>0</v>
      </c>
    </row>
    <row r="28" spans="1:7" ht="15">
      <c r="A28" s="89" t="s">
        <v>419</v>
      </c>
      <c r="B28" s="88">
        <v>3</v>
      </c>
      <c r="C28" s="119">
        <v>0.008634501329843537</v>
      </c>
      <c r="D28" s="88" t="s">
        <v>445</v>
      </c>
      <c r="E28" s="88" t="b">
        <v>0</v>
      </c>
      <c r="F28" s="88" t="b">
        <v>0</v>
      </c>
      <c r="G28" s="88" t="b">
        <v>0</v>
      </c>
    </row>
    <row r="29" spans="1:7" ht="15">
      <c r="A29" s="89" t="s">
        <v>420</v>
      </c>
      <c r="B29" s="88">
        <v>3</v>
      </c>
      <c r="C29" s="119">
        <v>0.008634501329843537</v>
      </c>
      <c r="D29" s="88" t="s">
        <v>445</v>
      </c>
      <c r="E29" s="88" t="b">
        <v>0</v>
      </c>
      <c r="F29" s="88" t="b">
        <v>0</v>
      </c>
      <c r="G29" s="88" t="b">
        <v>0</v>
      </c>
    </row>
    <row r="30" spans="1:7" ht="15">
      <c r="A30" s="89" t="s">
        <v>421</v>
      </c>
      <c r="B30" s="88">
        <v>3</v>
      </c>
      <c r="C30" s="119">
        <v>0.008634501329843537</v>
      </c>
      <c r="D30" s="88" t="s">
        <v>445</v>
      </c>
      <c r="E30" s="88" t="b">
        <v>0</v>
      </c>
      <c r="F30" s="88" t="b">
        <v>0</v>
      </c>
      <c r="G30" s="88" t="b">
        <v>0</v>
      </c>
    </row>
    <row r="31" spans="1:7" ht="15">
      <c r="A31" s="89" t="s">
        <v>422</v>
      </c>
      <c r="B31" s="88">
        <v>3</v>
      </c>
      <c r="C31" s="119">
        <v>0.008634501329843537</v>
      </c>
      <c r="D31" s="88" t="s">
        <v>445</v>
      </c>
      <c r="E31" s="88" t="b">
        <v>0</v>
      </c>
      <c r="F31" s="88" t="b">
        <v>0</v>
      </c>
      <c r="G31" s="88" t="b">
        <v>0</v>
      </c>
    </row>
    <row r="32" spans="1:7" ht="15">
      <c r="A32" s="89" t="s">
        <v>423</v>
      </c>
      <c r="B32" s="88">
        <v>3</v>
      </c>
      <c r="C32" s="119">
        <v>0.008634501329843537</v>
      </c>
      <c r="D32" s="88" t="s">
        <v>445</v>
      </c>
      <c r="E32" s="88" t="b">
        <v>0</v>
      </c>
      <c r="F32" s="88" t="b">
        <v>0</v>
      </c>
      <c r="G32" s="88" t="b">
        <v>0</v>
      </c>
    </row>
    <row r="33" spans="1:7" ht="15">
      <c r="A33" s="89" t="s">
        <v>424</v>
      </c>
      <c r="B33" s="88">
        <v>3</v>
      </c>
      <c r="C33" s="119">
        <v>0.008634501329843537</v>
      </c>
      <c r="D33" s="88" t="s">
        <v>445</v>
      </c>
      <c r="E33" s="88" t="b">
        <v>1</v>
      </c>
      <c r="F33" s="88" t="b">
        <v>0</v>
      </c>
      <c r="G33" s="88" t="b">
        <v>0</v>
      </c>
    </row>
    <row r="34" spans="1:7" ht="15">
      <c r="A34" s="89" t="s">
        <v>425</v>
      </c>
      <c r="B34" s="88">
        <v>3</v>
      </c>
      <c r="C34" s="119">
        <v>0.008634501329843537</v>
      </c>
      <c r="D34" s="88" t="s">
        <v>445</v>
      </c>
      <c r="E34" s="88" t="b">
        <v>0</v>
      </c>
      <c r="F34" s="88" t="b">
        <v>0</v>
      </c>
      <c r="G34" s="88" t="b">
        <v>0</v>
      </c>
    </row>
    <row r="35" spans="1:7" ht="15">
      <c r="A35" s="89" t="s">
        <v>426</v>
      </c>
      <c r="B35" s="88">
        <v>3</v>
      </c>
      <c r="C35" s="119">
        <v>0.008634501329843537</v>
      </c>
      <c r="D35" s="88" t="s">
        <v>445</v>
      </c>
      <c r="E35" s="88" t="b">
        <v>0</v>
      </c>
      <c r="F35" s="88" t="b">
        <v>0</v>
      </c>
      <c r="G35" s="88" t="b">
        <v>0</v>
      </c>
    </row>
    <row r="36" spans="1:7" ht="15">
      <c r="A36" s="89" t="s">
        <v>427</v>
      </c>
      <c r="B36" s="88">
        <v>3</v>
      </c>
      <c r="C36" s="119">
        <v>0.008634501329843537</v>
      </c>
      <c r="D36" s="88" t="s">
        <v>445</v>
      </c>
      <c r="E36" s="88" t="b">
        <v>0</v>
      </c>
      <c r="F36" s="88" t="b">
        <v>0</v>
      </c>
      <c r="G36" s="88" t="b">
        <v>0</v>
      </c>
    </row>
    <row r="37" spans="1:7" ht="15">
      <c r="A37" s="89" t="s">
        <v>428</v>
      </c>
      <c r="B37" s="88">
        <v>3</v>
      </c>
      <c r="C37" s="119">
        <v>0.008634501329843537</v>
      </c>
      <c r="D37" s="88" t="s">
        <v>445</v>
      </c>
      <c r="E37" s="88" t="b">
        <v>0</v>
      </c>
      <c r="F37" s="88" t="b">
        <v>0</v>
      </c>
      <c r="G37" s="88" t="b">
        <v>0</v>
      </c>
    </row>
    <row r="38" spans="1:7" ht="15">
      <c r="A38" s="89" t="s">
        <v>429</v>
      </c>
      <c r="B38" s="88">
        <v>3</v>
      </c>
      <c r="C38" s="119">
        <v>0.008634501329843537</v>
      </c>
      <c r="D38" s="88" t="s">
        <v>445</v>
      </c>
      <c r="E38" s="88" t="b">
        <v>0</v>
      </c>
      <c r="F38" s="88" t="b">
        <v>0</v>
      </c>
      <c r="G38" s="88" t="b">
        <v>0</v>
      </c>
    </row>
    <row r="39" spans="1:7" ht="15">
      <c r="A39" s="89" t="s">
        <v>430</v>
      </c>
      <c r="B39" s="88">
        <v>3</v>
      </c>
      <c r="C39" s="119">
        <v>0.008634501329843537</v>
      </c>
      <c r="D39" s="88" t="s">
        <v>445</v>
      </c>
      <c r="E39" s="88" t="b">
        <v>0</v>
      </c>
      <c r="F39" s="88" t="b">
        <v>0</v>
      </c>
      <c r="G39" s="88" t="b">
        <v>0</v>
      </c>
    </row>
    <row r="40" spans="1:7" ht="15">
      <c r="A40" s="89" t="s">
        <v>431</v>
      </c>
      <c r="B40" s="88">
        <v>3</v>
      </c>
      <c r="C40" s="119">
        <v>0.008634501329843537</v>
      </c>
      <c r="D40" s="88" t="s">
        <v>445</v>
      </c>
      <c r="E40" s="88" t="b">
        <v>0</v>
      </c>
      <c r="F40" s="88" t="b">
        <v>0</v>
      </c>
      <c r="G40" s="88" t="b">
        <v>0</v>
      </c>
    </row>
    <row r="41" spans="1:7" ht="15">
      <c r="A41" s="89" t="s">
        <v>432</v>
      </c>
      <c r="B41" s="88">
        <v>3</v>
      </c>
      <c r="C41" s="119">
        <v>0.008634501329843537</v>
      </c>
      <c r="D41" s="88" t="s">
        <v>445</v>
      </c>
      <c r="E41" s="88" t="b">
        <v>0</v>
      </c>
      <c r="F41" s="88" t="b">
        <v>0</v>
      </c>
      <c r="G41" s="88" t="b">
        <v>0</v>
      </c>
    </row>
    <row r="42" spans="1:7" ht="15">
      <c r="A42" s="89" t="s">
        <v>433</v>
      </c>
      <c r="B42" s="88">
        <v>3</v>
      </c>
      <c r="C42" s="119">
        <v>0.008634501329843537</v>
      </c>
      <c r="D42" s="88" t="s">
        <v>445</v>
      </c>
      <c r="E42" s="88" t="b">
        <v>0</v>
      </c>
      <c r="F42" s="88" t="b">
        <v>0</v>
      </c>
      <c r="G42" s="88" t="b">
        <v>0</v>
      </c>
    </row>
    <row r="43" spans="1:7" ht="15">
      <c r="A43" s="89" t="s">
        <v>434</v>
      </c>
      <c r="B43" s="88">
        <v>3</v>
      </c>
      <c r="C43" s="119">
        <v>0.008634501329843537</v>
      </c>
      <c r="D43" s="88" t="s">
        <v>445</v>
      </c>
      <c r="E43" s="88" t="b">
        <v>0</v>
      </c>
      <c r="F43" s="88" t="b">
        <v>0</v>
      </c>
      <c r="G43" s="88" t="b">
        <v>0</v>
      </c>
    </row>
    <row r="44" spans="1:7" ht="15">
      <c r="A44" s="89" t="s">
        <v>435</v>
      </c>
      <c r="B44" s="88">
        <v>3</v>
      </c>
      <c r="C44" s="119">
        <v>0.008634501329843537</v>
      </c>
      <c r="D44" s="88" t="s">
        <v>445</v>
      </c>
      <c r="E44" s="88" t="b">
        <v>0</v>
      </c>
      <c r="F44" s="88" t="b">
        <v>0</v>
      </c>
      <c r="G44" s="88" t="b">
        <v>0</v>
      </c>
    </row>
    <row r="45" spans="1:7" ht="15">
      <c r="A45" s="89" t="s">
        <v>436</v>
      </c>
      <c r="B45" s="88">
        <v>3</v>
      </c>
      <c r="C45" s="119">
        <v>0.008634501329843537</v>
      </c>
      <c r="D45" s="88" t="s">
        <v>445</v>
      </c>
      <c r="E45" s="88" t="b">
        <v>0</v>
      </c>
      <c r="F45" s="88" t="b">
        <v>0</v>
      </c>
      <c r="G45" s="88" t="b">
        <v>0</v>
      </c>
    </row>
    <row r="46" spans="1:7" ht="15">
      <c r="A46" s="89" t="s">
        <v>437</v>
      </c>
      <c r="B46" s="88">
        <v>3</v>
      </c>
      <c r="C46" s="119">
        <v>0.008634501329843537</v>
      </c>
      <c r="D46" s="88" t="s">
        <v>445</v>
      </c>
      <c r="E46" s="88" t="b">
        <v>0</v>
      </c>
      <c r="F46" s="88" t="b">
        <v>0</v>
      </c>
      <c r="G46" s="88" t="b">
        <v>0</v>
      </c>
    </row>
    <row r="47" spans="1:7" ht="15">
      <c r="A47" s="89" t="s">
        <v>438</v>
      </c>
      <c r="B47" s="88">
        <v>3</v>
      </c>
      <c r="C47" s="119">
        <v>0.008634501329843537</v>
      </c>
      <c r="D47" s="88" t="s">
        <v>445</v>
      </c>
      <c r="E47" s="88" t="b">
        <v>0</v>
      </c>
      <c r="F47" s="88" t="b">
        <v>0</v>
      </c>
      <c r="G47" s="88" t="b">
        <v>0</v>
      </c>
    </row>
    <row r="48" spans="1:7" ht="15">
      <c r="A48" s="89" t="s">
        <v>266</v>
      </c>
      <c r="B48" s="88">
        <v>3</v>
      </c>
      <c r="C48" s="119">
        <v>0.008634501329843537</v>
      </c>
      <c r="D48" s="88" t="s">
        <v>445</v>
      </c>
      <c r="E48" s="88" t="b">
        <v>0</v>
      </c>
      <c r="F48" s="88" t="b">
        <v>0</v>
      </c>
      <c r="G48" s="88" t="b">
        <v>0</v>
      </c>
    </row>
    <row r="49" spans="1:7" ht="15">
      <c r="A49" s="89" t="s">
        <v>265</v>
      </c>
      <c r="B49" s="88">
        <v>3</v>
      </c>
      <c r="C49" s="119">
        <v>0.008634501329843537</v>
      </c>
      <c r="D49" s="88" t="s">
        <v>445</v>
      </c>
      <c r="E49" s="88" t="b">
        <v>0</v>
      </c>
      <c r="F49" s="88" t="b">
        <v>0</v>
      </c>
      <c r="G49" s="88" t="b">
        <v>0</v>
      </c>
    </row>
    <row r="50" spans="1:7" ht="15">
      <c r="A50" s="89" t="s">
        <v>264</v>
      </c>
      <c r="B50" s="88">
        <v>3</v>
      </c>
      <c r="C50" s="119">
        <v>0.008634501329843537</v>
      </c>
      <c r="D50" s="88" t="s">
        <v>445</v>
      </c>
      <c r="E50" s="88" t="b">
        <v>0</v>
      </c>
      <c r="F50" s="88" t="b">
        <v>0</v>
      </c>
      <c r="G50" s="88" t="b">
        <v>0</v>
      </c>
    </row>
    <row r="51" spans="1:7" ht="15">
      <c r="A51" s="89" t="s">
        <v>439</v>
      </c>
      <c r="B51" s="88">
        <v>3</v>
      </c>
      <c r="C51" s="119">
        <v>0.008634501329843537</v>
      </c>
      <c r="D51" s="88" t="s">
        <v>445</v>
      </c>
      <c r="E51" s="88" t="b">
        <v>0</v>
      </c>
      <c r="F51" s="88" t="b">
        <v>0</v>
      </c>
      <c r="G51" s="88" t="b">
        <v>0</v>
      </c>
    </row>
    <row r="52" spans="1:7" ht="15">
      <c r="A52" s="89" t="s">
        <v>267</v>
      </c>
      <c r="B52" s="88">
        <v>5</v>
      </c>
      <c r="C52" s="119">
        <v>0</v>
      </c>
      <c r="D52" s="88" t="s">
        <v>386</v>
      </c>
      <c r="E52" s="88" t="b">
        <v>0</v>
      </c>
      <c r="F52" s="88" t="b">
        <v>0</v>
      </c>
      <c r="G52" s="88" t="b">
        <v>0</v>
      </c>
    </row>
    <row r="53" spans="1:7" ht="15">
      <c r="A53" s="89" t="s">
        <v>403</v>
      </c>
      <c r="B53" s="88">
        <v>3</v>
      </c>
      <c r="C53" s="119">
        <v>0.008116417668891087</v>
      </c>
      <c r="D53" s="88" t="s">
        <v>386</v>
      </c>
      <c r="E53" s="88" t="b">
        <v>1</v>
      </c>
      <c r="F53" s="88" t="b">
        <v>0</v>
      </c>
      <c r="G53" s="88" t="b">
        <v>0</v>
      </c>
    </row>
    <row r="54" spans="1:7" ht="15">
      <c r="A54" s="89" t="s">
        <v>404</v>
      </c>
      <c r="B54" s="88">
        <v>3</v>
      </c>
      <c r="C54" s="119">
        <v>0.008116417668891087</v>
      </c>
      <c r="D54" s="88" t="s">
        <v>386</v>
      </c>
      <c r="E54" s="88" t="b">
        <v>1</v>
      </c>
      <c r="F54" s="88" t="b">
        <v>0</v>
      </c>
      <c r="G54" s="88" t="b">
        <v>0</v>
      </c>
    </row>
    <row r="55" spans="1:7" ht="15">
      <c r="A55" s="89" t="s">
        <v>402</v>
      </c>
      <c r="B55" s="88">
        <v>3</v>
      </c>
      <c r="C55" s="119">
        <v>0.008116417668891087</v>
      </c>
      <c r="D55" s="88" t="s">
        <v>386</v>
      </c>
      <c r="E55" s="88" t="b">
        <v>1</v>
      </c>
      <c r="F55" s="88" t="b">
        <v>0</v>
      </c>
      <c r="G55" s="88" t="b">
        <v>0</v>
      </c>
    </row>
    <row r="56" spans="1:7" ht="15">
      <c r="A56" s="89" t="s">
        <v>405</v>
      </c>
      <c r="B56" s="88">
        <v>3</v>
      </c>
      <c r="C56" s="119">
        <v>0.008116417668891087</v>
      </c>
      <c r="D56" s="88" t="s">
        <v>386</v>
      </c>
      <c r="E56" s="88" t="b">
        <v>0</v>
      </c>
      <c r="F56" s="88" t="b">
        <v>0</v>
      </c>
      <c r="G56" s="88" t="b">
        <v>0</v>
      </c>
    </row>
    <row r="57" spans="1:7" ht="15">
      <c r="A57" s="89" t="s">
        <v>406</v>
      </c>
      <c r="B57" s="88">
        <v>3</v>
      </c>
      <c r="C57" s="119">
        <v>0.008116417668891087</v>
      </c>
      <c r="D57" s="88" t="s">
        <v>386</v>
      </c>
      <c r="E57" s="88" t="b">
        <v>0</v>
      </c>
      <c r="F57" s="88" t="b">
        <v>0</v>
      </c>
      <c r="G57" s="88" t="b">
        <v>0</v>
      </c>
    </row>
    <row r="58" spans="1:7" ht="15">
      <c r="A58" s="89" t="s">
        <v>407</v>
      </c>
      <c r="B58" s="88">
        <v>3</v>
      </c>
      <c r="C58" s="119">
        <v>0.008116417668891087</v>
      </c>
      <c r="D58" s="88" t="s">
        <v>386</v>
      </c>
      <c r="E58" s="88" t="b">
        <v>0</v>
      </c>
      <c r="F58" s="88" t="b">
        <v>0</v>
      </c>
      <c r="G58" s="88" t="b">
        <v>0</v>
      </c>
    </row>
    <row r="59" spans="1:7" ht="15">
      <c r="A59" s="89" t="s">
        <v>408</v>
      </c>
      <c r="B59" s="88">
        <v>3</v>
      </c>
      <c r="C59" s="119">
        <v>0.008116417668891087</v>
      </c>
      <c r="D59" s="88" t="s">
        <v>386</v>
      </c>
      <c r="E59" s="88" t="b">
        <v>0</v>
      </c>
      <c r="F59" s="88" t="b">
        <v>0</v>
      </c>
      <c r="G59" s="88" t="b">
        <v>0</v>
      </c>
    </row>
    <row r="60" spans="1:7" ht="15">
      <c r="A60" s="89" t="s">
        <v>409</v>
      </c>
      <c r="B60" s="88">
        <v>3</v>
      </c>
      <c r="C60" s="119">
        <v>0.008116417668891087</v>
      </c>
      <c r="D60" s="88" t="s">
        <v>386</v>
      </c>
      <c r="E60" s="88" t="b">
        <v>0</v>
      </c>
      <c r="F60" s="88" t="b">
        <v>0</v>
      </c>
      <c r="G60" s="88" t="b">
        <v>0</v>
      </c>
    </row>
    <row r="61" spans="1:7" ht="15">
      <c r="A61" s="89" t="s">
        <v>410</v>
      </c>
      <c r="B61" s="88">
        <v>3</v>
      </c>
      <c r="C61" s="119">
        <v>0.008116417668891087</v>
      </c>
      <c r="D61" s="88" t="s">
        <v>386</v>
      </c>
      <c r="E61" s="88" t="b">
        <v>0</v>
      </c>
      <c r="F61" s="88" t="b">
        <v>0</v>
      </c>
      <c r="G61" s="88" t="b">
        <v>0</v>
      </c>
    </row>
    <row r="62" spans="1:7" ht="15">
      <c r="A62" s="89" t="s">
        <v>411</v>
      </c>
      <c r="B62" s="88">
        <v>3</v>
      </c>
      <c r="C62" s="119">
        <v>0.008116417668891087</v>
      </c>
      <c r="D62" s="88" t="s">
        <v>386</v>
      </c>
      <c r="E62" s="88" t="b">
        <v>0</v>
      </c>
      <c r="F62" s="88" t="b">
        <v>0</v>
      </c>
      <c r="G62" s="88" t="b">
        <v>0</v>
      </c>
    </row>
    <row r="63" spans="1:7" ht="15">
      <c r="A63" s="89" t="s">
        <v>412</v>
      </c>
      <c r="B63" s="88">
        <v>3</v>
      </c>
      <c r="C63" s="119">
        <v>0.008116417668891087</v>
      </c>
      <c r="D63" s="88" t="s">
        <v>386</v>
      </c>
      <c r="E63" s="88" t="b">
        <v>0</v>
      </c>
      <c r="F63" s="88" t="b">
        <v>0</v>
      </c>
      <c r="G63" s="88" t="b">
        <v>0</v>
      </c>
    </row>
    <row r="64" spans="1:7" ht="15">
      <c r="A64" s="89" t="s">
        <v>413</v>
      </c>
      <c r="B64" s="88">
        <v>3</v>
      </c>
      <c r="C64" s="119">
        <v>0.008116417668891087</v>
      </c>
      <c r="D64" s="88" t="s">
        <v>386</v>
      </c>
      <c r="E64" s="88" t="b">
        <v>0</v>
      </c>
      <c r="F64" s="88" t="b">
        <v>0</v>
      </c>
      <c r="G64" s="88" t="b">
        <v>0</v>
      </c>
    </row>
    <row r="65" spans="1:7" ht="15">
      <c r="A65" s="89" t="s">
        <v>414</v>
      </c>
      <c r="B65" s="88">
        <v>3</v>
      </c>
      <c r="C65" s="119">
        <v>0.008116417668891087</v>
      </c>
      <c r="D65" s="88" t="s">
        <v>386</v>
      </c>
      <c r="E65" s="88" t="b">
        <v>0</v>
      </c>
      <c r="F65" s="88" t="b">
        <v>0</v>
      </c>
      <c r="G65" s="88" t="b">
        <v>0</v>
      </c>
    </row>
    <row r="66" spans="1:7" ht="15">
      <c r="A66" s="89" t="s">
        <v>415</v>
      </c>
      <c r="B66" s="88">
        <v>3</v>
      </c>
      <c r="C66" s="119">
        <v>0.008116417668891087</v>
      </c>
      <c r="D66" s="88" t="s">
        <v>386</v>
      </c>
      <c r="E66" s="88" t="b">
        <v>1</v>
      </c>
      <c r="F66" s="88" t="b">
        <v>0</v>
      </c>
      <c r="G66" s="88" t="b">
        <v>0</v>
      </c>
    </row>
    <row r="67" spans="1:7" ht="15">
      <c r="A67" s="89" t="s">
        <v>416</v>
      </c>
      <c r="B67" s="88">
        <v>3</v>
      </c>
      <c r="C67" s="119">
        <v>0.008116417668891087</v>
      </c>
      <c r="D67" s="88" t="s">
        <v>386</v>
      </c>
      <c r="E67" s="88" t="b">
        <v>0</v>
      </c>
      <c r="F67" s="88" t="b">
        <v>0</v>
      </c>
      <c r="G67" s="88" t="b">
        <v>0</v>
      </c>
    </row>
    <row r="68" spans="1:7" ht="15">
      <c r="A68" s="89" t="s">
        <v>417</v>
      </c>
      <c r="B68" s="88">
        <v>3</v>
      </c>
      <c r="C68" s="119">
        <v>0.008116417668891087</v>
      </c>
      <c r="D68" s="88" t="s">
        <v>386</v>
      </c>
      <c r="E68" s="88" t="b">
        <v>0</v>
      </c>
      <c r="F68" s="88" t="b">
        <v>0</v>
      </c>
      <c r="G68" s="88" t="b">
        <v>0</v>
      </c>
    </row>
    <row r="69" spans="1:7" ht="15">
      <c r="A69" s="89" t="s">
        <v>418</v>
      </c>
      <c r="B69" s="88">
        <v>3</v>
      </c>
      <c r="C69" s="119">
        <v>0.008116417668891087</v>
      </c>
      <c r="D69" s="88" t="s">
        <v>386</v>
      </c>
      <c r="E69" s="88" t="b">
        <v>0</v>
      </c>
      <c r="F69" s="88" t="b">
        <v>0</v>
      </c>
      <c r="G69" s="88" t="b">
        <v>0</v>
      </c>
    </row>
    <row r="70" spans="1:7" ht="15">
      <c r="A70" s="89" t="s">
        <v>419</v>
      </c>
      <c r="B70" s="88">
        <v>3</v>
      </c>
      <c r="C70" s="119">
        <v>0.008116417668891087</v>
      </c>
      <c r="D70" s="88" t="s">
        <v>386</v>
      </c>
      <c r="E70" s="88" t="b">
        <v>0</v>
      </c>
      <c r="F70" s="88" t="b">
        <v>0</v>
      </c>
      <c r="G70" s="88" t="b">
        <v>0</v>
      </c>
    </row>
    <row r="71" spans="1:7" ht="15">
      <c r="A71" s="89" t="s">
        <v>420</v>
      </c>
      <c r="B71" s="88">
        <v>3</v>
      </c>
      <c r="C71" s="119">
        <v>0.008116417668891087</v>
      </c>
      <c r="D71" s="88" t="s">
        <v>386</v>
      </c>
      <c r="E71" s="88" t="b">
        <v>0</v>
      </c>
      <c r="F71" s="88" t="b">
        <v>0</v>
      </c>
      <c r="G71" s="88" t="b">
        <v>0</v>
      </c>
    </row>
    <row r="72" spans="1:7" ht="15">
      <c r="A72" s="89" t="s">
        <v>421</v>
      </c>
      <c r="B72" s="88">
        <v>3</v>
      </c>
      <c r="C72" s="119">
        <v>0.008116417668891087</v>
      </c>
      <c r="D72" s="88" t="s">
        <v>386</v>
      </c>
      <c r="E72" s="88" t="b">
        <v>0</v>
      </c>
      <c r="F72" s="88" t="b">
        <v>0</v>
      </c>
      <c r="G72" s="88" t="b">
        <v>0</v>
      </c>
    </row>
    <row r="73" spans="1:7" ht="15">
      <c r="A73" s="89" t="s">
        <v>422</v>
      </c>
      <c r="B73" s="88">
        <v>3</v>
      </c>
      <c r="C73" s="119">
        <v>0.008116417668891087</v>
      </c>
      <c r="D73" s="88" t="s">
        <v>386</v>
      </c>
      <c r="E73" s="88" t="b">
        <v>0</v>
      </c>
      <c r="F73" s="88" t="b">
        <v>0</v>
      </c>
      <c r="G73" s="88" t="b">
        <v>0</v>
      </c>
    </row>
    <row r="74" spans="1:7" ht="15">
      <c r="A74" s="89" t="s">
        <v>423</v>
      </c>
      <c r="B74" s="88">
        <v>3</v>
      </c>
      <c r="C74" s="119">
        <v>0</v>
      </c>
      <c r="D74" s="88" t="s">
        <v>387</v>
      </c>
      <c r="E74" s="88" t="b">
        <v>0</v>
      </c>
      <c r="F74" s="88" t="b">
        <v>0</v>
      </c>
      <c r="G74" s="88" t="b">
        <v>0</v>
      </c>
    </row>
    <row r="75" spans="1:7" ht="15">
      <c r="A75" s="89" t="s">
        <v>424</v>
      </c>
      <c r="B75" s="88">
        <v>3</v>
      </c>
      <c r="C75" s="119">
        <v>0</v>
      </c>
      <c r="D75" s="88" t="s">
        <v>387</v>
      </c>
      <c r="E75" s="88" t="b">
        <v>1</v>
      </c>
      <c r="F75" s="88" t="b">
        <v>0</v>
      </c>
      <c r="G75" s="88" t="b">
        <v>0</v>
      </c>
    </row>
    <row r="76" spans="1:7" ht="15">
      <c r="A76" s="89" t="s">
        <v>425</v>
      </c>
      <c r="B76" s="88">
        <v>3</v>
      </c>
      <c r="C76" s="119">
        <v>0</v>
      </c>
      <c r="D76" s="88" t="s">
        <v>387</v>
      </c>
      <c r="E76" s="88" t="b">
        <v>0</v>
      </c>
      <c r="F76" s="88" t="b">
        <v>0</v>
      </c>
      <c r="G76" s="88" t="b">
        <v>0</v>
      </c>
    </row>
    <row r="77" spans="1:7" ht="15">
      <c r="A77" s="89" t="s">
        <v>426</v>
      </c>
      <c r="B77" s="88">
        <v>3</v>
      </c>
      <c r="C77" s="119">
        <v>0</v>
      </c>
      <c r="D77" s="88" t="s">
        <v>387</v>
      </c>
      <c r="E77" s="88" t="b">
        <v>0</v>
      </c>
      <c r="F77" s="88" t="b">
        <v>0</v>
      </c>
      <c r="G77" s="88" t="b">
        <v>0</v>
      </c>
    </row>
    <row r="78" spans="1:7" ht="15">
      <c r="A78" s="89" t="s">
        <v>427</v>
      </c>
      <c r="B78" s="88">
        <v>3</v>
      </c>
      <c r="C78" s="119">
        <v>0</v>
      </c>
      <c r="D78" s="88" t="s">
        <v>387</v>
      </c>
      <c r="E78" s="88" t="b">
        <v>0</v>
      </c>
      <c r="F78" s="88" t="b">
        <v>0</v>
      </c>
      <c r="G78" s="88" t="b">
        <v>0</v>
      </c>
    </row>
    <row r="79" spans="1:7" ht="15">
      <c r="A79" s="89" t="s">
        <v>428</v>
      </c>
      <c r="B79" s="88">
        <v>3</v>
      </c>
      <c r="C79" s="119">
        <v>0</v>
      </c>
      <c r="D79" s="88" t="s">
        <v>387</v>
      </c>
      <c r="E79" s="88" t="b">
        <v>0</v>
      </c>
      <c r="F79" s="88" t="b">
        <v>0</v>
      </c>
      <c r="G79" s="88" t="b">
        <v>0</v>
      </c>
    </row>
    <row r="80" spans="1:7" ht="15">
      <c r="A80" s="89" t="s">
        <v>429</v>
      </c>
      <c r="B80" s="88">
        <v>3</v>
      </c>
      <c r="C80" s="119">
        <v>0</v>
      </c>
      <c r="D80" s="88" t="s">
        <v>387</v>
      </c>
      <c r="E80" s="88" t="b">
        <v>0</v>
      </c>
      <c r="F80" s="88" t="b">
        <v>0</v>
      </c>
      <c r="G80" s="88" t="b">
        <v>0</v>
      </c>
    </row>
    <row r="81" spans="1:7" ht="15">
      <c r="A81" s="89" t="s">
        <v>430</v>
      </c>
      <c r="B81" s="88">
        <v>3</v>
      </c>
      <c r="C81" s="119">
        <v>0</v>
      </c>
      <c r="D81" s="88" t="s">
        <v>387</v>
      </c>
      <c r="E81" s="88" t="b">
        <v>0</v>
      </c>
      <c r="F81" s="88" t="b">
        <v>0</v>
      </c>
      <c r="G81" s="88" t="b">
        <v>0</v>
      </c>
    </row>
    <row r="82" spans="1:7" ht="15">
      <c r="A82" s="89" t="s">
        <v>431</v>
      </c>
      <c r="B82" s="88">
        <v>3</v>
      </c>
      <c r="C82" s="119">
        <v>0</v>
      </c>
      <c r="D82" s="88" t="s">
        <v>387</v>
      </c>
      <c r="E82" s="88" t="b">
        <v>0</v>
      </c>
      <c r="F82" s="88" t="b">
        <v>0</v>
      </c>
      <c r="G82" s="88" t="b">
        <v>0</v>
      </c>
    </row>
    <row r="83" spans="1:7" ht="15">
      <c r="A83" s="89" t="s">
        <v>432</v>
      </c>
      <c r="B83" s="88">
        <v>3</v>
      </c>
      <c r="C83" s="119">
        <v>0</v>
      </c>
      <c r="D83" s="88" t="s">
        <v>387</v>
      </c>
      <c r="E83" s="88" t="b">
        <v>0</v>
      </c>
      <c r="F83" s="88" t="b">
        <v>0</v>
      </c>
      <c r="G83" s="88" t="b">
        <v>0</v>
      </c>
    </row>
    <row r="84" spans="1:7" ht="15">
      <c r="A84" s="89" t="s">
        <v>433</v>
      </c>
      <c r="B84" s="88">
        <v>3</v>
      </c>
      <c r="C84" s="119">
        <v>0</v>
      </c>
      <c r="D84" s="88" t="s">
        <v>387</v>
      </c>
      <c r="E84" s="88" t="b">
        <v>0</v>
      </c>
      <c r="F84" s="88" t="b">
        <v>0</v>
      </c>
      <c r="G84" s="88" t="b">
        <v>0</v>
      </c>
    </row>
    <row r="85" spans="1:7" ht="15">
      <c r="A85" s="89" t="s">
        <v>402</v>
      </c>
      <c r="B85" s="88">
        <v>3</v>
      </c>
      <c r="C85" s="119">
        <v>0</v>
      </c>
      <c r="D85" s="88" t="s">
        <v>387</v>
      </c>
      <c r="E85" s="88" t="b">
        <v>1</v>
      </c>
      <c r="F85" s="88" t="b">
        <v>0</v>
      </c>
      <c r="G85" s="88" t="b">
        <v>0</v>
      </c>
    </row>
    <row r="86" spans="1:7" ht="15">
      <c r="A86" s="89" t="s">
        <v>434</v>
      </c>
      <c r="B86" s="88">
        <v>3</v>
      </c>
      <c r="C86" s="119">
        <v>0</v>
      </c>
      <c r="D86" s="88" t="s">
        <v>387</v>
      </c>
      <c r="E86" s="88" t="b">
        <v>0</v>
      </c>
      <c r="F86" s="88" t="b">
        <v>0</v>
      </c>
      <c r="G86" s="88" t="b">
        <v>0</v>
      </c>
    </row>
    <row r="87" spans="1:7" ht="15">
      <c r="A87" s="89" t="s">
        <v>435</v>
      </c>
      <c r="B87" s="88">
        <v>3</v>
      </c>
      <c r="C87" s="119">
        <v>0</v>
      </c>
      <c r="D87" s="88" t="s">
        <v>387</v>
      </c>
      <c r="E87" s="88" t="b">
        <v>0</v>
      </c>
      <c r="F87" s="88" t="b">
        <v>0</v>
      </c>
      <c r="G87" s="88" t="b">
        <v>0</v>
      </c>
    </row>
    <row r="88" spans="1:7" ht="15">
      <c r="A88" s="89" t="s">
        <v>436</v>
      </c>
      <c r="B88" s="88">
        <v>3</v>
      </c>
      <c r="C88" s="119">
        <v>0</v>
      </c>
      <c r="D88" s="88" t="s">
        <v>387</v>
      </c>
      <c r="E88" s="88" t="b">
        <v>0</v>
      </c>
      <c r="F88" s="88" t="b">
        <v>0</v>
      </c>
      <c r="G88" s="88" t="b">
        <v>0</v>
      </c>
    </row>
    <row r="89" spans="1:7" ht="15">
      <c r="A89" s="89" t="s">
        <v>437</v>
      </c>
      <c r="B89" s="88">
        <v>3</v>
      </c>
      <c r="C89" s="119">
        <v>0</v>
      </c>
      <c r="D89" s="88" t="s">
        <v>387</v>
      </c>
      <c r="E89" s="88" t="b">
        <v>0</v>
      </c>
      <c r="F89" s="88" t="b">
        <v>0</v>
      </c>
      <c r="G89" s="88" t="b">
        <v>0</v>
      </c>
    </row>
    <row r="90" spans="1:7" ht="15">
      <c r="A90" s="89" t="s">
        <v>438</v>
      </c>
      <c r="B90" s="88">
        <v>3</v>
      </c>
      <c r="C90" s="119">
        <v>0</v>
      </c>
      <c r="D90" s="88" t="s">
        <v>387</v>
      </c>
      <c r="E90" s="88" t="b">
        <v>0</v>
      </c>
      <c r="F90" s="88" t="b">
        <v>0</v>
      </c>
      <c r="G90" s="88" t="b">
        <v>0</v>
      </c>
    </row>
    <row r="91" spans="1:7" ht="15">
      <c r="A91" s="89" t="s">
        <v>266</v>
      </c>
      <c r="B91" s="88">
        <v>3</v>
      </c>
      <c r="C91" s="119">
        <v>0</v>
      </c>
      <c r="D91" s="88" t="s">
        <v>387</v>
      </c>
      <c r="E91" s="88" t="b">
        <v>0</v>
      </c>
      <c r="F91" s="88" t="b">
        <v>0</v>
      </c>
      <c r="G91" s="88" t="b">
        <v>0</v>
      </c>
    </row>
    <row r="92" spans="1:7" ht="15">
      <c r="A92" s="89" t="s">
        <v>265</v>
      </c>
      <c r="B92" s="88">
        <v>3</v>
      </c>
      <c r="C92" s="119">
        <v>0</v>
      </c>
      <c r="D92" s="88" t="s">
        <v>387</v>
      </c>
      <c r="E92" s="88" t="b">
        <v>0</v>
      </c>
      <c r="F92" s="88" t="b">
        <v>0</v>
      </c>
      <c r="G92" s="88" t="b">
        <v>0</v>
      </c>
    </row>
    <row r="93" spans="1:7" ht="15">
      <c r="A93" s="89" t="s">
        <v>264</v>
      </c>
      <c r="B93" s="88">
        <v>3</v>
      </c>
      <c r="C93" s="119">
        <v>0</v>
      </c>
      <c r="D93" s="88" t="s">
        <v>387</v>
      </c>
      <c r="E93" s="88" t="b">
        <v>0</v>
      </c>
      <c r="F93" s="88" t="b">
        <v>0</v>
      </c>
      <c r="G93" s="88" t="b">
        <v>0</v>
      </c>
    </row>
    <row r="94" spans="1:7" ht="15">
      <c r="A94" s="89" t="s">
        <v>267</v>
      </c>
      <c r="B94" s="88">
        <v>3</v>
      </c>
      <c r="C94" s="119">
        <v>0</v>
      </c>
      <c r="D94" s="88" t="s">
        <v>387</v>
      </c>
      <c r="E94" s="88" t="b">
        <v>0</v>
      </c>
      <c r="F94" s="88" t="b">
        <v>0</v>
      </c>
      <c r="G94" s="88" t="b">
        <v>0</v>
      </c>
    </row>
    <row r="95" spans="1:7" ht="15">
      <c r="A95" s="89" t="s">
        <v>439</v>
      </c>
      <c r="B95" s="88">
        <v>3</v>
      </c>
      <c r="C95" s="119">
        <v>0</v>
      </c>
      <c r="D95" s="88" t="s">
        <v>387</v>
      </c>
      <c r="E95" s="88" t="b">
        <v>0</v>
      </c>
      <c r="F95" s="88" t="b">
        <v>0</v>
      </c>
      <c r="G95"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64C9EE-CC24-41CF-89C4-F0E96E5CE9BD}">
  <dimension ref="A1:L8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449</v>
      </c>
      <c r="B1" s="13" t="s">
        <v>450</v>
      </c>
      <c r="C1" s="13" t="s">
        <v>440</v>
      </c>
      <c r="D1" s="13" t="s">
        <v>444</v>
      </c>
      <c r="E1" s="13" t="s">
        <v>451</v>
      </c>
      <c r="F1" s="13" t="s">
        <v>144</v>
      </c>
      <c r="G1" s="13" t="s">
        <v>452</v>
      </c>
      <c r="H1" s="13" t="s">
        <v>453</v>
      </c>
      <c r="I1" s="13" t="s">
        <v>454</v>
      </c>
      <c r="J1" s="13" t="s">
        <v>455</v>
      </c>
      <c r="K1" s="13" t="s">
        <v>456</v>
      </c>
      <c r="L1" s="13" t="s">
        <v>457</v>
      </c>
    </row>
    <row r="2" spans="1:12" ht="15">
      <c r="A2" s="88" t="s">
        <v>403</v>
      </c>
      <c r="B2" s="88" t="s">
        <v>404</v>
      </c>
      <c r="C2" s="88">
        <v>3</v>
      </c>
      <c r="D2" s="119">
        <v>0.008634501329843537</v>
      </c>
      <c r="E2" s="119">
        <v>1.6690067809585756</v>
      </c>
      <c r="F2" s="88" t="s">
        <v>445</v>
      </c>
      <c r="G2" s="88" t="b">
        <v>1</v>
      </c>
      <c r="H2" s="88" t="b">
        <v>0</v>
      </c>
      <c r="I2" s="88" t="b">
        <v>0</v>
      </c>
      <c r="J2" s="88" t="b">
        <v>1</v>
      </c>
      <c r="K2" s="88" t="b">
        <v>0</v>
      </c>
      <c r="L2" s="88" t="b">
        <v>0</v>
      </c>
    </row>
    <row r="3" spans="1:12" ht="15">
      <c r="A3" s="89" t="s">
        <v>404</v>
      </c>
      <c r="B3" s="88" t="s">
        <v>402</v>
      </c>
      <c r="C3" s="88">
        <v>3</v>
      </c>
      <c r="D3" s="119">
        <v>0.008634501329843537</v>
      </c>
      <c r="E3" s="119">
        <v>1.3679767852945943</v>
      </c>
      <c r="F3" s="88" t="s">
        <v>445</v>
      </c>
      <c r="G3" s="88" t="b">
        <v>1</v>
      </c>
      <c r="H3" s="88" t="b">
        <v>0</v>
      </c>
      <c r="I3" s="88" t="b">
        <v>0</v>
      </c>
      <c r="J3" s="88" t="b">
        <v>1</v>
      </c>
      <c r="K3" s="88" t="b">
        <v>0</v>
      </c>
      <c r="L3" s="88" t="b">
        <v>0</v>
      </c>
    </row>
    <row r="4" spans="1:12" ht="15">
      <c r="A4" s="89" t="s">
        <v>402</v>
      </c>
      <c r="B4" s="88" t="s">
        <v>405</v>
      </c>
      <c r="C4" s="88">
        <v>3</v>
      </c>
      <c r="D4" s="119">
        <v>0.008634501329843537</v>
      </c>
      <c r="E4" s="119">
        <v>1.3679767852945943</v>
      </c>
      <c r="F4" s="88" t="s">
        <v>445</v>
      </c>
      <c r="G4" s="88" t="b">
        <v>1</v>
      </c>
      <c r="H4" s="88" t="b">
        <v>0</v>
      </c>
      <c r="I4" s="88" t="b">
        <v>0</v>
      </c>
      <c r="J4" s="88" t="b">
        <v>0</v>
      </c>
      <c r="K4" s="88" t="b">
        <v>0</v>
      </c>
      <c r="L4" s="88" t="b">
        <v>0</v>
      </c>
    </row>
    <row r="5" spans="1:12" ht="15">
      <c r="A5" s="89" t="s">
        <v>405</v>
      </c>
      <c r="B5" s="88" t="s">
        <v>406</v>
      </c>
      <c r="C5" s="88">
        <v>3</v>
      </c>
      <c r="D5" s="119">
        <v>0.008634501329843537</v>
      </c>
      <c r="E5" s="119">
        <v>1.6690067809585756</v>
      </c>
      <c r="F5" s="88" t="s">
        <v>445</v>
      </c>
      <c r="G5" s="88" t="b">
        <v>0</v>
      </c>
      <c r="H5" s="88" t="b">
        <v>0</v>
      </c>
      <c r="I5" s="88" t="b">
        <v>0</v>
      </c>
      <c r="J5" s="88" t="b">
        <v>0</v>
      </c>
      <c r="K5" s="88" t="b">
        <v>0</v>
      </c>
      <c r="L5" s="88" t="b">
        <v>0</v>
      </c>
    </row>
    <row r="6" spans="1:12" ht="15">
      <c r="A6" s="89" t="s">
        <v>406</v>
      </c>
      <c r="B6" s="88" t="s">
        <v>407</v>
      </c>
      <c r="C6" s="88">
        <v>3</v>
      </c>
      <c r="D6" s="119">
        <v>0.008634501329843537</v>
      </c>
      <c r="E6" s="119">
        <v>1.6690067809585756</v>
      </c>
      <c r="F6" s="88" t="s">
        <v>445</v>
      </c>
      <c r="G6" s="88" t="b">
        <v>0</v>
      </c>
      <c r="H6" s="88" t="b">
        <v>0</v>
      </c>
      <c r="I6" s="88" t="b">
        <v>0</v>
      </c>
      <c r="J6" s="88" t="b">
        <v>0</v>
      </c>
      <c r="K6" s="88" t="b">
        <v>0</v>
      </c>
      <c r="L6" s="88" t="b">
        <v>0</v>
      </c>
    </row>
    <row r="7" spans="1:12" ht="15">
      <c r="A7" s="89" t="s">
        <v>407</v>
      </c>
      <c r="B7" s="88" t="s">
        <v>408</v>
      </c>
      <c r="C7" s="88">
        <v>3</v>
      </c>
      <c r="D7" s="119">
        <v>0.008634501329843537</v>
      </c>
      <c r="E7" s="119">
        <v>1.6690067809585756</v>
      </c>
      <c r="F7" s="88" t="s">
        <v>445</v>
      </c>
      <c r="G7" s="88" t="b">
        <v>0</v>
      </c>
      <c r="H7" s="88" t="b">
        <v>0</v>
      </c>
      <c r="I7" s="88" t="b">
        <v>0</v>
      </c>
      <c r="J7" s="88" t="b">
        <v>0</v>
      </c>
      <c r="K7" s="88" t="b">
        <v>0</v>
      </c>
      <c r="L7" s="88" t="b">
        <v>0</v>
      </c>
    </row>
    <row r="8" spans="1:12" ht="15">
      <c r="A8" s="89" t="s">
        <v>408</v>
      </c>
      <c r="B8" s="88" t="s">
        <v>409</v>
      </c>
      <c r="C8" s="88">
        <v>3</v>
      </c>
      <c r="D8" s="119">
        <v>0.008634501329843537</v>
      </c>
      <c r="E8" s="119">
        <v>1.6690067809585756</v>
      </c>
      <c r="F8" s="88" t="s">
        <v>445</v>
      </c>
      <c r="G8" s="88" t="b">
        <v>0</v>
      </c>
      <c r="H8" s="88" t="b">
        <v>0</v>
      </c>
      <c r="I8" s="88" t="b">
        <v>0</v>
      </c>
      <c r="J8" s="88" t="b">
        <v>0</v>
      </c>
      <c r="K8" s="88" t="b">
        <v>0</v>
      </c>
      <c r="L8" s="88" t="b">
        <v>0</v>
      </c>
    </row>
    <row r="9" spans="1:12" ht="15">
      <c r="A9" s="89" t="s">
        <v>409</v>
      </c>
      <c r="B9" s="88" t="s">
        <v>410</v>
      </c>
      <c r="C9" s="88">
        <v>3</v>
      </c>
      <c r="D9" s="119">
        <v>0.008634501329843537</v>
      </c>
      <c r="E9" s="119">
        <v>1.6690067809585756</v>
      </c>
      <c r="F9" s="88" t="s">
        <v>445</v>
      </c>
      <c r="G9" s="88" t="b">
        <v>0</v>
      </c>
      <c r="H9" s="88" t="b">
        <v>0</v>
      </c>
      <c r="I9" s="88" t="b">
        <v>0</v>
      </c>
      <c r="J9" s="88" t="b">
        <v>0</v>
      </c>
      <c r="K9" s="88" t="b">
        <v>0</v>
      </c>
      <c r="L9" s="88" t="b">
        <v>0</v>
      </c>
    </row>
    <row r="10" spans="1:12" ht="15">
      <c r="A10" s="89" t="s">
        <v>410</v>
      </c>
      <c r="B10" s="88" t="s">
        <v>411</v>
      </c>
      <c r="C10" s="88">
        <v>3</v>
      </c>
      <c r="D10" s="119">
        <v>0.008634501329843537</v>
      </c>
      <c r="E10" s="119">
        <v>1.6690067809585756</v>
      </c>
      <c r="F10" s="88" t="s">
        <v>445</v>
      </c>
      <c r="G10" s="88" t="b">
        <v>0</v>
      </c>
      <c r="H10" s="88" t="b">
        <v>0</v>
      </c>
      <c r="I10" s="88" t="b">
        <v>0</v>
      </c>
      <c r="J10" s="88" t="b">
        <v>0</v>
      </c>
      <c r="K10" s="88" t="b">
        <v>0</v>
      </c>
      <c r="L10" s="88" t="b">
        <v>0</v>
      </c>
    </row>
    <row r="11" spans="1:12" ht="15">
      <c r="A11" s="89" t="s">
        <v>411</v>
      </c>
      <c r="B11" s="88" t="s">
        <v>412</v>
      </c>
      <c r="C11" s="88">
        <v>3</v>
      </c>
      <c r="D11" s="119">
        <v>0.008634501329843537</v>
      </c>
      <c r="E11" s="119">
        <v>1.6690067809585756</v>
      </c>
      <c r="F11" s="88" t="s">
        <v>445</v>
      </c>
      <c r="G11" s="88" t="b">
        <v>0</v>
      </c>
      <c r="H11" s="88" t="b">
        <v>0</v>
      </c>
      <c r="I11" s="88" t="b">
        <v>0</v>
      </c>
      <c r="J11" s="88" t="b">
        <v>0</v>
      </c>
      <c r="K11" s="88" t="b">
        <v>0</v>
      </c>
      <c r="L11" s="88" t="b">
        <v>0</v>
      </c>
    </row>
    <row r="12" spans="1:12" ht="15">
      <c r="A12" s="89" t="s">
        <v>412</v>
      </c>
      <c r="B12" s="88" t="s">
        <v>413</v>
      </c>
      <c r="C12" s="88">
        <v>3</v>
      </c>
      <c r="D12" s="119">
        <v>0.008634501329843537</v>
      </c>
      <c r="E12" s="119">
        <v>1.6690067809585756</v>
      </c>
      <c r="F12" s="88" t="s">
        <v>445</v>
      </c>
      <c r="G12" s="88" t="b">
        <v>0</v>
      </c>
      <c r="H12" s="88" t="b">
        <v>0</v>
      </c>
      <c r="I12" s="88" t="b">
        <v>0</v>
      </c>
      <c r="J12" s="88" t="b">
        <v>0</v>
      </c>
      <c r="K12" s="88" t="b">
        <v>0</v>
      </c>
      <c r="L12" s="88" t="b">
        <v>0</v>
      </c>
    </row>
    <row r="13" spans="1:12" ht="15">
      <c r="A13" s="89" t="s">
        <v>413</v>
      </c>
      <c r="B13" s="88" t="s">
        <v>414</v>
      </c>
      <c r="C13" s="88">
        <v>3</v>
      </c>
      <c r="D13" s="119">
        <v>0.008634501329843537</v>
      </c>
      <c r="E13" s="119">
        <v>1.6690067809585756</v>
      </c>
      <c r="F13" s="88" t="s">
        <v>445</v>
      </c>
      <c r="G13" s="88" t="b">
        <v>0</v>
      </c>
      <c r="H13" s="88" t="b">
        <v>0</v>
      </c>
      <c r="I13" s="88" t="b">
        <v>0</v>
      </c>
      <c r="J13" s="88" t="b">
        <v>0</v>
      </c>
      <c r="K13" s="88" t="b">
        <v>0</v>
      </c>
      <c r="L13" s="88" t="b">
        <v>0</v>
      </c>
    </row>
    <row r="14" spans="1:12" ht="15">
      <c r="A14" s="89" t="s">
        <v>414</v>
      </c>
      <c r="B14" s="88" t="s">
        <v>415</v>
      </c>
      <c r="C14" s="88">
        <v>3</v>
      </c>
      <c r="D14" s="119">
        <v>0.008634501329843537</v>
      </c>
      <c r="E14" s="119">
        <v>1.6690067809585756</v>
      </c>
      <c r="F14" s="88" t="s">
        <v>445</v>
      </c>
      <c r="G14" s="88" t="b">
        <v>0</v>
      </c>
      <c r="H14" s="88" t="b">
        <v>0</v>
      </c>
      <c r="I14" s="88" t="b">
        <v>0</v>
      </c>
      <c r="J14" s="88" t="b">
        <v>1</v>
      </c>
      <c r="K14" s="88" t="b">
        <v>0</v>
      </c>
      <c r="L14" s="88" t="b">
        <v>0</v>
      </c>
    </row>
    <row r="15" spans="1:12" ht="15">
      <c r="A15" s="89" t="s">
        <v>415</v>
      </c>
      <c r="B15" s="88" t="s">
        <v>416</v>
      </c>
      <c r="C15" s="88">
        <v>3</v>
      </c>
      <c r="D15" s="119">
        <v>0.008634501329843537</v>
      </c>
      <c r="E15" s="119">
        <v>1.6690067809585756</v>
      </c>
      <c r="F15" s="88" t="s">
        <v>445</v>
      </c>
      <c r="G15" s="88" t="b">
        <v>1</v>
      </c>
      <c r="H15" s="88" t="b">
        <v>0</v>
      </c>
      <c r="I15" s="88" t="b">
        <v>0</v>
      </c>
      <c r="J15" s="88" t="b">
        <v>0</v>
      </c>
      <c r="K15" s="88" t="b">
        <v>0</v>
      </c>
      <c r="L15" s="88" t="b">
        <v>0</v>
      </c>
    </row>
    <row r="16" spans="1:12" ht="15">
      <c r="A16" s="89" t="s">
        <v>416</v>
      </c>
      <c r="B16" s="88" t="s">
        <v>267</v>
      </c>
      <c r="C16" s="88">
        <v>3</v>
      </c>
      <c r="D16" s="119">
        <v>0.008634501329843537</v>
      </c>
      <c r="E16" s="119">
        <v>1.3010299956639813</v>
      </c>
      <c r="F16" s="88" t="s">
        <v>445</v>
      </c>
      <c r="G16" s="88" t="b">
        <v>0</v>
      </c>
      <c r="H16" s="88" t="b">
        <v>0</v>
      </c>
      <c r="I16" s="88" t="b">
        <v>0</v>
      </c>
      <c r="J16" s="88" t="b">
        <v>0</v>
      </c>
      <c r="K16" s="88" t="b">
        <v>0</v>
      </c>
      <c r="L16" s="88" t="b">
        <v>0</v>
      </c>
    </row>
    <row r="17" spans="1:12" ht="15">
      <c r="A17" s="89" t="s">
        <v>267</v>
      </c>
      <c r="B17" s="88" t="s">
        <v>417</v>
      </c>
      <c r="C17" s="88">
        <v>3</v>
      </c>
      <c r="D17" s="119">
        <v>0.008634501329843537</v>
      </c>
      <c r="E17" s="119">
        <v>1.2430380486862944</v>
      </c>
      <c r="F17" s="88" t="s">
        <v>445</v>
      </c>
      <c r="G17" s="88" t="b">
        <v>0</v>
      </c>
      <c r="H17" s="88" t="b">
        <v>0</v>
      </c>
      <c r="I17" s="88" t="b">
        <v>0</v>
      </c>
      <c r="J17" s="88" t="b">
        <v>0</v>
      </c>
      <c r="K17" s="88" t="b">
        <v>0</v>
      </c>
      <c r="L17" s="88" t="b">
        <v>0</v>
      </c>
    </row>
    <row r="18" spans="1:12" ht="15">
      <c r="A18" s="89" t="s">
        <v>417</v>
      </c>
      <c r="B18" s="88" t="s">
        <v>418</v>
      </c>
      <c r="C18" s="88">
        <v>3</v>
      </c>
      <c r="D18" s="119">
        <v>0.008634501329843537</v>
      </c>
      <c r="E18" s="119">
        <v>1.6690067809585756</v>
      </c>
      <c r="F18" s="88" t="s">
        <v>445</v>
      </c>
      <c r="G18" s="88" t="b">
        <v>0</v>
      </c>
      <c r="H18" s="88" t="b">
        <v>0</v>
      </c>
      <c r="I18" s="88" t="b">
        <v>0</v>
      </c>
      <c r="J18" s="88" t="b">
        <v>0</v>
      </c>
      <c r="K18" s="88" t="b">
        <v>0</v>
      </c>
      <c r="L18" s="88" t="b">
        <v>0</v>
      </c>
    </row>
    <row r="19" spans="1:12" ht="15">
      <c r="A19" s="89" t="s">
        <v>418</v>
      </c>
      <c r="B19" s="88" t="s">
        <v>419</v>
      </c>
      <c r="C19" s="88">
        <v>3</v>
      </c>
      <c r="D19" s="119">
        <v>0.008634501329843537</v>
      </c>
      <c r="E19" s="119">
        <v>1.6690067809585756</v>
      </c>
      <c r="F19" s="88" t="s">
        <v>445</v>
      </c>
      <c r="G19" s="88" t="b">
        <v>0</v>
      </c>
      <c r="H19" s="88" t="b">
        <v>0</v>
      </c>
      <c r="I19" s="88" t="b">
        <v>0</v>
      </c>
      <c r="J19" s="88" t="b">
        <v>0</v>
      </c>
      <c r="K19" s="88" t="b">
        <v>0</v>
      </c>
      <c r="L19" s="88" t="b">
        <v>0</v>
      </c>
    </row>
    <row r="20" spans="1:12" ht="15">
      <c r="A20" s="89" t="s">
        <v>419</v>
      </c>
      <c r="B20" s="88" t="s">
        <v>420</v>
      </c>
      <c r="C20" s="88">
        <v>3</v>
      </c>
      <c r="D20" s="119">
        <v>0.008634501329843537</v>
      </c>
      <c r="E20" s="119">
        <v>1.6690067809585756</v>
      </c>
      <c r="F20" s="88" t="s">
        <v>445</v>
      </c>
      <c r="G20" s="88" t="b">
        <v>0</v>
      </c>
      <c r="H20" s="88" t="b">
        <v>0</v>
      </c>
      <c r="I20" s="88" t="b">
        <v>0</v>
      </c>
      <c r="J20" s="88" t="b">
        <v>0</v>
      </c>
      <c r="K20" s="88" t="b">
        <v>0</v>
      </c>
      <c r="L20" s="88" t="b">
        <v>0</v>
      </c>
    </row>
    <row r="21" spans="1:12" ht="15">
      <c r="A21" s="89" t="s">
        <v>420</v>
      </c>
      <c r="B21" s="88" t="s">
        <v>421</v>
      </c>
      <c r="C21" s="88">
        <v>3</v>
      </c>
      <c r="D21" s="119">
        <v>0.008634501329843537</v>
      </c>
      <c r="E21" s="119">
        <v>1.6690067809585756</v>
      </c>
      <c r="F21" s="88" t="s">
        <v>445</v>
      </c>
      <c r="G21" s="88" t="b">
        <v>0</v>
      </c>
      <c r="H21" s="88" t="b">
        <v>0</v>
      </c>
      <c r="I21" s="88" t="b">
        <v>0</v>
      </c>
      <c r="J21" s="88" t="b">
        <v>0</v>
      </c>
      <c r="K21" s="88" t="b">
        <v>0</v>
      </c>
      <c r="L21" s="88" t="b">
        <v>0</v>
      </c>
    </row>
    <row r="22" spans="1:12" ht="15">
      <c r="A22" s="89" t="s">
        <v>421</v>
      </c>
      <c r="B22" s="88" t="s">
        <v>422</v>
      </c>
      <c r="C22" s="88">
        <v>3</v>
      </c>
      <c r="D22" s="119">
        <v>0.008634501329843537</v>
      </c>
      <c r="E22" s="119">
        <v>1.6690067809585756</v>
      </c>
      <c r="F22" s="88" t="s">
        <v>445</v>
      </c>
      <c r="G22" s="88" t="b">
        <v>0</v>
      </c>
      <c r="H22" s="88" t="b">
        <v>0</v>
      </c>
      <c r="I22" s="88" t="b">
        <v>0</v>
      </c>
      <c r="J22" s="88" t="b">
        <v>0</v>
      </c>
      <c r="K22" s="88" t="b">
        <v>0</v>
      </c>
      <c r="L22" s="88" t="b">
        <v>0</v>
      </c>
    </row>
    <row r="23" spans="1:12" ht="15">
      <c r="A23" s="89" t="s">
        <v>423</v>
      </c>
      <c r="B23" s="88" t="s">
        <v>424</v>
      </c>
      <c r="C23" s="88">
        <v>3</v>
      </c>
      <c r="D23" s="119">
        <v>0.008634501329843537</v>
      </c>
      <c r="E23" s="119">
        <v>1.6690067809585756</v>
      </c>
      <c r="F23" s="88" t="s">
        <v>445</v>
      </c>
      <c r="G23" s="88" t="b">
        <v>0</v>
      </c>
      <c r="H23" s="88" t="b">
        <v>0</v>
      </c>
      <c r="I23" s="88" t="b">
        <v>0</v>
      </c>
      <c r="J23" s="88" t="b">
        <v>1</v>
      </c>
      <c r="K23" s="88" t="b">
        <v>0</v>
      </c>
      <c r="L23" s="88" t="b">
        <v>0</v>
      </c>
    </row>
    <row r="24" spans="1:12" ht="15">
      <c r="A24" s="89" t="s">
        <v>424</v>
      </c>
      <c r="B24" s="88" t="s">
        <v>425</v>
      </c>
      <c r="C24" s="88">
        <v>3</v>
      </c>
      <c r="D24" s="119">
        <v>0.008634501329843537</v>
      </c>
      <c r="E24" s="119">
        <v>1.6690067809585756</v>
      </c>
      <c r="F24" s="88" t="s">
        <v>445</v>
      </c>
      <c r="G24" s="88" t="b">
        <v>1</v>
      </c>
      <c r="H24" s="88" t="b">
        <v>0</v>
      </c>
      <c r="I24" s="88" t="b">
        <v>0</v>
      </c>
      <c r="J24" s="88" t="b">
        <v>0</v>
      </c>
      <c r="K24" s="88" t="b">
        <v>0</v>
      </c>
      <c r="L24" s="88" t="b">
        <v>0</v>
      </c>
    </row>
    <row r="25" spans="1:12" ht="15">
      <c r="A25" s="89" t="s">
        <v>425</v>
      </c>
      <c r="B25" s="88" t="s">
        <v>426</v>
      </c>
      <c r="C25" s="88">
        <v>3</v>
      </c>
      <c r="D25" s="119">
        <v>0.008634501329843537</v>
      </c>
      <c r="E25" s="119">
        <v>1.6690067809585756</v>
      </c>
      <c r="F25" s="88" t="s">
        <v>445</v>
      </c>
      <c r="G25" s="88" t="b">
        <v>0</v>
      </c>
      <c r="H25" s="88" t="b">
        <v>0</v>
      </c>
      <c r="I25" s="88" t="b">
        <v>0</v>
      </c>
      <c r="J25" s="88" t="b">
        <v>0</v>
      </c>
      <c r="K25" s="88" t="b">
        <v>0</v>
      </c>
      <c r="L25" s="88" t="b">
        <v>0</v>
      </c>
    </row>
    <row r="26" spans="1:12" ht="15">
      <c r="A26" s="89" t="s">
        <v>426</v>
      </c>
      <c r="B26" s="88" t="s">
        <v>427</v>
      </c>
      <c r="C26" s="88">
        <v>3</v>
      </c>
      <c r="D26" s="119">
        <v>0.008634501329843537</v>
      </c>
      <c r="E26" s="119">
        <v>1.6690067809585756</v>
      </c>
      <c r="F26" s="88" t="s">
        <v>445</v>
      </c>
      <c r="G26" s="88" t="b">
        <v>0</v>
      </c>
      <c r="H26" s="88" t="b">
        <v>0</v>
      </c>
      <c r="I26" s="88" t="b">
        <v>0</v>
      </c>
      <c r="J26" s="88" t="b">
        <v>0</v>
      </c>
      <c r="K26" s="88" t="b">
        <v>0</v>
      </c>
      <c r="L26" s="88" t="b">
        <v>0</v>
      </c>
    </row>
    <row r="27" spans="1:12" ht="15">
      <c r="A27" s="89" t="s">
        <v>427</v>
      </c>
      <c r="B27" s="88" t="s">
        <v>428</v>
      </c>
      <c r="C27" s="88">
        <v>3</v>
      </c>
      <c r="D27" s="119">
        <v>0.008634501329843537</v>
      </c>
      <c r="E27" s="119">
        <v>1.6690067809585756</v>
      </c>
      <c r="F27" s="88" t="s">
        <v>445</v>
      </c>
      <c r="G27" s="88" t="b">
        <v>0</v>
      </c>
      <c r="H27" s="88" t="b">
        <v>0</v>
      </c>
      <c r="I27" s="88" t="b">
        <v>0</v>
      </c>
      <c r="J27" s="88" t="b">
        <v>0</v>
      </c>
      <c r="K27" s="88" t="b">
        <v>0</v>
      </c>
      <c r="L27" s="88" t="b">
        <v>0</v>
      </c>
    </row>
    <row r="28" spans="1:12" ht="15">
      <c r="A28" s="89" t="s">
        <v>428</v>
      </c>
      <c r="B28" s="88" t="s">
        <v>429</v>
      </c>
      <c r="C28" s="88">
        <v>3</v>
      </c>
      <c r="D28" s="119">
        <v>0.008634501329843537</v>
      </c>
      <c r="E28" s="119">
        <v>1.6690067809585756</v>
      </c>
      <c r="F28" s="88" t="s">
        <v>445</v>
      </c>
      <c r="G28" s="88" t="b">
        <v>0</v>
      </c>
      <c r="H28" s="88" t="b">
        <v>0</v>
      </c>
      <c r="I28" s="88" t="b">
        <v>0</v>
      </c>
      <c r="J28" s="88" t="b">
        <v>0</v>
      </c>
      <c r="K28" s="88" t="b">
        <v>0</v>
      </c>
      <c r="L28" s="88" t="b">
        <v>0</v>
      </c>
    </row>
    <row r="29" spans="1:12" ht="15">
      <c r="A29" s="89" t="s">
        <v>429</v>
      </c>
      <c r="B29" s="88" t="s">
        <v>430</v>
      </c>
      <c r="C29" s="88">
        <v>3</v>
      </c>
      <c r="D29" s="119">
        <v>0.008634501329843537</v>
      </c>
      <c r="E29" s="119">
        <v>1.6690067809585756</v>
      </c>
      <c r="F29" s="88" t="s">
        <v>445</v>
      </c>
      <c r="G29" s="88" t="b">
        <v>0</v>
      </c>
      <c r="H29" s="88" t="b">
        <v>0</v>
      </c>
      <c r="I29" s="88" t="b">
        <v>0</v>
      </c>
      <c r="J29" s="88" t="b">
        <v>0</v>
      </c>
      <c r="K29" s="88" t="b">
        <v>0</v>
      </c>
      <c r="L29" s="88" t="b">
        <v>0</v>
      </c>
    </row>
    <row r="30" spans="1:12" ht="15">
      <c r="A30" s="89" t="s">
        <v>430</v>
      </c>
      <c r="B30" s="88" t="s">
        <v>431</v>
      </c>
      <c r="C30" s="88">
        <v>3</v>
      </c>
      <c r="D30" s="119">
        <v>0.008634501329843537</v>
      </c>
      <c r="E30" s="119">
        <v>1.6690067809585756</v>
      </c>
      <c r="F30" s="88" t="s">
        <v>445</v>
      </c>
      <c r="G30" s="88" t="b">
        <v>0</v>
      </c>
      <c r="H30" s="88" t="b">
        <v>0</v>
      </c>
      <c r="I30" s="88" t="b">
        <v>0</v>
      </c>
      <c r="J30" s="88" t="b">
        <v>0</v>
      </c>
      <c r="K30" s="88" t="b">
        <v>0</v>
      </c>
      <c r="L30" s="88" t="b">
        <v>0</v>
      </c>
    </row>
    <row r="31" spans="1:12" ht="15">
      <c r="A31" s="89" t="s">
        <v>431</v>
      </c>
      <c r="B31" s="88" t="s">
        <v>432</v>
      </c>
      <c r="C31" s="88">
        <v>3</v>
      </c>
      <c r="D31" s="119">
        <v>0.008634501329843537</v>
      </c>
      <c r="E31" s="119">
        <v>1.6690067809585756</v>
      </c>
      <c r="F31" s="88" t="s">
        <v>445</v>
      </c>
      <c r="G31" s="88" t="b">
        <v>0</v>
      </c>
      <c r="H31" s="88" t="b">
        <v>0</v>
      </c>
      <c r="I31" s="88" t="b">
        <v>0</v>
      </c>
      <c r="J31" s="88" t="b">
        <v>0</v>
      </c>
      <c r="K31" s="88" t="b">
        <v>0</v>
      </c>
      <c r="L31" s="88" t="b">
        <v>0</v>
      </c>
    </row>
    <row r="32" spans="1:12" ht="15">
      <c r="A32" s="89" t="s">
        <v>432</v>
      </c>
      <c r="B32" s="88" t="s">
        <v>433</v>
      </c>
      <c r="C32" s="88">
        <v>3</v>
      </c>
      <c r="D32" s="119">
        <v>0.008634501329843537</v>
      </c>
      <c r="E32" s="119">
        <v>1.6690067809585756</v>
      </c>
      <c r="F32" s="88" t="s">
        <v>445</v>
      </c>
      <c r="G32" s="88" t="b">
        <v>0</v>
      </c>
      <c r="H32" s="88" t="b">
        <v>0</v>
      </c>
      <c r="I32" s="88" t="b">
        <v>0</v>
      </c>
      <c r="J32" s="88" t="b">
        <v>0</v>
      </c>
      <c r="K32" s="88" t="b">
        <v>0</v>
      </c>
      <c r="L32" s="88" t="b">
        <v>0</v>
      </c>
    </row>
    <row r="33" spans="1:12" ht="15">
      <c r="A33" s="89" t="s">
        <v>433</v>
      </c>
      <c r="B33" s="88" t="s">
        <v>402</v>
      </c>
      <c r="C33" s="88">
        <v>3</v>
      </c>
      <c r="D33" s="119">
        <v>0.008634501329843537</v>
      </c>
      <c r="E33" s="119">
        <v>1.3679767852945943</v>
      </c>
      <c r="F33" s="88" t="s">
        <v>445</v>
      </c>
      <c r="G33" s="88" t="b">
        <v>0</v>
      </c>
      <c r="H33" s="88" t="b">
        <v>0</v>
      </c>
      <c r="I33" s="88" t="b">
        <v>0</v>
      </c>
      <c r="J33" s="88" t="b">
        <v>1</v>
      </c>
      <c r="K33" s="88" t="b">
        <v>0</v>
      </c>
      <c r="L33" s="88" t="b">
        <v>0</v>
      </c>
    </row>
    <row r="34" spans="1:12" ht="15">
      <c r="A34" s="89" t="s">
        <v>402</v>
      </c>
      <c r="B34" s="88" t="s">
        <v>434</v>
      </c>
      <c r="C34" s="88">
        <v>3</v>
      </c>
      <c r="D34" s="119">
        <v>0.008634501329843537</v>
      </c>
      <c r="E34" s="119">
        <v>1.3679767852945943</v>
      </c>
      <c r="F34" s="88" t="s">
        <v>445</v>
      </c>
      <c r="G34" s="88" t="b">
        <v>1</v>
      </c>
      <c r="H34" s="88" t="b">
        <v>0</v>
      </c>
      <c r="I34" s="88" t="b">
        <v>0</v>
      </c>
      <c r="J34" s="88" t="b">
        <v>0</v>
      </c>
      <c r="K34" s="88" t="b">
        <v>0</v>
      </c>
      <c r="L34" s="88" t="b">
        <v>0</v>
      </c>
    </row>
    <row r="35" spans="1:12" ht="15">
      <c r="A35" s="89" t="s">
        <v>434</v>
      </c>
      <c r="B35" s="88" t="s">
        <v>435</v>
      </c>
      <c r="C35" s="88">
        <v>3</v>
      </c>
      <c r="D35" s="119">
        <v>0.008634501329843537</v>
      </c>
      <c r="E35" s="119">
        <v>1.6690067809585756</v>
      </c>
      <c r="F35" s="88" t="s">
        <v>445</v>
      </c>
      <c r="G35" s="88" t="b">
        <v>0</v>
      </c>
      <c r="H35" s="88" t="b">
        <v>0</v>
      </c>
      <c r="I35" s="88" t="b">
        <v>0</v>
      </c>
      <c r="J35" s="88" t="b">
        <v>0</v>
      </c>
      <c r="K35" s="88" t="b">
        <v>0</v>
      </c>
      <c r="L35" s="88" t="b">
        <v>0</v>
      </c>
    </row>
    <row r="36" spans="1:12" ht="15">
      <c r="A36" s="89" t="s">
        <v>435</v>
      </c>
      <c r="B36" s="88" t="s">
        <v>436</v>
      </c>
      <c r="C36" s="88">
        <v>3</v>
      </c>
      <c r="D36" s="119">
        <v>0.008634501329843537</v>
      </c>
      <c r="E36" s="119">
        <v>1.6690067809585756</v>
      </c>
      <c r="F36" s="88" t="s">
        <v>445</v>
      </c>
      <c r="G36" s="88" t="b">
        <v>0</v>
      </c>
      <c r="H36" s="88" t="b">
        <v>0</v>
      </c>
      <c r="I36" s="88" t="b">
        <v>0</v>
      </c>
      <c r="J36" s="88" t="b">
        <v>0</v>
      </c>
      <c r="K36" s="88" t="b">
        <v>0</v>
      </c>
      <c r="L36" s="88" t="b">
        <v>0</v>
      </c>
    </row>
    <row r="37" spans="1:12" ht="15">
      <c r="A37" s="89" t="s">
        <v>436</v>
      </c>
      <c r="B37" s="88" t="s">
        <v>437</v>
      </c>
      <c r="C37" s="88">
        <v>3</v>
      </c>
      <c r="D37" s="119">
        <v>0.008634501329843537</v>
      </c>
      <c r="E37" s="119">
        <v>1.6690067809585756</v>
      </c>
      <c r="F37" s="88" t="s">
        <v>445</v>
      </c>
      <c r="G37" s="88" t="b">
        <v>0</v>
      </c>
      <c r="H37" s="88" t="b">
        <v>0</v>
      </c>
      <c r="I37" s="88" t="b">
        <v>0</v>
      </c>
      <c r="J37" s="88" t="b">
        <v>0</v>
      </c>
      <c r="K37" s="88" t="b">
        <v>0</v>
      </c>
      <c r="L37" s="88" t="b">
        <v>0</v>
      </c>
    </row>
    <row r="38" spans="1:12" ht="15">
      <c r="A38" s="89" t="s">
        <v>437</v>
      </c>
      <c r="B38" s="88" t="s">
        <v>438</v>
      </c>
      <c r="C38" s="88">
        <v>3</v>
      </c>
      <c r="D38" s="119">
        <v>0.008634501329843537</v>
      </c>
      <c r="E38" s="119">
        <v>1.6690067809585756</v>
      </c>
      <c r="F38" s="88" t="s">
        <v>445</v>
      </c>
      <c r="G38" s="88" t="b">
        <v>0</v>
      </c>
      <c r="H38" s="88" t="b">
        <v>0</v>
      </c>
      <c r="I38" s="88" t="b">
        <v>0</v>
      </c>
      <c r="J38" s="88" t="b">
        <v>0</v>
      </c>
      <c r="K38" s="88" t="b">
        <v>0</v>
      </c>
      <c r="L38" s="88" t="b">
        <v>0</v>
      </c>
    </row>
    <row r="39" spans="1:12" ht="15">
      <c r="A39" s="89" t="s">
        <v>438</v>
      </c>
      <c r="B39" s="88" t="s">
        <v>266</v>
      </c>
      <c r="C39" s="88">
        <v>3</v>
      </c>
      <c r="D39" s="119">
        <v>0.008634501329843537</v>
      </c>
      <c r="E39" s="119">
        <v>1.6690067809585756</v>
      </c>
      <c r="F39" s="88" t="s">
        <v>445</v>
      </c>
      <c r="G39" s="88" t="b">
        <v>0</v>
      </c>
      <c r="H39" s="88" t="b">
        <v>0</v>
      </c>
      <c r="I39" s="88" t="b">
        <v>0</v>
      </c>
      <c r="J39" s="88" t="b">
        <v>0</v>
      </c>
      <c r="K39" s="88" t="b">
        <v>0</v>
      </c>
      <c r="L39" s="88" t="b">
        <v>0</v>
      </c>
    </row>
    <row r="40" spans="1:12" ht="15">
      <c r="A40" s="89" t="s">
        <v>266</v>
      </c>
      <c r="B40" s="88" t="s">
        <v>265</v>
      </c>
      <c r="C40" s="88">
        <v>3</v>
      </c>
      <c r="D40" s="119">
        <v>0.008634501329843537</v>
      </c>
      <c r="E40" s="119">
        <v>1.6690067809585756</v>
      </c>
      <c r="F40" s="88" t="s">
        <v>445</v>
      </c>
      <c r="G40" s="88" t="b">
        <v>0</v>
      </c>
      <c r="H40" s="88" t="b">
        <v>0</v>
      </c>
      <c r="I40" s="88" t="b">
        <v>0</v>
      </c>
      <c r="J40" s="88" t="b">
        <v>0</v>
      </c>
      <c r="K40" s="88" t="b">
        <v>0</v>
      </c>
      <c r="L40" s="88" t="b">
        <v>0</v>
      </c>
    </row>
    <row r="41" spans="1:12" ht="15">
      <c r="A41" s="89" t="s">
        <v>265</v>
      </c>
      <c r="B41" s="88" t="s">
        <v>264</v>
      </c>
      <c r="C41" s="88">
        <v>3</v>
      </c>
      <c r="D41" s="119">
        <v>0.008634501329843537</v>
      </c>
      <c r="E41" s="119">
        <v>1.6690067809585756</v>
      </c>
      <c r="F41" s="88" t="s">
        <v>445</v>
      </c>
      <c r="G41" s="88" t="b">
        <v>0</v>
      </c>
      <c r="H41" s="88" t="b">
        <v>0</v>
      </c>
      <c r="I41" s="88" t="b">
        <v>0</v>
      </c>
      <c r="J41" s="88" t="b">
        <v>0</v>
      </c>
      <c r="K41" s="88" t="b">
        <v>0</v>
      </c>
      <c r="L41" s="88" t="b">
        <v>0</v>
      </c>
    </row>
    <row r="42" spans="1:12" ht="15">
      <c r="A42" s="89" t="s">
        <v>264</v>
      </c>
      <c r="B42" s="88" t="s">
        <v>267</v>
      </c>
      <c r="C42" s="88">
        <v>3</v>
      </c>
      <c r="D42" s="119">
        <v>0.008634501329843537</v>
      </c>
      <c r="E42" s="119">
        <v>1.3010299956639813</v>
      </c>
      <c r="F42" s="88" t="s">
        <v>445</v>
      </c>
      <c r="G42" s="88" t="b">
        <v>0</v>
      </c>
      <c r="H42" s="88" t="b">
        <v>0</v>
      </c>
      <c r="I42" s="88" t="b">
        <v>0</v>
      </c>
      <c r="J42" s="88" t="b">
        <v>0</v>
      </c>
      <c r="K42" s="88" t="b">
        <v>0</v>
      </c>
      <c r="L42" s="88" t="b">
        <v>0</v>
      </c>
    </row>
    <row r="43" spans="1:12" ht="15">
      <c r="A43" s="89" t="s">
        <v>267</v>
      </c>
      <c r="B43" s="88" t="s">
        <v>439</v>
      </c>
      <c r="C43" s="88">
        <v>3</v>
      </c>
      <c r="D43" s="119">
        <v>0.008634501329843537</v>
      </c>
      <c r="E43" s="119">
        <v>1.2430380486862944</v>
      </c>
      <c r="F43" s="88" t="s">
        <v>445</v>
      </c>
      <c r="G43" s="88" t="b">
        <v>0</v>
      </c>
      <c r="H43" s="88" t="b">
        <v>0</v>
      </c>
      <c r="I43" s="88" t="b">
        <v>0</v>
      </c>
      <c r="J43" s="88" t="b">
        <v>0</v>
      </c>
      <c r="K43" s="88" t="b">
        <v>0</v>
      </c>
      <c r="L43" s="88" t="b">
        <v>0</v>
      </c>
    </row>
    <row r="44" spans="1:12" ht="15">
      <c r="A44" s="89" t="s">
        <v>403</v>
      </c>
      <c r="B44" s="88" t="s">
        <v>404</v>
      </c>
      <c r="C44" s="88">
        <v>3</v>
      </c>
      <c r="D44" s="119">
        <v>0.008116417668891087</v>
      </c>
      <c r="E44" s="119">
        <v>1.4093694704528195</v>
      </c>
      <c r="F44" s="88" t="s">
        <v>386</v>
      </c>
      <c r="G44" s="88" t="b">
        <v>1</v>
      </c>
      <c r="H44" s="88" t="b">
        <v>0</v>
      </c>
      <c r="I44" s="88" t="b">
        <v>0</v>
      </c>
      <c r="J44" s="88" t="b">
        <v>1</v>
      </c>
      <c r="K44" s="88" t="b">
        <v>0</v>
      </c>
      <c r="L44" s="88" t="b">
        <v>0</v>
      </c>
    </row>
    <row r="45" spans="1:12" ht="15">
      <c r="A45" s="89" t="s">
        <v>404</v>
      </c>
      <c r="B45" s="88" t="s">
        <v>402</v>
      </c>
      <c r="C45" s="88">
        <v>3</v>
      </c>
      <c r="D45" s="119">
        <v>0.008116417668891087</v>
      </c>
      <c r="E45" s="119">
        <v>1.4093694704528195</v>
      </c>
      <c r="F45" s="88" t="s">
        <v>386</v>
      </c>
      <c r="G45" s="88" t="b">
        <v>1</v>
      </c>
      <c r="H45" s="88" t="b">
        <v>0</v>
      </c>
      <c r="I45" s="88" t="b">
        <v>0</v>
      </c>
      <c r="J45" s="88" t="b">
        <v>1</v>
      </c>
      <c r="K45" s="88" t="b">
        <v>0</v>
      </c>
      <c r="L45" s="88" t="b">
        <v>0</v>
      </c>
    </row>
    <row r="46" spans="1:12" ht="15">
      <c r="A46" s="89" t="s">
        <v>402</v>
      </c>
      <c r="B46" s="88" t="s">
        <v>405</v>
      </c>
      <c r="C46" s="88">
        <v>3</v>
      </c>
      <c r="D46" s="119">
        <v>0.008116417668891087</v>
      </c>
      <c r="E46" s="119">
        <v>1.4093694704528195</v>
      </c>
      <c r="F46" s="88" t="s">
        <v>386</v>
      </c>
      <c r="G46" s="88" t="b">
        <v>1</v>
      </c>
      <c r="H46" s="88" t="b">
        <v>0</v>
      </c>
      <c r="I46" s="88" t="b">
        <v>0</v>
      </c>
      <c r="J46" s="88" t="b">
        <v>0</v>
      </c>
      <c r="K46" s="88" t="b">
        <v>0</v>
      </c>
      <c r="L46" s="88" t="b">
        <v>0</v>
      </c>
    </row>
    <row r="47" spans="1:12" ht="15">
      <c r="A47" s="89" t="s">
        <v>405</v>
      </c>
      <c r="B47" s="88" t="s">
        <v>406</v>
      </c>
      <c r="C47" s="88">
        <v>3</v>
      </c>
      <c r="D47" s="119">
        <v>0.008116417668891087</v>
      </c>
      <c r="E47" s="119">
        <v>1.4093694704528195</v>
      </c>
      <c r="F47" s="88" t="s">
        <v>386</v>
      </c>
      <c r="G47" s="88" t="b">
        <v>0</v>
      </c>
      <c r="H47" s="88" t="b">
        <v>0</v>
      </c>
      <c r="I47" s="88" t="b">
        <v>0</v>
      </c>
      <c r="J47" s="88" t="b">
        <v>0</v>
      </c>
      <c r="K47" s="88" t="b">
        <v>0</v>
      </c>
      <c r="L47" s="88" t="b">
        <v>0</v>
      </c>
    </row>
    <row r="48" spans="1:12" ht="15">
      <c r="A48" s="89" t="s">
        <v>406</v>
      </c>
      <c r="B48" s="88" t="s">
        <v>407</v>
      </c>
      <c r="C48" s="88">
        <v>3</v>
      </c>
      <c r="D48" s="119">
        <v>0.008116417668891087</v>
      </c>
      <c r="E48" s="119">
        <v>1.4093694704528195</v>
      </c>
      <c r="F48" s="88" t="s">
        <v>386</v>
      </c>
      <c r="G48" s="88" t="b">
        <v>0</v>
      </c>
      <c r="H48" s="88" t="b">
        <v>0</v>
      </c>
      <c r="I48" s="88" t="b">
        <v>0</v>
      </c>
      <c r="J48" s="88" t="b">
        <v>0</v>
      </c>
      <c r="K48" s="88" t="b">
        <v>0</v>
      </c>
      <c r="L48" s="88" t="b">
        <v>0</v>
      </c>
    </row>
    <row r="49" spans="1:12" ht="15">
      <c r="A49" s="89" t="s">
        <v>407</v>
      </c>
      <c r="B49" s="88" t="s">
        <v>408</v>
      </c>
      <c r="C49" s="88">
        <v>3</v>
      </c>
      <c r="D49" s="119">
        <v>0.008116417668891087</v>
      </c>
      <c r="E49" s="119">
        <v>1.4093694704528195</v>
      </c>
      <c r="F49" s="88" t="s">
        <v>386</v>
      </c>
      <c r="G49" s="88" t="b">
        <v>0</v>
      </c>
      <c r="H49" s="88" t="b">
        <v>0</v>
      </c>
      <c r="I49" s="88" t="b">
        <v>0</v>
      </c>
      <c r="J49" s="88" t="b">
        <v>0</v>
      </c>
      <c r="K49" s="88" t="b">
        <v>0</v>
      </c>
      <c r="L49" s="88" t="b">
        <v>0</v>
      </c>
    </row>
    <row r="50" spans="1:12" ht="15">
      <c r="A50" s="89" t="s">
        <v>408</v>
      </c>
      <c r="B50" s="88" t="s">
        <v>409</v>
      </c>
      <c r="C50" s="88">
        <v>3</v>
      </c>
      <c r="D50" s="119">
        <v>0.008116417668891087</v>
      </c>
      <c r="E50" s="119">
        <v>1.4093694704528195</v>
      </c>
      <c r="F50" s="88" t="s">
        <v>386</v>
      </c>
      <c r="G50" s="88" t="b">
        <v>0</v>
      </c>
      <c r="H50" s="88" t="b">
        <v>0</v>
      </c>
      <c r="I50" s="88" t="b">
        <v>0</v>
      </c>
      <c r="J50" s="88" t="b">
        <v>0</v>
      </c>
      <c r="K50" s="88" t="b">
        <v>0</v>
      </c>
      <c r="L50" s="88" t="b">
        <v>0</v>
      </c>
    </row>
    <row r="51" spans="1:12" ht="15">
      <c r="A51" s="89" t="s">
        <v>409</v>
      </c>
      <c r="B51" s="88" t="s">
        <v>410</v>
      </c>
      <c r="C51" s="88">
        <v>3</v>
      </c>
      <c r="D51" s="119">
        <v>0.008116417668891087</v>
      </c>
      <c r="E51" s="119">
        <v>1.4093694704528195</v>
      </c>
      <c r="F51" s="88" t="s">
        <v>386</v>
      </c>
      <c r="G51" s="88" t="b">
        <v>0</v>
      </c>
      <c r="H51" s="88" t="b">
        <v>0</v>
      </c>
      <c r="I51" s="88" t="b">
        <v>0</v>
      </c>
      <c r="J51" s="88" t="b">
        <v>0</v>
      </c>
      <c r="K51" s="88" t="b">
        <v>0</v>
      </c>
      <c r="L51" s="88" t="b">
        <v>0</v>
      </c>
    </row>
    <row r="52" spans="1:12" ht="15">
      <c r="A52" s="89" t="s">
        <v>410</v>
      </c>
      <c r="B52" s="88" t="s">
        <v>411</v>
      </c>
      <c r="C52" s="88">
        <v>3</v>
      </c>
      <c r="D52" s="119">
        <v>0.008116417668891087</v>
      </c>
      <c r="E52" s="119">
        <v>1.4093694704528195</v>
      </c>
      <c r="F52" s="88" t="s">
        <v>386</v>
      </c>
      <c r="G52" s="88" t="b">
        <v>0</v>
      </c>
      <c r="H52" s="88" t="b">
        <v>0</v>
      </c>
      <c r="I52" s="88" t="b">
        <v>0</v>
      </c>
      <c r="J52" s="88" t="b">
        <v>0</v>
      </c>
      <c r="K52" s="88" t="b">
        <v>0</v>
      </c>
      <c r="L52" s="88" t="b">
        <v>0</v>
      </c>
    </row>
    <row r="53" spans="1:12" ht="15">
      <c r="A53" s="89" t="s">
        <v>411</v>
      </c>
      <c r="B53" s="88" t="s">
        <v>412</v>
      </c>
      <c r="C53" s="88">
        <v>3</v>
      </c>
      <c r="D53" s="119">
        <v>0.008116417668891087</v>
      </c>
      <c r="E53" s="119">
        <v>1.4093694704528195</v>
      </c>
      <c r="F53" s="88" t="s">
        <v>386</v>
      </c>
      <c r="G53" s="88" t="b">
        <v>0</v>
      </c>
      <c r="H53" s="88" t="b">
        <v>0</v>
      </c>
      <c r="I53" s="88" t="b">
        <v>0</v>
      </c>
      <c r="J53" s="88" t="b">
        <v>0</v>
      </c>
      <c r="K53" s="88" t="b">
        <v>0</v>
      </c>
      <c r="L53" s="88" t="b">
        <v>0</v>
      </c>
    </row>
    <row r="54" spans="1:12" ht="15">
      <c r="A54" s="89" t="s">
        <v>412</v>
      </c>
      <c r="B54" s="88" t="s">
        <v>413</v>
      </c>
      <c r="C54" s="88">
        <v>3</v>
      </c>
      <c r="D54" s="119">
        <v>0.008116417668891087</v>
      </c>
      <c r="E54" s="119">
        <v>1.4093694704528195</v>
      </c>
      <c r="F54" s="88" t="s">
        <v>386</v>
      </c>
      <c r="G54" s="88" t="b">
        <v>0</v>
      </c>
      <c r="H54" s="88" t="b">
        <v>0</v>
      </c>
      <c r="I54" s="88" t="b">
        <v>0</v>
      </c>
      <c r="J54" s="88" t="b">
        <v>0</v>
      </c>
      <c r="K54" s="88" t="b">
        <v>0</v>
      </c>
      <c r="L54" s="88" t="b">
        <v>0</v>
      </c>
    </row>
    <row r="55" spans="1:12" ht="15">
      <c r="A55" s="89" t="s">
        <v>413</v>
      </c>
      <c r="B55" s="88" t="s">
        <v>414</v>
      </c>
      <c r="C55" s="88">
        <v>3</v>
      </c>
      <c r="D55" s="119">
        <v>0.008116417668891087</v>
      </c>
      <c r="E55" s="119">
        <v>1.4093694704528195</v>
      </c>
      <c r="F55" s="88" t="s">
        <v>386</v>
      </c>
      <c r="G55" s="88" t="b">
        <v>0</v>
      </c>
      <c r="H55" s="88" t="b">
        <v>0</v>
      </c>
      <c r="I55" s="88" t="b">
        <v>0</v>
      </c>
      <c r="J55" s="88" t="b">
        <v>0</v>
      </c>
      <c r="K55" s="88" t="b">
        <v>0</v>
      </c>
      <c r="L55" s="88" t="b">
        <v>0</v>
      </c>
    </row>
    <row r="56" spans="1:12" ht="15">
      <c r="A56" s="89" t="s">
        <v>414</v>
      </c>
      <c r="B56" s="88" t="s">
        <v>415</v>
      </c>
      <c r="C56" s="88">
        <v>3</v>
      </c>
      <c r="D56" s="119">
        <v>0.008116417668891087</v>
      </c>
      <c r="E56" s="119">
        <v>1.4093694704528195</v>
      </c>
      <c r="F56" s="88" t="s">
        <v>386</v>
      </c>
      <c r="G56" s="88" t="b">
        <v>0</v>
      </c>
      <c r="H56" s="88" t="b">
        <v>0</v>
      </c>
      <c r="I56" s="88" t="b">
        <v>0</v>
      </c>
      <c r="J56" s="88" t="b">
        <v>1</v>
      </c>
      <c r="K56" s="88" t="b">
        <v>0</v>
      </c>
      <c r="L56" s="88" t="b">
        <v>0</v>
      </c>
    </row>
    <row r="57" spans="1:12" ht="15">
      <c r="A57" s="89" t="s">
        <v>415</v>
      </c>
      <c r="B57" s="88" t="s">
        <v>416</v>
      </c>
      <c r="C57" s="88">
        <v>3</v>
      </c>
      <c r="D57" s="119">
        <v>0.008116417668891087</v>
      </c>
      <c r="E57" s="119">
        <v>1.4093694704528195</v>
      </c>
      <c r="F57" s="88" t="s">
        <v>386</v>
      </c>
      <c r="G57" s="88" t="b">
        <v>1</v>
      </c>
      <c r="H57" s="88" t="b">
        <v>0</v>
      </c>
      <c r="I57" s="88" t="b">
        <v>0</v>
      </c>
      <c r="J57" s="88" t="b">
        <v>0</v>
      </c>
      <c r="K57" s="88" t="b">
        <v>0</v>
      </c>
      <c r="L57" s="88" t="b">
        <v>0</v>
      </c>
    </row>
    <row r="58" spans="1:12" ht="15">
      <c r="A58" s="89" t="s">
        <v>416</v>
      </c>
      <c r="B58" s="88" t="s">
        <v>267</v>
      </c>
      <c r="C58" s="88">
        <v>3</v>
      </c>
      <c r="D58" s="119">
        <v>0.008116417668891087</v>
      </c>
      <c r="E58" s="119">
        <v>1.2844307338445193</v>
      </c>
      <c r="F58" s="88" t="s">
        <v>386</v>
      </c>
      <c r="G58" s="88" t="b">
        <v>0</v>
      </c>
      <c r="H58" s="88" t="b">
        <v>0</v>
      </c>
      <c r="I58" s="88" t="b">
        <v>0</v>
      </c>
      <c r="J58" s="88" t="b">
        <v>0</v>
      </c>
      <c r="K58" s="88" t="b">
        <v>0</v>
      </c>
      <c r="L58" s="88" t="b">
        <v>0</v>
      </c>
    </row>
    <row r="59" spans="1:12" ht="15">
      <c r="A59" s="89" t="s">
        <v>267</v>
      </c>
      <c r="B59" s="88" t="s">
        <v>417</v>
      </c>
      <c r="C59" s="88">
        <v>3</v>
      </c>
      <c r="D59" s="119">
        <v>0.008116417668891087</v>
      </c>
      <c r="E59" s="119">
        <v>1.187520720836463</v>
      </c>
      <c r="F59" s="88" t="s">
        <v>386</v>
      </c>
      <c r="G59" s="88" t="b">
        <v>0</v>
      </c>
      <c r="H59" s="88" t="b">
        <v>0</v>
      </c>
      <c r="I59" s="88" t="b">
        <v>0</v>
      </c>
      <c r="J59" s="88" t="b">
        <v>0</v>
      </c>
      <c r="K59" s="88" t="b">
        <v>0</v>
      </c>
      <c r="L59" s="88" t="b">
        <v>0</v>
      </c>
    </row>
    <row r="60" spans="1:12" ht="15">
      <c r="A60" s="89" t="s">
        <v>417</v>
      </c>
      <c r="B60" s="88" t="s">
        <v>418</v>
      </c>
      <c r="C60" s="88">
        <v>3</v>
      </c>
      <c r="D60" s="119">
        <v>0.008116417668891087</v>
      </c>
      <c r="E60" s="119">
        <v>1.4093694704528195</v>
      </c>
      <c r="F60" s="88" t="s">
        <v>386</v>
      </c>
      <c r="G60" s="88" t="b">
        <v>0</v>
      </c>
      <c r="H60" s="88" t="b">
        <v>0</v>
      </c>
      <c r="I60" s="88" t="b">
        <v>0</v>
      </c>
      <c r="J60" s="88" t="b">
        <v>0</v>
      </c>
      <c r="K60" s="88" t="b">
        <v>0</v>
      </c>
      <c r="L60" s="88" t="b">
        <v>0</v>
      </c>
    </row>
    <row r="61" spans="1:12" ht="15">
      <c r="A61" s="89" t="s">
        <v>418</v>
      </c>
      <c r="B61" s="88" t="s">
        <v>419</v>
      </c>
      <c r="C61" s="88">
        <v>3</v>
      </c>
      <c r="D61" s="119">
        <v>0.008116417668891087</v>
      </c>
      <c r="E61" s="119">
        <v>1.4093694704528195</v>
      </c>
      <c r="F61" s="88" t="s">
        <v>386</v>
      </c>
      <c r="G61" s="88" t="b">
        <v>0</v>
      </c>
      <c r="H61" s="88" t="b">
        <v>0</v>
      </c>
      <c r="I61" s="88" t="b">
        <v>0</v>
      </c>
      <c r="J61" s="88" t="b">
        <v>0</v>
      </c>
      <c r="K61" s="88" t="b">
        <v>0</v>
      </c>
      <c r="L61" s="88" t="b">
        <v>0</v>
      </c>
    </row>
    <row r="62" spans="1:12" ht="15">
      <c r="A62" s="89" t="s">
        <v>419</v>
      </c>
      <c r="B62" s="88" t="s">
        <v>420</v>
      </c>
      <c r="C62" s="88">
        <v>3</v>
      </c>
      <c r="D62" s="119">
        <v>0.008116417668891087</v>
      </c>
      <c r="E62" s="119">
        <v>1.4093694704528195</v>
      </c>
      <c r="F62" s="88" t="s">
        <v>386</v>
      </c>
      <c r="G62" s="88" t="b">
        <v>0</v>
      </c>
      <c r="H62" s="88" t="b">
        <v>0</v>
      </c>
      <c r="I62" s="88" t="b">
        <v>0</v>
      </c>
      <c r="J62" s="88" t="b">
        <v>0</v>
      </c>
      <c r="K62" s="88" t="b">
        <v>0</v>
      </c>
      <c r="L62" s="88" t="b">
        <v>0</v>
      </c>
    </row>
    <row r="63" spans="1:12" ht="15">
      <c r="A63" s="89" t="s">
        <v>420</v>
      </c>
      <c r="B63" s="88" t="s">
        <v>421</v>
      </c>
      <c r="C63" s="88">
        <v>3</v>
      </c>
      <c r="D63" s="119">
        <v>0.008116417668891087</v>
      </c>
      <c r="E63" s="119">
        <v>1.4093694704528195</v>
      </c>
      <c r="F63" s="88" t="s">
        <v>386</v>
      </c>
      <c r="G63" s="88" t="b">
        <v>0</v>
      </c>
      <c r="H63" s="88" t="b">
        <v>0</v>
      </c>
      <c r="I63" s="88" t="b">
        <v>0</v>
      </c>
      <c r="J63" s="88" t="b">
        <v>0</v>
      </c>
      <c r="K63" s="88" t="b">
        <v>0</v>
      </c>
      <c r="L63" s="88" t="b">
        <v>0</v>
      </c>
    </row>
    <row r="64" spans="1:12" ht="15">
      <c r="A64" s="89" t="s">
        <v>421</v>
      </c>
      <c r="B64" s="88" t="s">
        <v>422</v>
      </c>
      <c r="C64" s="88">
        <v>3</v>
      </c>
      <c r="D64" s="119">
        <v>0.008116417668891087</v>
      </c>
      <c r="E64" s="119">
        <v>1.4093694704528195</v>
      </c>
      <c r="F64" s="88" t="s">
        <v>386</v>
      </c>
      <c r="G64" s="88" t="b">
        <v>0</v>
      </c>
      <c r="H64" s="88" t="b">
        <v>0</v>
      </c>
      <c r="I64" s="88" t="b">
        <v>0</v>
      </c>
      <c r="J64" s="88" t="b">
        <v>0</v>
      </c>
      <c r="K64" s="88" t="b">
        <v>0</v>
      </c>
      <c r="L64" s="88" t="b">
        <v>0</v>
      </c>
    </row>
    <row r="65" spans="1:12" ht="15">
      <c r="A65" s="89" t="s">
        <v>423</v>
      </c>
      <c r="B65" s="88" t="s">
        <v>424</v>
      </c>
      <c r="C65" s="88">
        <v>3</v>
      </c>
      <c r="D65" s="119">
        <v>0</v>
      </c>
      <c r="E65" s="119">
        <v>1.3222192947339193</v>
      </c>
      <c r="F65" s="88" t="s">
        <v>387</v>
      </c>
      <c r="G65" s="88" t="b">
        <v>0</v>
      </c>
      <c r="H65" s="88" t="b">
        <v>0</v>
      </c>
      <c r="I65" s="88" t="b">
        <v>0</v>
      </c>
      <c r="J65" s="88" t="b">
        <v>1</v>
      </c>
      <c r="K65" s="88" t="b">
        <v>0</v>
      </c>
      <c r="L65" s="88" t="b">
        <v>0</v>
      </c>
    </row>
    <row r="66" spans="1:12" ht="15">
      <c r="A66" s="89" t="s">
        <v>424</v>
      </c>
      <c r="B66" s="88" t="s">
        <v>425</v>
      </c>
      <c r="C66" s="88">
        <v>3</v>
      </c>
      <c r="D66" s="119">
        <v>0</v>
      </c>
      <c r="E66" s="119">
        <v>1.3222192947339193</v>
      </c>
      <c r="F66" s="88" t="s">
        <v>387</v>
      </c>
      <c r="G66" s="88" t="b">
        <v>1</v>
      </c>
      <c r="H66" s="88" t="b">
        <v>0</v>
      </c>
      <c r="I66" s="88" t="b">
        <v>0</v>
      </c>
      <c r="J66" s="88" t="b">
        <v>0</v>
      </c>
      <c r="K66" s="88" t="b">
        <v>0</v>
      </c>
      <c r="L66" s="88" t="b">
        <v>0</v>
      </c>
    </row>
    <row r="67" spans="1:12" ht="15">
      <c r="A67" s="89" t="s">
        <v>425</v>
      </c>
      <c r="B67" s="88" t="s">
        <v>426</v>
      </c>
      <c r="C67" s="88">
        <v>3</v>
      </c>
      <c r="D67" s="119">
        <v>0</v>
      </c>
      <c r="E67" s="119">
        <v>1.3222192947339193</v>
      </c>
      <c r="F67" s="88" t="s">
        <v>387</v>
      </c>
      <c r="G67" s="88" t="b">
        <v>0</v>
      </c>
      <c r="H67" s="88" t="b">
        <v>0</v>
      </c>
      <c r="I67" s="88" t="b">
        <v>0</v>
      </c>
      <c r="J67" s="88" t="b">
        <v>0</v>
      </c>
      <c r="K67" s="88" t="b">
        <v>0</v>
      </c>
      <c r="L67" s="88" t="b">
        <v>0</v>
      </c>
    </row>
    <row r="68" spans="1:12" ht="15">
      <c r="A68" s="89" t="s">
        <v>426</v>
      </c>
      <c r="B68" s="88" t="s">
        <v>427</v>
      </c>
      <c r="C68" s="88">
        <v>3</v>
      </c>
      <c r="D68" s="119">
        <v>0</v>
      </c>
      <c r="E68" s="119">
        <v>1.3222192947339193</v>
      </c>
      <c r="F68" s="88" t="s">
        <v>387</v>
      </c>
      <c r="G68" s="88" t="b">
        <v>0</v>
      </c>
      <c r="H68" s="88" t="b">
        <v>0</v>
      </c>
      <c r="I68" s="88" t="b">
        <v>0</v>
      </c>
      <c r="J68" s="88" t="b">
        <v>0</v>
      </c>
      <c r="K68" s="88" t="b">
        <v>0</v>
      </c>
      <c r="L68" s="88" t="b">
        <v>0</v>
      </c>
    </row>
    <row r="69" spans="1:12" ht="15">
      <c r="A69" s="89" t="s">
        <v>427</v>
      </c>
      <c r="B69" s="88" t="s">
        <v>428</v>
      </c>
      <c r="C69" s="88">
        <v>3</v>
      </c>
      <c r="D69" s="119">
        <v>0</v>
      </c>
      <c r="E69" s="119">
        <v>1.3222192947339193</v>
      </c>
      <c r="F69" s="88" t="s">
        <v>387</v>
      </c>
      <c r="G69" s="88" t="b">
        <v>0</v>
      </c>
      <c r="H69" s="88" t="b">
        <v>0</v>
      </c>
      <c r="I69" s="88" t="b">
        <v>0</v>
      </c>
      <c r="J69" s="88" t="b">
        <v>0</v>
      </c>
      <c r="K69" s="88" t="b">
        <v>0</v>
      </c>
      <c r="L69" s="88" t="b">
        <v>0</v>
      </c>
    </row>
    <row r="70" spans="1:12" ht="15">
      <c r="A70" s="89" t="s">
        <v>428</v>
      </c>
      <c r="B70" s="88" t="s">
        <v>429</v>
      </c>
      <c r="C70" s="88">
        <v>3</v>
      </c>
      <c r="D70" s="119">
        <v>0</v>
      </c>
      <c r="E70" s="119">
        <v>1.3222192947339193</v>
      </c>
      <c r="F70" s="88" t="s">
        <v>387</v>
      </c>
      <c r="G70" s="88" t="b">
        <v>0</v>
      </c>
      <c r="H70" s="88" t="b">
        <v>0</v>
      </c>
      <c r="I70" s="88" t="b">
        <v>0</v>
      </c>
      <c r="J70" s="88" t="b">
        <v>0</v>
      </c>
      <c r="K70" s="88" t="b">
        <v>0</v>
      </c>
      <c r="L70" s="88" t="b">
        <v>0</v>
      </c>
    </row>
    <row r="71" spans="1:12" ht="15">
      <c r="A71" s="89" t="s">
        <v>429</v>
      </c>
      <c r="B71" s="88" t="s">
        <v>430</v>
      </c>
      <c r="C71" s="88">
        <v>3</v>
      </c>
      <c r="D71" s="119">
        <v>0</v>
      </c>
      <c r="E71" s="119">
        <v>1.3222192947339193</v>
      </c>
      <c r="F71" s="88" t="s">
        <v>387</v>
      </c>
      <c r="G71" s="88" t="b">
        <v>0</v>
      </c>
      <c r="H71" s="88" t="b">
        <v>0</v>
      </c>
      <c r="I71" s="88" t="b">
        <v>0</v>
      </c>
      <c r="J71" s="88" t="b">
        <v>0</v>
      </c>
      <c r="K71" s="88" t="b">
        <v>0</v>
      </c>
      <c r="L71" s="88" t="b">
        <v>0</v>
      </c>
    </row>
    <row r="72" spans="1:12" ht="15">
      <c r="A72" s="89" t="s">
        <v>430</v>
      </c>
      <c r="B72" s="88" t="s">
        <v>431</v>
      </c>
      <c r="C72" s="88">
        <v>3</v>
      </c>
      <c r="D72" s="119">
        <v>0</v>
      </c>
      <c r="E72" s="119">
        <v>1.3222192947339193</v>
      </c>
      <c r="F72" s="88" t="s">
        <v>387</v>
      </c>
      <c r="G72" s="88" t="b">
        <v>0</v>
      </c>
      <c r="H72" s="88" t="b">
        <v>0</v>
      </c>
      <c r="I72" s="88" t="b">
        <v>0</v>
      </c>
      <c r="J72" s="88" t="b">
        <v>0</v>
      </c>
      <c r="K72" s="88" t="b">
        <v>0</v>
      </c>
      <c r="L72" s="88" t="b">
        <v>0</v>
      </c>
    </row>
    <row r="73" spans="1:12" ht="15">
      <c r="A73" s="89" t="s">
        <v>431</v>
      </c>
      <c r="B73" s="88" t="s">
        <v>432</v>
      </c>
      <c r="C73" s="88">
        <v>3</v>
      </c>
      <c r="D73" s="119">
        <v>0</v>
      </c>
      <c r="E73" s="119">
        <v>1.3222192947339193</v>
      </c>
      <c r="F73" s="88" t="s">
        <v>387</v>
      </c>
      <c r="G73" s="88" t="b">
        <v>0</v>
      </c>
      <c r="H73" s="88" t="b">
        <v>0</v>
      </c>
      <c r="I73" s="88" t="b">
        <v>0</v>
      </c>
      <c r="J73" s="88" t="b">
        <v>0</v>
      </c>
      <c r="K73" s="88" t="b">
        <v>0</v>
      </c>
      <c r="L73" s="88" t="b">
        <v>0</v>
      </c>
    </row>
    <row r="74" spans="1:12" ht="15">
      <c r="A74" s="89" t="s">
        <v>432</v>
      </c>
      <c r="B74" s="88" t="s">
        <v>433</v>
      </c>
      <c r="C74" s="88">
        <v>3</v>
      </c>
      <c r="D74" s="119">
        <v>0</v>
      </c>
      <c r="E74" s="119">
        <v>1.3222192947339193</v>
      </c>
      <c r="F74" s="88" t="s">
        <v>387</v>
      </c>
      <c r="G74" s="88" t="b">
        <v>0</v>
      </c>
      <c r="H74" s="88" t="b">
        <v>0</v>
      </c>
      <c r="I74" s="88" t="b">
        <v>0</v>
      </c>
      <c r="J74" s="88" t="b">
        <v>0</v>
      </c>
      <c r="K74" s="88" t="b">
        <v>0</v>
      </c>
      <c r="L74" s="88" t="b">
        <v>0</v>
      </c>
    </row>
    <row r="75" spans="1:12" ht="15">
      <c r="A75" s="89" t="s">
        <v>433</v>
      </c>
      <c r="B75" s="88" t="s">
        <v>402</v>
      </c>
      <c r="C75" s="88">
        <v>3</v>
      </c>
      <c r="D75" s="119">
        <v>0</v>
      </c>
      <c r="E75" s="119">
        <v>1.3222192947339193</v>
      </c>
      <c r="F75" s="88" t="s">
        <v>387</v>
      </c>
      <c r="G75" s="88" t="b">
        <v>0</v>
      </c>
      <c r="H75" s="88" t="b">
        <v>0</v>
      </c>
      <c r="I75" s="88" t="b">
        <v>0</v>
      </c>
      <c r="J75" s="88" t="b">
        <v>1</v>
      </c>
      <c r="K75" s="88" t="b">
        <v>0</v>
      </c>
      <c r="L75" s="88" t="b">
        <v>0</v>
      </c>
    </row>
    <row r="76" spans="1:12" ht="15">
      <c r="A76" s="89" t="s">
        <v>402</v>
      </c>
      <c r="B76" s="88" t="s">
        <v>434</v>
      </c>
      <c r="C76" s="88">
        <v>3</v>
      </c>
      <c r="D76" s="119">
        <v>0</v>
      </c>
      <c r="E76" s="119">
        <v>1.3222192947339193</v>
      </c>
      <c r="F76" s="88" t="s">
        <v>387</v>
      </c>
      <c r="G76" s="88" t="b">
        <v>1</v>
      </c>
      <c r="H76" s="88" t="b">
        <v>0</v>
      </c>
      <c r="I76" s="88" t="b">
        <v>0</v>
      </c>
      <c r="J76" s="88" t="b">
        <v>0</v>
      </c>
      <c r="K76" s="88" t="b">
        <v>0</v>
      </c>
      <c r="L76" s="88" t="b">
        <v>0</v>
      </c>
    </row>
    <row r="77" spans="1:12" ht="15">
      <c r="A77" s="89" t="s">
        <v>434</v>
      </c>
      <c r="B77" s="88" t="s">
        <v>435</v>
      </c>
      <c r="C77" s="88">
        <v>3</v>
      </c>
      <c r="D77" s="119">
        <v>0</v>
      </c>
      <c r="E77" s="119">
        <v>1.3222192947339193</v>
      </c>
      <c r="F77" s="88" t="s">
        <v>387</v>
      </c>
      <c r="G77" s="88" t="b">
        <v>0</v>
      </c>
      <c r="H77" s="88" t="b">
        <v>0</v>
      </c>
      <c r="I77" s="88" t="b">
        <v>0</v>
      </c>
      <c r="J77" s="88" t="b">
        <v>0</v>
      </c>
      <c r="K77" s="88" t="b">
        <v>0</v>
      </c>
      <c r="L77" s="88" t="b">
        <v>0</v>
      </c>
    </row>
    <row r="78" spans="1:12" ht="15">
      <c r="A78" s="89" t="s">
        <v>435</v>
      </c>
      <c r="B78" s="88" t="s">
        <v>436</v>
      </c>
      <c r="C78" s="88">
        <v>3</v>
      </c>
      <c r="D78" s="119">
        <v>0</v>
      </c>
      <c r="E78" s="119">
        <v>1.3222192947339193</v>
      </c>
      <c r="F78" s="88" t="s">
        <v>387</v>
      </c>
      <c r="G78" s="88" t="b">
        <v>0</v>
      </c>
      <c r="H78" s="88" t="b">
        <v>0</v>
      </c>
      <c r="I78" s="88" t="b">
        <v>0</v>
      </c>
      <c r="J78" s="88" t="b">
        <v>0</v>
      </c>
      <c r="K78" s="88" t="b">
        <v>0</v>
      </c>
      <c r="L78" s="88" t="b">
        <v>0</v>
      </c>
    </row>
    <row r="79" spans="1:12" ht="15">
      <c r="A79" s="89" t="s">
        <v>436</v>
      </c>
      <c r="B79" s="88" t="s">
        <v>437</v>
      </c>
      <c r="C79" s="88">
        <v>3</v>
      </c>
      <c r="D79" s="119">
        <v>0</v>
      </c>
      <c r="E79" s="119">
        <v>1.3222192947339193</v>
      </c>
      <c r="F79" s="88" t="s">
        <v>387</v>
      </c>
      <c r="G79" s="88" t="b">
        <v>0</v>
      </c>
      <c r="H79" s="88" t="b">
        <v>0</v>
      </c>
      <c r="I79" s="88" t="b">
        <v>0</v>
      </c>
      <c r="J79" s="88" t="b">
        <v>0</v>
      </c>
      <c r="K79" s="88" t="b">
        <v>0</v>
      </c>
      <c r="L79" s="88" t="b">
        <v>0</v>
      </c>
    </row>
    <row r="80" spans="1:12" ht="15">
      <c r="A80" s="89" t="s">
        <v>437</v>
      </c>
      <c r="B80" s="88" t="s">
        <v>438</v>
      </c>
      <c r="C80" s="88">
        <v>3</v>
      </c>
      <c r="D80" s="119">
        <v>0</v>
      </c>
      <c r="E80" s="119">
        <v>1.3222192947339193</v>
      </c>
      <c r="F80" s="88" t="s">
        <v>387</v>
      </c>
      <c r="G80" s="88" t="b">
        <v>0</v>
      </c>
      <c r="H80" s="88" t="b">
        <v>0</v>
      </c>
      <c r="I80" s="88" t="b">
        <v>0</v>
      </c>
      <c r="J80" s="88" t="b">
        <v>0</v>
      </c>
      <c r="K80" s="88" t="b">
        <v>0</v>
      </c>
      <c r="L80" s="88" t="b">
        <v>0</v>
      </c>
    </row>
    <row r="81" spans="1:12" ht="15">
      <c r="A81" s="89" t="s">
        <v>438</v>
      </c>
      <c r="B81" s="88" t="s">
        <v>266</v>
      </c>
      <c r="C81" s="88">
        <v>3</v>
      </c>
      <c r="D81" s="119">
        <v>0</v>
      </c>
      <c r="E81" s="119">
        <v>1.3222192947339193</v>
      </c>
      <c r="F81" s="88" t="s">
        <v>387</v>
      </c>
      <c r="G81" s="88" t="b">
        <v>0</v>
      </c>
      <c r="H81" s="88" t="b">
        <v>0</v>
      </c>
      <c r="I81" s="88" t="b">
        <v>0</v>
      </c>
      <c r="J81" s="88" t="b">
        <v>0</v>
      </c>
      <c r="K81" s="88" t="b">
        <v>0</v>
      </c>
      <c r="L81" s="88" t="b">
        <v>0</v>
      </c>
    </row>
    <row r="82" spans="1:12" ht="15">
      <c r="A82" s="89" t="s">
        <v>266</v>
      </c>
      <c r="B82" s="88" t="s">
        <v>265</v>
      </c>
      <c r="C82" s="88">
        <v>3</v>
      </c>
      <c r="D82" s="119">
        <v>0</v>
      </c>
      <c r="E82" s="119">
        <v>1.3222192947339193</v>
      </c>
      <c r="F82" s="88" t="s">
        <v>387</v>
      </c>
      <c r="G82" s="88" t="b">
        <v>0</v>
      </c>
      <c r="H82" s="88" t="b">
        <v>0</v>
      </c>
      <c r="I82" s="88" t="b">
        <v>0</v>
      </c>
      <c r="J82" s="88" t="b">
        <v>0</v>
      </c>
      <c r="K82" s="88" t="b">
        <v>0</v>
      </c>
      <c r="L82" s="88" t="b">
        <v>0</v>
      </c>
    </row>
    <row r="83" spans="1:12" ht="15">
      <c r="A83" s="89" t="s">
        <v>265</v>
      </c>
      <c r="B83" s="88" t="s">
        <v>264</v>
      </c>
      <c r="C83" s="88">
        <v>3</v>
      </c>
      <c r="D83" s="119">
        <v>0</v>
      </c>
      <c r="E83" s="119">
        <v>1.3222192947339193</v>
      </c>
      <c r="F83" s="88" t="s">
        <v>387</v>
      </c>
      <c r="G83" s="88" t="b">
        <v>0</v>
      </c>
      <c r="H83" s="88" t="b">
        <v>0</v>
      </c>
      <c r="I83" s="88" t="b">
        <v>0</v>
      </c>
      <c r="J83" s="88" t="b">
        <v>0</v>
      </c>
      <c r="K83" s="88" t="b">
        <v>0</v>
      </c>
      <c r="L83" s="88" t="b">
        <v>0</v>
      </c>
    </row>
    <row r="84" spans="1:12" ht="15">
      <c r="A84" s="89" t="s">
        <v>264</v>
      </c>
      <c r="B84" s="88" t="s">
        <v>267</v>
      </c>
      <c r="C84" s="88">
        <v>3</v>
      </c>
      <c r="D84" s="119">
        <v>0</v>
      </c>
      <c r="E84" s="119">
        <v>1.3222192947339193</v>
      </c>
      <c r="F84" s="88" t="s">
        <v>387</v>
      </c>
      <c r="G84" s="88" t="b">
        <v>0</v>
      </c>
      <c r="H84" s="88" t="b">
        <v>0</v>
      </c>
      <c r="I84" s="88" t="b">
        <v>0</v>
      </c>
      <c r="J84" s="88" t="b">
        <v>0</v>
      </c>
      <c r="K84" s="88" t="b">
        <v>0</v>
      </c>
      <c r="L84" s="88" t="b">
        <v>0</v>
      </c>
    </row>
    <row r="85" spans="1:12" ht="15">
      <c r="A85" s="89" t="s">
        <v>267</v>
      </c>
      <c r="B85" s="88" t="s">
        <v>439</v>
      </c>
      <c r="C85" s="88">
        <v>3</v>
      </c>
      <c r="D85" s="119">
        <v>0</v>
      </c>
      <c r="E85" s="119">
        <v>1.3222192947339193</v>
      </c>
      <c r="F85" s="88" t="s">
        <v>387</v>
      </c>
      <c r="G85" s="88" t="b">
        <v>0</v>
      </c>
      <c r="H85" s="88" t="b">
        <v>0</v>
      </c>
      <c r="I85" s="88" t="b">
        <v>0</v>
      </c>
      <c r="J85" s="88" t="b">
        <v>0</v>
      </c>
      <c r="K85" s="88" t="b">
        <v>0</v>
      </c>
      <c r="L85"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7CF4672-5C7C-4403-BA30-261F6ECEC16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Liz Stedman</dc:creator>
  <cp:keywords/>
  <dc:description/>
  <cp:lastModifiedBy>Liz Stedman</cp:lastModifiedBy>
  <dcterms:created xsi:type="dcterms:W3CDTF">2008-01-30T00:41:58Z</dcterms:created>
  <dcterms:modified xsi:type="dcterms:W3CDTF">2022-05-28T06:25:02Z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