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<sst xmlns="http://schemas.openxmlformats.org/spreadsheetml/2006/main" count="609" uniqueCount="338">
  <si>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</si>
  <si>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</si>
  <si>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</si>
  <si>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</si>
  <si>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</si>
  <si>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</si>
  <si>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</si>
  <si>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</si>
  <si>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</si>
  <si>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</si>
  <si>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</si>
  <si>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</si>
  <si>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</si>
  <si>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</si>
  <si>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</si>
  <si>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</si>
  <si>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</si>
  <si>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</si>
  <si>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</si>
  <si>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</si>
  <si>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</si>
  <si>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</si>
  <si>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</si>
  <si>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</si>
  <si>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</si>
  <si>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</si>
  <si>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</si>
  <si>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</si>
  <si>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</si>
  <si>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</si>
  <si>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</si>
  <si>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</si>
  <si>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</si>
  <si>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</si>
  <si>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</si>
  <si>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</si>
  <si>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</si>
  <si>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</si>
  <si>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</si>
  <si>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</si>
  <si>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</si>
  <si>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</si>
  <si>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</si>
  <si>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</si>
  <si>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</si>
  <si>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</si>
  <si>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</si>
  <si>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</si>
  <si>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</si>
  <si>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</si>
  <si>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</si>
  <si>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</si>
  <si>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</si>
  <si>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</si>
  <si>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</si>
  <si>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</si>
  <si>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</si>
  <si>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</si>
  <si>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</si>
  <si>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</si>
  <si>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</si>
  <si>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</si>
  <si>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</si>
  <si>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</si>
  <si>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</si>
  <si>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</si>
  <si>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</si>
  <si>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</si>
  <si>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</si>
  <si>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</si>
  <si>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</si>
  <si>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</si>
  <si>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</si>
  <si>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</si>
  <si>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</si>
  <si>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</si>
  <si>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</si>
  <si>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</si>
  <si>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</si>
  <si>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</si>
  <si>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</si>
  <si>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</si>
  <si>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</si>
  <si>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</si>
  <si>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</si>
  <si>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</si>
  <si>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</si>
  <si>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</si>
  <si>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</si>
  <si>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</si>
  <si>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</si>
  <si>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</si>
  <si>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</si>
  <si>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</si>
  <si>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</si>
  <si>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</si>
  <si>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</si>
  <si>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</si>
  <si>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</si>
  <si>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</si>
  <si>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</si>
  <si>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</si>
  <si>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</si>
  <si>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</si>
  <si>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</si>
  <si>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</si>
  <si>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</si>
  <si>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</si>
  <si>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</si>
  <si>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</si>
  <si>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</si>
  <si>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</si>
  <si>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</si>
  <si>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</si>
  <si>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</si>
  <si>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</si>
  <si>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</si>
  <si>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</si>
  <si>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</si>
  <si>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</si>
  <si>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</si>
  <si>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</si>
  <si>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</si>
  <si>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</si>
  <si>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</si>
  <si>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</si>
  <si>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</si>
  <si>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</si>
  <si>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</si>
  <si>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</si>
  <si>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</si>
  <si>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</si>
  <si>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</si>
  <si>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</si>
  <si>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</si>
  <si>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</si>
  <si>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</si>
  <si>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</si>
  <si>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</si>
  <si>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</si>
  <si>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</si>
  <si>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</si>
  <si>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</si>
  <si>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</si>
  <si>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</si>
  <si>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</si>
  <si>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</si>
  <si>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</si>
  <si>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</si>
  <si>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</si>
  <si>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</si>
  <si>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</si>
  <si>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</si>
  <si>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</si>
  <si>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</si>
  <si>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</si>
  <si>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</si>
  <si>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</si>
  <si>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</si>
  <si>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</si>
  <si>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</si>
  <si>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</si>
  <si>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</si>
  <si>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</si>
  <si>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</si>
  <si>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</si>
  <si>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</si>
  <si>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</si>
  <si>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</si>
  <si>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</si>
  <si>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</si>
  <si>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</si>
  <si>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</si>
  <si>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</si>
  <si>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</si>
  <si>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</si>
  <si>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</si>
  <si>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</si>
  <si>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</si>
  <si>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</si>
  <si>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</si>
  <si>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</si>
  <si>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</si>
  <si>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</si>
  <si>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</si>
  <si>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</si>
  <si>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</si>
  <si>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</si>
  <si>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</si>
  <si>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</si>
  <si>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</si>
  <si>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</si>
  <si>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</si>
  <si>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</si>
  <si>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</si>
  <si>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</si>
  <si>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</si>
  <si>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</si>
  <si>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</si>
  <si>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</si>
  <si>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</si>
  <si>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</si>
  <si>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</si>
  <si>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</si>
  <si>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</si>
  <si>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</si>
  <si>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</si>
  <si>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</si>
  <si>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</si>
  <si>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</si>
  <si>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</si>
  <si>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</si>
  <si>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</si>
  <si>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</si>
  <si>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fabioliva10</t>
  </si>
  <si>
    <t>edrightscounsel</t>
  </si>
  <si>
    <t>wcaomaha</t>
  </si>
  <si>
    <t>givingtuesday</t>
  </si>
  <si>
    <t>MentionsInRetweet</t>
  </si>
  <si>
    <t>Retweet</t>
  </si>
  <si>
    <t>Mentions</t>
  </si>
  <si>
    <t>RT @wcaomaha: This is amazing!! Ah.Maze.Zing. Letâ€™s see if we can raise $2,000 more before the day is over! #OmahaGives https://t.co/0ulo1bâ€¦</t>
  </si>
  <si>
    <t>[#7]ðŸ’™ We appreciate your support in helping families like Liza and John! Donate here: https://t.co/O99RlM5dCL 
#givingtuesday #omahagives #omahanonprofit @GivingTuesday https://t.co/YIcM7y6b1M</t>
  </si>
  <si>
    <t>Every week until Giving Tuesday (Nov 29), we are going to be sharing stories of our work and our commitment to make sure all children stay in school and thrive. Stay tuned for our first story tomorrow! We appreciate your support! https://t.co/O99RlMmOuj #givingtuesday #omahagives https://t.co/9ZNs3DrFfs</t>
  </si>
  <si>
    <t>This is amazing!! Ah.Maze.Zing. Letâ€™s see if we can raise $2,000 more before the day is over! #OmahaGives https://t.co/0ulo1bceLl</t>
  </si>
  <si>
    <t>networkforgood.com</t>
  </si>
  <si>
    <t>omahagives</t>
  </si>
  <si>
    <t>givingtuesday omahagives omahanonprofit</t>
  </si>
  <si>
    <t>givingtuesday omahagives</t>
  </si>
  <si>
    <t>10:11:21</t>
  </si>
  <si>
    <t>15:24:10</t>
  </si>
  <si>
    <t>21:38:19</t>
  </si>
  <si>
    <t>02:42:27</t>
  </si>
  <si>
    <t>1567093086085316619</t>
  </si>
  <si>
    <t>1577318667146207233</t>
  </si>
  <si>
    <t>1577050437009620992</t>
  </si>
  <si>
    <t>999480717124997125</t>
  </si>
  <si>
    <t>1577318405933260805</t>
  </si>
  <si>
    <t/>
  </si>
  <si>
    <t>1203430010989809666</t>
  </si>
  <si>
    <t>en</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</si>
  <si>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</si>
  <si>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</si>
  <si>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</si>
  <si>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</si>
  <si>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</si>
  <si>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</si>
  <si>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</si>
  <si>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</si>
  <si>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</si>
  <si>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</si>
  <si>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</si>
  <si>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</si>
  <si>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</si>
  <si>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</si>
  <si>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</si>
  <si>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</si>
  <si>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</si>
  <si>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</si>
  <si>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</si>
  <si>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</si>
  <si>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</si>
  <si>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</si>
  <si>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</si>
  <si>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</si>
  <si>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GUSTAVE</t>
  </si>
  <si>
    <t>Education Rights Counsel</t>
  </si>
  <si>
    <t>GivingTuesday</t>
  </si>
  <si>
    <t>3125732656</t>
  </si>
  <si>
    <t>460708976</t>
  </si>
  <si>
    <t>267885755</t>
  </si>
  <si>
    <t>The boys are in round 3! They beat INDE IRAE 16-1 GG WP.</t>
  </si>
  <si>
    <t>We close the access-to-justice gap for Nebraska’s under-resourced public school children and families.</t>
  </si>
  <si>
    <t>From a viral hashtag to a global movement, #GivingTuesday is reimagining a world built upon shared humanity and generosity. _xD83D__xDDD3_ Nov 29, 2022</t>
  </si>
  <si>
    <t>The WCA is the go-to place for anyone experiencing domestic violence, sexual assault, sex trafficking or stalking in Omaha. We offer free-high quality services.</t>
  </si>
  <si>
    <t>Burmese</t>
  </si>
  <si>
    <t>Omaha, NE</t>
  </si>
  <si>
    <t>Global</t>
  </si>
  <si>
    <t>Open Twitter Page for This Person</t>
  </si>
  <si>
    <t>fabioliva10
RT @wcaomaha: This is amazing!!
Ah.Maze.Zing. Letâ€™s see if we
can raise $2,000 more before the
day is over! #OmahaGives https://t.co/0ulo1bâ€¦</t>
  </si>
  <si>
    <t>edrightscounsel
[#7]ðŸ’™ We appreciate your support
in helping families like Liza and
John! Donate here: https://t.co/O99RlM5dCL
#givingtuesday #omahagives #omahanonprofit
@GivingTuesday https://t.co/YIcM7y6b1M</t>
  </si>
  <si>
    <t xml:space="preserve">givingtuesday
</t>
  </si>
  <si>
    <t>wcaomaha
This is amazing!! Ah.Maze.Zing.
Letâ€™s see if we can raise $2,000
more before the day is over! #OmahaGives
https://t.co/0ulo1bceLl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</si>
  <si>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</si>
  <si>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</si>
  <si>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</si>
  <si>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</si>
  <si>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</si>
  <si>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</si>
  <si>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</si>
  <si>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</si>
  <si>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</si>
  <si>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</si>
  <si>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</si>
  <si>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</si>
  <si>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</si>
  <si>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</si>
  <si>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</si>
  <si>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</si>
  <si>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</si>
  <si>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</si>
  <si>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</si>
  <si>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</si>
  <si>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</si>
  <si>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</si>
  <si>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</si>
  <si>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</si>
  <si>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</si>
  <si>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</si>
  <si>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</si>
  <si>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</si>
  <si>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</si>
  <si>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</si>
  <si>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</si>
  <si>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</si>
  <si>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</si>
  <si>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</si>
  <si>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</si>
  <si>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</si>
  <si>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</si>
  <si>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</si>
  <si>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</si>
  <si>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</si>
  <si>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</si>
  <si>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</si>
  <si>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</si>
  <si>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</si>
  <si>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</si>
  <si>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Top URLs in Tweet</t>
  </si>
  <si>
    <t>https://educationrightscounsel.networkforgood.com/projects/171483-giving-tuesday-end-of-year-campaign-2022</t>
  </si>
  <si>
    <t>Count of Tweet Date (UTC)</t>
  </si>
  <si>
    <t>Row Labels</t>
  </si>
  <si>
    <t>Grand Total</t>
  </si>
  <si>
    <t>128, 128, 128</t>
  </si>
  <si>
    <t>Autofill Workbook Results</t>
  </si>
  <si>
    <t>Edge Weight▓1▓1▓0▓True▓Gray▓Red▓▓Edge Weight▓1▓1▓0▓3▓10▓False▓Edge Weight▓1▓1▓0▓35▓12▓False▓▓0▓0▓0▓True▓Black▓Black▓▓▓0▓0▓0▓0▓0▓False▓▓0▓0▓0▓0▓0▓False▓▓0▓0▓0▓0▓0▓False▓▓0▓0▓0▓0▓0▓False</t>
  </si>
  <si>
    <t>GraphSource░GraphServerTwitterSearch▓GraphTerm░omahagives▓ImportDescription░The graph represents a network of 4 Twitter users whose tweets in the requested range contained "omahagives", or who were replied to or mentioned in those tweets.  The network was obtained from the NodeXL Graph Server on Thursday, 01 December 2022 at 22:31 UTC.
The requested start date was Thursday, 01 December 2022 at 01:01 UTC and the maximum number of tweets (going backward in time) was 7,500.
The tweets in the network were tweeted over the 17-hour, 45-minute period from Monday, 03 October 2022 at 21:38 UTC to Tuesday, 04 October 2022 at 15:24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</si>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</sst>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167"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24">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7" formatCode="General"/>
      <border>
        <right style="thin">
          <color theme="0"/>
        </right>
      </border>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border>
        <left style="thin">
          <color theme="0"/>
        </left>
      </border>
    </dxf>
    <dxf>
      <numFmt numFmtId="177"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font>
        <b val="0"/>
        <i val="0"/>
        <u val="none"/>
        <strike val="0"/>
        <sz val="11"/>
        <name val="Calibri"/>
        <color theme="1"/>
        <condense val="0"/>
        <extend val="0"/>
      </font>
      <numFmt numFmtId="177" formatCode="General"/>
    </dxf>
    <dxf>
      <numFmt numFmtId="178"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9986732"/>
        <c:axId val="3009677"/>
      </c:barChart>
      <c:catAx>
        <c:axId val="5998673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009677"/>
        <c:crosses val="autoZero"/>
        <c:auto val="1"/>
        <c:lblOffset val="100"/>
        <c:noMultiLvlLbl val="0"/>
      </c:catAx>
      <c:valAx>
        <c:axId val="30096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9867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omahagives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5/24/2018 2:42</c:v>
                </c:pt>
                <c:pt idx="1">
                  <c:v>9/6/2022 10:11</c:v>
                </c:pt>
                <c:pt idx="2">
                  <c:v>10/3/2022 21:38</c:v>
                </c:pt>
                <c:pt idx="3">
                  <c:v>10/4/2022 15:24</c:v>
                </c:pt>
              </c:strCache>
            </c:strRef>
          </c:cat>
          <c:val>
            <c:numRef>
              <c:f>'Time Series'!$B$26:$B$30</c:f>
              <c:numCache>
                <c:formatCode>General</c:formatCode>
                <c:ptCount val="4"/>
                <c:pt idx="0">
                  <c:v>1</c:v>
                </c:pt>
                <c:pt idx="1">
                  <c:v>2</c:v>
                </c:pt>
                <c:pt idx="2">
                  <c:v>1</c:v>
                </c:pt>
                <c:pt idx="3">
                  <c:v>1</c:v>
                </c:pt>
              </c:numCache>
            </c:numRef>
          </c:val>
        </c:ser>
        <c:axId val="49883078"/>
        <c:axId val="46294519"/>
      </c:barChart>
      <c:catAx>
        <c:axId val="49883078"/>
        <c:scaling>
          <c:orientation val="minMax"/>
        </c:scaling>
        <c:axPos val="b"/>
        <c:delete val="0"/>
        <c:numFmt formatCode="General" sourceLinked="1"/>
        <c:majorTickMark val="out"/>
        <c:minorTickMark val="none"/>
        <c:tickLblPos val="nextTo"/>
        <c:crossAx val="46294519"/>
        <c:crosses val="autoZero"/>
        <c:auto val="1"/>
        <c:lblOffset val="100"/>
        <c:noMultiLvlLbl val="0"/>
      </c:catAx>
      <c:valAx>
        <c:axId val="46294519"/>
        <c:scaling>
          <c:orientation val="minMax"/>
        </c:scaling>
        <c:axPos val="l"/>
        <c:majorGridlines/>
        <c:delete val="0"/>
        <c:numFmt formatCode="General" sourceLinked="1"/>
        <c:majorTickMark val="out"/>
        <c:minorTickMark val="none"/>
        <c:tickLblPos val="nextTo"/>
        <c:crossAx val="4988307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7087094"/>
        <c:axId val="42457255"/>
      </c:barChart>
      <c:catAx>
        <c:axId val="2708709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457255"/>
        <c:crosses val="autoZero"/>
        <c:auto val="1"/>
        <c:lblOffset val="100"/>
        <c:noMultiLvlLbl val="0"/>
      </c:catAx>
      <c:valAx>
        <c:axId val="424572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0870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6570976"/>
        <c:axId val="16485601"/>
      </c:barChart>
      <c:catAx>
        <c:axId val="4657097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6485601"/>
        <c:crosses val="autoZero"/>
        <c:auto val="1"/>
        <c:lblOffset val="100"/>
        <c:noMultiLvlLbl val="0"/>
      </c:catAx>
      <c:valAx>
        <c:axId val="164856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5709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4152682"/>
        <c:axId val="60265275"/>
      </c:barChart>
      <c:catAx>
        <c:axId val="1415268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265275"/>
        <c:crosses val="autoZero"/>
        <c:auto val="1"/>
        <c:lblOffset val="100"/>
        <c:noMultiLvlLbl val="0"/>
      </c:catAx>
      <c:valAx>
        <c:axId val="602652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1526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516564"/>
        <c:axId val="49649077"/>
      </c:barChart>
      <c:catAx>
        <c:axId val="551656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649077"/>
        <c:crosses val="autoZero"/>
        <c:auto val="1"/>
        <c:lblOffset val="100"/>
        <c:noMultiLvlLbl val="0"/>
      </c:catAx>
      <c:valAx>
        <c:axId val="496490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165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4188510"/>
        <c:axId val="62152271"/>
      </c:barChart>
      <c:catAx>
        <c:axId val="4418851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2152271"/>
        <c:crosses val="autoZero"/>
        <c:auto val="1"/>
        <c:lblOffset val="100"/>
        <c:noMultiLvlLbl val="0"/>
      </c:catAx>
      <c:valAx>
        <c:axId val="621522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1885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2499528"/>
        <c:axId val="1169161"/>
      </c:barChart>
      <c:catAx>
        <c:axId val="2249952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169161"/>
        <c:crosses val="autoZero"/>
        <c:auto val="1"/>
        <c:lblOffset val="100"/>
        <c:noMultiLvlLbl val="0"/>
      </c:catAx>
      <c:valAx>
        <c:axId val="11691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4995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0522450"/>
        <c:axId val="27593187"/>
      </c:barChart>
      <c:catAx>
        <c:axId val="1052245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7593187"/>
        <c:crosses val="autoZero"/>
        <c:auto val="1"/>
        <c:lblOffset val="100"/>
        <c:noMultiLvlLbl val="0"/>
      </c:catAx>
      <c:valAx>
        <c:axId val="275931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5224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7012092"/>
        <c:axId val="20455645"/>
      </c:barChart>
      <c:catAx>
        <c:axId val="47012092"/>
        <c:scaling>
          <c:orientation val="minMax"/>
        </c:scaling>
        <c:axPos val="b"/>
        <c:delete val="1"/>
        <c:majorTickMark val="out"/>
        <c:minorTickMark val="none"/>
        <c:tickLblPos val="none"/>
        <c:crossAx val="20455645"/>
        <c:crosses val="autoZero"/>
        <c:auto val="1"/>
        <c:lblOffset val="100"/>
        <c:noMultiLvlLbl val="0"/>
      </c:catAx>
      <c:valAx>
        <c:axId val="20455645"/>
        <c:scaling>
          <c:orientation val="minMax"/>
        </c:scaling>
        <c:axPos val="l"/>
        <c:delete val="1"/>
        <c:majorTickMark val="out"/>
        <c:minorTickMark val="none"/>
        <c:tickLblPos val="none"/>
        <c:crossAx val="4701209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 refreshedBy="Marc" refreshedVersion="5">
  <cacheSource type="worksheet">
    <worksheetSource ref="A2:BE7" sheet="Time Series Edges"/>
  </cacheSource>
  <cacheFields count="5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3">
        <s v="omahagives"/>
        <s v="givingtuesday omahagives omahanonprofit"/>
        <s v="givingtuesday omahagive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
        <d v="2018-05-24T02:42:27.000"/>
        <d v="2022-09-06T10:11:21.000"/>
        <d v="2022-10-04T15:24:10.000"/>
        <d v="2022-10-03T21:38:19.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
  <r>
    <s v="wcaomaha"/>
    <s v="wcaomaha"/>
    <m/>
    <m/>
    <m/>
    <m/>
    <m/>
    <m/>
    <m/>
    <m/>
    <s v="No"/>
    <n v="3"/>
    <m/>
    <m/>
    <x v="0"/>
    <d v="2018-05-24T02:42:27.000"/>
    <s v="This is amazing!! Ah.Maze.Zing. Letâ€™s see if we can raise $2,000 more before the day is over! #OmahaGives https://t.co/0ulo1bceLl"/>
    <m/>
    <m/>
    <x v="0"/>
    <s v="https://pbs.twimg.com/media/Dd7eajXUwAE8b-v.jpg"/>
    <s v="https://pbs.twimg.com/media/Dd7eajXUwAE8b-v.jpg"/>
    <x v="0"/>
    <d v="2018-05-24T00:00:00.000"/>
    <s v="02:42:27"/>
    <s v="https://twitter.com/#!/wcaomaha/status/999480717124997125"/>
    <m/>
    <m/>
    <s v="999480717124997125"/>
    <m/>
    <b v="0"/>
    <n v="2"/>
    <s v=""/>
    <b v="0"/>
    <s v="en"/>
    <m/>
    <s v=""/>
    <b v="0"/>
    <n v="2"/>
    <s v=""/>
    <s v="Twitter for iPhone"/>
    <b v="0"/>
    <s v="999480717124997125"/>
    <s v="Retweet"/>
    <n v="0"/>
    <n v="0"/>
    <m/>
    <m/>
    <m/>
    <m/>
    <m/>
    <m/>
    <m/>
    <m/>
    <n v="1"/>
    <s v="2"/>
    <s v="2"/>
  </r>
  <r>
    <s v="fabioliva10"/>
    <s v="wcaomaha"/>
    <m/>
    <m/>
    <m/>
    <m/>
    <m/>
    <m/>
    <m/>
    <m/>
    <s v="No"/>
    <n v="4"/>
    <m/>
    <m/>
    <x v="1"/>
    <d v="2022-09-06T10:11:21.000"/>
    <s v="RT @wcaomaha: This is amazing!! Ah.Maze.Zing. Letâ€™s see if we can raise $2,000 more before the day is over! #OmahaGives https://t.co/0ulo1bâ€¦"/>
    <m/>
    <m/>
    <x v="0"/>
    <m/>
    <s v="http://pbs.twimg.com/profile_images/1561693986590449668/1bORWfiR_normal.jpg"/>
    <x v="1"/>
    <d v="2022-09-06T00:00:00.000"/>
    <s v="10:11:21"/>
    <s v="https://twitter.com/#!/fabioliva10/status/1567093086085316619"/>
    <m/>
    <m/>
    <s v="1567093086085316619"/>
    <m/>
    <b v="0"/>
    <n v="0"/>
    <s v=""/>
    <b v="0"/>
    <s v="en"/>
    <m/>
    <s v=""/>
    <b v="0"/>
    <n v="2"/>
    <s v="999480717124997125"/>
    <s v="Twitter Web App"/>
    <b v="0"/>
    <s v="999480717124997125"/>
    <s v="Tweet"/>
    <n v="0"/>
    <n v="0"/>
    <m/>
    <m/>
    <m/>
    <m/>
    <m/>
    <m/>
    <m/>
    <m/>
    <n v="1"/>
    <s v="2"/>
    <s v="2"/>
  </r>
  <r>
    <s v="fabioliva10"/>
    <s v="wcaomaha"/>
    <m/>
    <m/>
    <m/>
    <m/>
    <m/>
    <m/>
    <m/>
    <m/>
    <s v="No"/>
    <n v="5"/>
    <m/>
    <m/>
    <x v="2"/>
    <d v="2022-09-06T10:11:21.000"/>
    <s v="RT @wcaomaha: This is amazing!! Ah.Maze.Zing. Letâ€™s see if we can raise $2,000 more before the day is over! #OmahaGives https://t.co/0ulo1bâ€¦"/>
    <m/>
    <m/>
    <x v="0"/>
    <m/>
    <s v="http://pbs.twimg.com/profile_images/1561693986590449668/1bORWfiR_normal.jpg"/>
    <x v="1"/>
    <d v="2022-09-06T00:00:00.000"/>
    <s v="10:11:21"/>
    <s v="https://twitter.com/#!/fabioliva10/status/1567093086085316619"/>
    <m/>
    <m/>
    <s v="1567093086085316619"/>
    <m/>
    <b v="0"/>
    <n v="0"/>
    <s v=""/>
    <b v="0"/>
    <s v="en"/>
    <m/>
    <s v=""/>
    <b v="0"/>
    <n v="2"/>
    <s v="999480717124997125"/>
    <s v="Twitter Web App"/>
    <b v="0"/>
    <s v="999480717124997125"/>
    <s v="Tweet"/>
    <n v="0"/>
    <n v="0"/>
    <m/>
    <m/>
    <m/>
    <m/>
    <m/>
    <m/>
    <m/>
    <m/>
    <n v="1"/>
    <s v="2"/>
    <s v="2"/>
  </r>
  <r>
    <s v="edrightscounsel"/>
    <s v="givingtuesday"/>
    <m/>
    <m/>
    <m/>
    <m/>
    <m/>
    <m/>
    <m/>
    <m/>
    <s v="No"/>
    <n v="6"/>
    <m/>
    <m/>
    <x v="3"/>
    <d v="2022-10-04T15:24:10.000"/>
    <s v="[#7]ðŸ’™ We appreciate your support in helping families like Liza and John! Donate here: https://t.co/O99RlM5dCL _x000a__x000a_#givingtuesday #omahagives #omahanonprofit @GivingTuesday https://t.co/YIcM7y6b1M"/>
    <s v="https://educationrightscounsel.networkforgood.com/projects/171483-giving-tuesday-end-of-year-campaign-2022"/>
    <s v="networkforgood.com"/>
    <x v="1"/>
    <s v="https://pbs.twimg.com/media/FePC2ngXwAEdc-R.jpg"/>
    <s v="https://pbs.twimg.com/media/FePC2ngXwAEdc-R.jpg"/>
    <x v="2"/>
    <d v="2022-10-04T00:00:00.000"/>
    <s v="15:24:10"/>
    <s v="https://twitter.com/#!/edrightscounsel/status/1577318667146207233"/>
    <m/>
    <m/>
    <s v="1577318667146207233"/>
    <s v="1577318405933260805"/>
    <b v="0"/>
    <n v="0"/>
    <s v="1203430010989809666"/>
    <b v="0"/>
    <s v="en"/>
    <m/>
    <s v=""/>
    <b v="0"/>
    <n v="0"/>
    <s v=""/>
    <s v="Twitter Web App"/>
    <b v="0"/>
    <s v="1577318405933260805"/>
    <s v="Tweet"/>
    <n v="0"/>
    <n v="0"/>
    <m/>
    <m/>
    <m/>
    <m/>
    <m/>
    <m/>
    <m/>
    <m/>
    <n v="1"/>
    <s v="1"/>
    <s v="1"/>
  </r>
  <r>
    <s v="edrightscounsel"/>
    <s v="edrightscounsel"/>
    <m/>
    <m/>
    <m/>
    <m/>
    <m/>
    <m/>
    <m/>
    <m/>
    <s v="No"/>
    <n v="7"/>
    <m/>
    <m/>
    <x v="0"/>
    <d v="2022-10-03T21:38:19.000"/>
    <s v="Every week until Giving Tuesday (Nov 29), we are going to be sharing stories of our work and our commitment to make sure all children stay in school and thrive. Stay tuned for our first story tomorrow! We appreciate your support! https://t.co/O99RlMmOuj #givingtuesday #omahagives https://t.co/9ZNs3DrFfs"/>
    <s v="https://educationrightscounsel.networkforgood.com/projects/171483-giving-tuesday-end-of-year-campaign-2022"/>
    <s v="networkforgood.com"/>
    <x v="2"/>
    <s v="https://pbs.twimg.com/media/FeLOuu8XEAwEwCh.jpg"/>
    <s v="https://pbs.twimg.com/media/FeLOuu8XEAwEwCh.jpg"/>
    <x v="3"/>
    <d v="2022-10-03T00:00:00.000"/>
    <s v="21:38:19"/>
    <s v="https://twitter.com/#!/edrightscounsel/status/1577050437009620992"/>
    <m/>
    <m/>
    <s v="1577050437009620992"/>
    <m/>
    <b v="0"/>
    <n v="1"/>
    <s v=""/>
    <b v="0"/>
    <s v="en"/>
    <m/>
    <s v=""/>
    <b v="0"/>
    <n v="0"/>
    <s v=""/>
    <s v="Twitter Web App"/>
    <b v="0"/>
    <s v="1577050437009620992"/>
    <s v="Tweet"/>
    <n v="0"/>
    <n v="0"/>
    <m/>
    <m/>
    <m/>
    <m/>
    <m/>
    <m/>
    <m/>
    <m/>
    <n v="1"/>
    <s v="1"/>
    <s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0"/>
        <item x="1"/>
        <item x="3"/>
        <item x="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4">
        <i x="3" s="1"/>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3">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7" totalsRowShown="0" headerRowDxfId="220" dataDxfId="219">
  <autoFilter ref="A2:BE7"/>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76">
      <calculatedColumnFormula>REPLACE(INDEX(GroupVertices[Group], MATCH(Edges[[#This Row],[Vertex 1]],GroupVertices[Vertex],0)),1,1,"")</calculatedColumnFormula>
    </tableColumn>
    <tableColumn id="57" name="Vertex 2 Group" dataDxfId="75">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87">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6" totalsRowShown="0" headerRowDxfId="165" dataDxfId="164">
  <autoFilter ref="A2:BA6"/>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78"/>
    <tableColumn id="53" name="Vertex Group" dataDxfId="77">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4" totalsRowShown="0" headerRowDxfId="112">
  <autoFilter ref="A2:Y4"/>
  <tableColumns count="25">
    <tableColumn id="1" name="Group" dataDxfId="85"/>
    <tableColumn id="2" name="Vertex Color" dataDxfId="84"/>
    <tableColumn id="3" name="Vertex Shape" dataDxfId="82"/>
    <tableColumn id="22" name="Visibility" dataDxfId="83"/>
    <tableColumn id="4" name="Collapsed?"/>
    <tableColumn id="18" name="Label" dataDxfId="111"/>
    <tableColumn id="20" name="Collapsed X"/>
    <tableColumn id="21" name="Collapsed Y"/>
    <tableColumn id="6" name="ID" dataDxfId="110"/>
    <tableColumn id="19" name="Collapsed Properties" dataDxfId="74"/>
    <tableColumn id="5" name="Vertices" dataDxfId="73"/>
    <tableColumn id="7" name="Unique Edges" dataDxfId="72"/>
    <tableColumn id="8" name="Edges With Duplicates" dataDxfId="71"/>
    <tableColumn id="9" name="Total Edges" dataDxfId="70"/>
    <tableColumn id="10" name="Self-Loops" dataDxfId="69"/>
    <tableColumn id="24" name="Reciprocated Vertex Pair Ratio" dataDxfId="68"/>
    <tableColumn id="25" name="Reciprocated Edge Ratio" dataDxfId="67"/>
    <tableColumn id="11" name="Connected Components" dataDxfId="66"/>
    <tableColumn id="12" name="Single-Vertex Connected Components" dataDxfId="65"/>
    <tableColumn id="13" name="Maximum Vertices in a Connected Component" dataDxfId="64"/>
    <tableColumn id="14" name="Maximum Edges in a Connected Component" dataDxfId="63"/>
    <tableColumn id="15" name="Maximum Geodesic Distance (Diameter)" dataDxfId="62"/>
    <tableColumn id="16" name="Average Geodesic Distance" dataDxfId="61"/>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 totalsRowShown="0" headerRowDxfId="109" dataDxfId="108">
  <autoFilter ref="A1:C5"/>
  <tableColumns count="3">
    <tableColumn id="1" name="Group" dataDxfId="81"/>
    <tableColumn id="2" name="Vertex" dataDxfId="80"/>
    <tableColumn id="3" name="Vertex ID" dataDxfId="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7" totalsRowShown="0">
  <autoFilter ref="A1:B57"/>
  <tableColumns count="2">
    <tableColumn id="1" name="Graph Metric" dataDxfId="107"/>
    <tableColumn id="2" name="Value" dataDxfId="10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05"/>
    <tableColumn id="2" name="Degree Frequency" dataDxfId="104">
      <calculatedColumnFormula>COUNTIF(Vertices[Degree], "&gt;= " &amp; D2) - COUNTIF(Vertices[Degree], "&gt;=" &amp; D3)</calculatedColumnFormula>
    </tableColumn>
    <tableColumn id="3" name="In-Degree Bin" dataDxfId="103"/>
    <tableColumn id="4" name="In-Degree Frequency" dataDxfId="102">
      <calculatedColumnFormula>COUNTIF(Vertices[In-Degree], "&gt;= " &amp; F2) - COUNTIF(Vertices[In-Degree], "&gt;=" &amp; F3)</calculatedColumnFormula>
    </tableColumn>
    <tableColumn id="5" name="Out-Degree Bin" dataDxfId="101"/>
    <tableColumn id="6" name="Out-Degree Frequency" dataDxfId="100">
      <calculatedColumnFormula>COUNTIF(Vertices[Out-Degree], "&gt;= " &amp; H2) - COUNTIF(Vertices[Out-Degree], "&gt;=" &amp; H3)</calculatedColumnFormula>
    </tableColumn>
    <tableColumn id="7" name="Betweenness Centrality Bin" dataDxfId="99"/>
    <tableColumn id="8" name="Betweenness Centrality Frequency" dataDxfId="98">
      <calculatedColumnFormula>COUNTIF(Vertices[Betweenness Centrality], "&gt;= " &amp; J2) - COUNTIF(Vertices[Betweenness Centrality], "&gt;=" &amp; J3)</calculatedColumnFormula>
    </tableColumn>
    <tableColumn id="9" name="Closeness Centrality Bin" dataDxfId="97"/>
    <tableColumn id="10" name="Closeness Centrality Frequency" dataDxfId="96">
      <calculatedColumnFormula>COUNTIF(Vertices[Closeness Centrality], "&gt;= " &amp; L2) - COUNTIF(Vertices[Closeness Centrality], "&gt;=" &amp; L3)</calculatedColumnFormula>
    </tableColumn>
    <tableColumn id="11" name="Eigenvector Centrality Bin" dataDxfId="95"/>
    <tableColumn id="12" name="Eigenvector Centrality Frequency" dataDxfId="94">
      <calculatedColumnFormula>COUNTIF(Vertices[Eigenvector Centrality], "&gt;= " &amp; N2) - COUNTIF(Vertices[Eigenvector Centrality], "&gt;=" &amp; N3)</calculatedColumnFormula>
    </tableColumn>
    <tableColumn id="18" name="PageRank Bin" dataDxfId="93"/>
    <tableColumn id="17" name="PageRank Frequency" dataDxfId="92">
      <calculatedColumnFormula>COUNTIF(Vertices[Eigenvector Centrality], "&gt;= " &amp; P2) - COUNTIF(Vertices[Eigenvector Centrality], "&gt;=" &amp; P3)</calculatedColumnFormula>
    </tableColumn>
    <tableColumn id="13" name="Clustering Coefficient Bin" dataDxfId="91"/>
    <tableColumn id="14" name="Clustering Coefficient Frequency" dataDxfId="90">
      <calculatedColumnFormula>COUNTIF(Vertices[Clustering Coefficient], "&gt;= " &amp; R2) - COUNTIF(Vertices[Clustering Coefficient], "&gt;=" &amp; R3)</calculatedColumnFormula>
    </tableColumn>
    <tableColumn id="15" name="Dynamic Filter Bin" dataDxfId="89"/>
    <tableColumn id="16" name="Dynamic Filter Frequency" dataDxfId="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7" totalsRowShown="0" headerRowDxfId="57" dataDxfId="56">
  <autoFilter ref="A2:BE7"/>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8" t="s">
        <v>39</v>
      </c>
      <c r="D1" s="19"/>
      <c r="E1" s="19"/>
      <c r="F1" s="19"/>
      <c r="G1" s="18"/>
      <c r="H1" s="16" t="s">
        <v>43</v>
      </c>
      <c r="I1" s="66"/>
      <c r="J1" s="66"/>
      <c r="K1" s="35" t="s">
        <v>42</v>
      </c>
      <c r="L1" s="20" t="s">
        <v>40</v>
      </c>
      <c r="M1" s="20"/>
      <c r="N1" s="17"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320</v>
      </c>
      <c r="BD2" s="13" t="s">
        <v>326</v>
      </c>
      <c r="BE2" s="13" t="s">
        <v>327</v>
      </c>
    </row>
    <row r="3" spans="1:57" ht="15" customHeight="1">
      <c r="A3" s="83" t="s">
        <v>216</v>
      </c>
      <c r="B3" s="83" t="s">
        <v>216</v>
      </c>
      <c r="C3" s="54" t="s">
        <v>333</v>
      </c>
      <c r="D3" s="55">
        <v>3</v>
      </c>
      <c r="E3" s="67" t="s">
        <v>132</v>
      </c>
      <c r="F3" s="56">
        <v>35</v>
      </c>
      <c r="G3" s="54"/>
      <c r="H3" s="58"/>
      <c r="I3" s="57"/>
      <c r="J3" s="57"/>
      <c r="K3" s="36" t="s">
        <v>65</v>
      </c>
      <c r="L3" s="63">
        <v>3</v>
      </c>
      <c r="M3" s="63"/>
      <c r="N3" s="64"/>
      <c r="O3" s="84" t="s">
        <v>176</v>
      </c>
      <c r="P3" s="86">
        <v>43244.1128125</v>
      </c>
      <c r="Q3" s="84" t="s">
        <v>224</v>
      </c>
      <c r="R3" s="84"/>
      <c r="S3" s="84"/>
      <c r="T3" s="89" t="s">
        <v>226</v>
      </c>
      <c r="U3" s="91" t="str">
        <f>HYPERLINK("https://pbs.twimg.com/media/Dd7eajXUwAE8b-v.jpg")</f>
        <v>https://pbs.twimg.com/media/Dd7eajXUwAE8b-v.jpg</v>
      </c>
      <c r="V3" s="91" t="str">
        <f>HYPERLINK("https://pbs.twimg.com/media/Dd7eajXUwAE8b-v.jpg")</f>
        <v>https://pbs.twimg.com/media/Dd7eajXUwAE8b-v.jpg</v>
      </c>
      <c r="W3" s="86">
        <v>43244.1128125</v>
      </c>
      <c r="X3" s="92">
        <v>43244</v>
      </c>
      <c r="Y3" s="89" t="s">
        <v>232</v>
      </c>
      <c r="Z3" s="91" t="str">
        <f>HYPERLINK("https://twitter.com/#!/wcaomaha/status/999480717124997125")</f>
        <v>https://twitter.com/#!/wcaomaha/status/999480717124997125</v>
      </c>
      <c r="AA3" s="84"/>
      <c r="AB3" s="84"/>
      <c r="AC3" s="89" t="s">
        <v>236</v>
      </c>
      <c r="AD3" s="84"/>
      <c r="AE3" s="84" t="b">
        <v>0</v>
      </c>
      <c r="AF3" s="84">
        <v>2</v>
      </c>
      <c r="AG3" s="89" t="s">
        <v>238</v>
      </c>
      <c r="AH3" s="84" t="b">
        <v>0</v>
      </c>
      <c r="AI3" s="84" t="s">
        <v>240</v>
      </c>
      <c r="AJ3" s="84"/>
      <c r="AK3" s="89" t="s">
        <v>238</v>
      </c>
      <c r="AL3" s="84" t="b">
        <v>0</v>
      </c>
      <c r="AM3" s="84">
        <v>2</v>
      </c>
      <c r="AN3" s="89" t="s">
        <v>238</v>
      </c>
      <c r="AO3" s="89" t="s">
        <v>242</v>
      </c>
      <c r="AP3" s="84" t="b">
        <v>0</v>
      </c>
      <c r="AQ3" s="89" t="s">
        <v>236</v>
      </c>
      <c r="AR3" s="84" t="s">
        <v>219</v>
      </c>
      <c r="AS3" s="84">
        <v>0</v>
      </c>
      <c r="AT3" s="84">
        <v>0</v>
      </c>
      <c r="AU3" s="84"/>
      <c r="AV3" s="84"/>
      <c r="AW3" s="84"/>
      <c r="AX3" s="84"/>
      <c r="AY3" s="84"/>
      <c r="AZ3" s="84"/>
      <c r="BA3" s="84"/>
      <c r="BB3" s="84"/>
      <c r="BC3">
        <v>1</v>
      </c>
      <c r="BD3" s="84" t="str">
        <f>REPLACE(INDEX(GroupVertices[Group],MATCH(Edges[[#This Row],[Vertex 1]],GroupVertices[Vertex],0)),1,1,"")</f>
        <v>2</v>
      </c>
      <c r="BE3" s="84" t="str">
        <f>REPLACE(INDEX(GroupVertices[Group],MATCH(Edges[[#This Row],[Vertex 2]],GroupVertices[Vertex],0)),1,1,"")</f>
        <v>2</v>
      </c>
    </row>
    <row r="4" spans="1:57" ht="15" customHeight="1">
      <c r="A4" s="83" t="s">
        <v>214</v>
      </c>
      <c r="B4" s="83" t="s">
        <v>216</v>
      </c>
      <c r="C4" s="54" t="s">
        <v>333</v>
      </c>
      <c r="D4" s="55">
        <v>3</v>
      </c>
      <c r="E4" s="67" t="s">
        <v>132</v>
      </c>
      <c r="F4" s="56">
        <v>35</v>
      </c>
      <c r="G4" s="54"/>
      <c r="H4" s="58"/>
      <c r="I4" s="57"/>
      <c r="J4" s="57"/>
      <c r="K4" s="36" t="s">
        <v>65</v>
      </c>
      <c r="L4" s="82">
        <v>4</v>
      </c>
      <c r="M4" s="82"/>
      <c r="N4" s="64"/>
      <c r="O4" s="85" t="s">
        <v>218</v>
      </c>
      <c r="P4" s="87">
        <v>44810.42454861111</v>
      </c>
      <c r="Q4" s="85" t="s">
        <v>221</v>
      </c>
      <c r="R4" s="85"/>
      <c r="S4" s="85"/>
      <c r="T4" s="90" t="s">
        <v>226</v>
      </c>
      <c r="U4" s="85"/>
      <c r="V4" s="88" t="str">
        <f>HYPERLINK("http://pbs.twimg.com/profile_images/1561693986590449668/1bORWfiR_normal.jpg")</f>
        <v>http://pbs.twimg.com/profile_images/1561693986590449668/1bORWfiR_normal.jpg</v>
      </c>
      <c r="W4" s="87">
        <v>44810.42454861111</v>
      </c>
      <c r="X4" s="93">
        <v>44810</v>
      </c>
      <c r="Y4" s="90" t="s">
        <v>229</v>
      </c>
      <c r="Z4" s="88" t="str">
        <f>HYPERLINK("https://twitter.com/#!/fabioliva10/status/1567093086085316619")</f>
        <v>https://twitter.com/#!/fabioliva10/status/1567093086085316619</v>
      </c>
      <c r="AA4" s="85"/>
      <c r="AB4" s="85"/>
      <c r="AC4" s="90" t="s">
        <v>233</v>
      </c>
      <c r="AD4" s="85"/>
      <c r="AE4" s="85" t="b">
        <v>0</v>
      </c>
      <c r="AF4" s="85">
        <v>0</v>
      </c>
      <c r="AG4" s="90" t="s">
        <v>238</v>
      </c>
      <c r="AH4" s="85" t="b">
        <v>0</v>
      </c>
      <c r="AI4" s="85" t="s">
        <v>240</v>
      </c>
      <c r="AJ4" s="85"/>
      <c r="AK4" s="90" t="s">
        <v>238</v>
      </c>
      <c r="AL4" s="85" t="b">
        <v>0</v>
      </c>
      <c r="AM4" s="85">
        <v>2</v>
      </c>
      <c r="AN4" s="90" t="s">
        <v>236</v>
      </c>
      <c r="AO4" s="90" t="s">
        <v>241</v>
      </c>
      <c r="AP4" s="85" t="b">
        <v>0</v>
      </c>
      <c r="AQ4" s="90" t="s">
        <v>236</v>
      </c>
      <c r="AR4" s="85" t="s">
        <v>176</v>
      </c>
      <c r="AS4" s="85">
        <v>0</v>
      </c>
      <c r="AT4" s="85">
        <v>0</v>
      </c>
      <c r="AU4" s="85"/>
      <c r="AV4" s="85"/>
      <c r="AW4" s="85"/>
      <c r="AX4" s="85"/>
      <c r="AY4" s="85"/>
      <c r="AZ4" s="85"/>
      <c r="BA4" s="85"/>
      <c r="BB4" s="85"/>
      <c r="BC4">
        <v>1</v>
      </c>
      <c r="BD4" s="84" t="str">
        <f>REPLACE(INDEX(GroupVertices[Group],MATCH(Edges[[#This Row],[Vertex 1]],GroupVertices[Vertex],0)),1,1,"")</f>
        <v>2</v>
      </c>
      <c r="BE4" s="84" t="str">
        <f>REPLACE(INDEX(GroupVertices[Group],MATCH(Edges[[#This Row],[Vertex 2]],GroupVertices[Vertex],0)),1,1,"")</f>
        <v>2</v>
      </c>
    </row>
    <row r="5" spans="1:57" ht="45">
      <c r="A5" s="83" t="s">
        <v>214</v>
      </c>
      <c r="B5" s="83" t="s">
        <v>216</v>
      </c>
      <c r="C5" s="54" t="s">
        <v>333</v>
      </c>
      <c r="D5" s="55">
        <v>3</v>
      </c>
      <c r="E5" s="67" t="s">
        <v>132</v>
      </c>
      <c r="F5" s="56">
        <v>35</v>
      </c>
      <c r="G5" s="54"/>
      <c r="H5" s="58"/>
      <c r="I5" s="57"/>
      <c r="J5" s="57"/>
      <c r="K5" s="36" t="s">
        <v>65</v>
      </c>
      <c r="L5" s="82">
        <v>5</v>
      </c>
      <c r="M5" s="82"/>
      <c r="N5" s="64"/>
      <c r="O5" s="85" t="s">
        <v>219</v>
      </c>
      <c r="P5" s="87">
        <v>44810.42454861111</v>
      </c>
      <c r="Q5" s="85" t="s">
        <v>221</v>
      </c>
      <c r="R5" s="85"/>
      <c r="S5" s="85"/>
      <c r="T5" s="90" t="s">
        <v>226</v>
      </c>
      <c r="U5" s="85"/>
      <c r="V5" s="88" t="str">
        <f>HYPERLINK("http://pbs.twimg.com/profile_images/1561693986590449668/1bORWfiR_normal.jpg")</f>
        <v>http://pbs.twimg.com/profile_images/1561693986590449668/1bORWfiR_normal.jpg</v>
      </c>
      <c r="W5" s="87">
        <v>44810.42454861111</v>
      </c>
      <c r="X5" s="93">
        <v>44810</v>
      </c>
      <c r="Y5" s="90" t="s">
        <v>229</v>
      </c>
      <c r="Z5" s="88" t="str">
        <f>HYPERLINK("https://twitter.com/#!/fabioliva10/status/1567093086085316619")</f>
        <v>https://twitter.com/#!/fabioliva10/status/1567093086085316619</v>
      </c>
      <c r="AA5" s="85"/>
      <c r="AB5" s="85"/>
      <c r="AC5" s="90" t="s">
        <v>233</v>
      </c>
      <c r="AD5" s="85"/>
      <c r="AE5" s="85" t="b">
        <v>0</v>
      </c>
      <c r="AF5" s="85">
        <v>0</v>
      </c>
      <c r="AG5" s="90" t="s">
        <v>238</v>
      </c>
      <c r="AH5" s="85" t="b">
        <v>0</v>
      </c>
      <c r="AI5" s="85" t="s">
        <v>240</v>
      </c>
      <c r="AJ5" s="85"/>
      <c r="AK5" s="90" t="s">
        <v>238</v>
      </c>
      <c r="AL5" s="85" t="b">
        <v>0</v>
      </c>
      <c r="AM5" s="85">
        <v>2</v>
      </c>
      <c r="AN5" s="90" t="s">
        <v>236</v>
      </c>
      <c r="AO5" s="90" t="s">
        <v>241</v>
      </c>
      <c r="AP5" s="85" t="b">
        <v>0</v>
      </c>
      <c r="AQ5" s="90" t="s">
        <v>236</v>
      </c>
      <c r="AR5" s="85" t="s">
        <v>176</v>
      </c>
      <c r="AS5" s="85">
        <v>0</v>
      </c>
      <c r="AT5" s="85">
        <v>0</v>
      </c>
      <c r="AU5" s="85"/>
      <c r="AV5" s="85"/>
      <c r="AW5" s="85"/>
      <c r="AX5" s="85"/>
      <c r="AY5" s="85"/>
      <c r="AZ5" s="85"/>
      <c r="BA5" s="85"/>
      <c r="BB5" s="85"/>
      <c r="BC5">
        <v>1</v>
      </c>
      <c r="BD5" s="84" t="str">
        <f>REPLACE(INDEX(GroupVertices[Group],MATCH(Edges[[#This Row],[Vertex 1]],GroupVertices[Vertex],0)),1,1,"")</f>
        <v>2</v>
      </c>
      <c r="BE5" s="84" t="str">
        <f>REPLACE(INDEX(GroupVertices[Group],MATCH(Edges[[#This Row],[Vertex 2]],GroupVertices[Vertex],0)),1,1,"")</f>
        <v>2</v>
      </c>
    </row>
    <row r="6" spans="1:57" ht="45">
      <c r="A6" s="83" t="s">
        <v>215</v>
      </c>
      <c r="B6" s="83" t="s">
        <v>217</v>
      </c>
      <c r="C6" s="54" t="s">
        <v>333</v>
      </c>
      <c r="D6" s="55">
        <v>3</v>
      </c>
      <c r="E6" s="67" t="s">
        <v>132</v>
      </c>
      <c r="F6" s="56">
        <v>35</v>
      </c>
      <c r="G6" s="54"/>
      <c r="H6" s="58"/>
      <c r="I6" s="57"/>
      <c r="J6" s="57"/>
      <c r="K6" s="36" t="s">
        <v>65</v>
      </c>
      <c r="L6" s="82">
        <v>6</v>
      </c>
      <c r="M6" s="82"/>
      <c r="N6" s="64"/>
      <c r="O6" s="85" t="s">
        <v>220</v>
      </c>
      <c r="P6" s="87">
        <v>44838.64178240741</v>
      </c>
      <c r="Q6" s="85" t="s">
        <v>222</v>
      </c>
      <c r="R6" s="88" t="str">
        <f>HYPERLINK("https://educationrightscounsel.networkforgood.com/projects/171483-giving-tuesday-end-of-year-campaign-2022")</f>
        <v>https://educationrightscounsel.networkforgood.com/projects/171483-giving-tuesday-end-of-year-campaign-2022</v>
      </c>
      <c r="S6" s="85" t="s">
        <v>225</v>
      </c>
      <c r="T6" s="90" t="s">
        <v>227</v>
      </c>
      <c r="U6" s="88" t="str">
        <f>HYPERLINK("https://pbs.twimg.com/media/FePC2ngXwAEdc-R.jpg")</f>
        <v>https://pbs.twimg.com/media/FePC2ngXwAEdc-R.jpg</v>
      </c>
      <c r="V6" s="88" t="str">
        <f>HYPERLINK("https://pbs.twimg.com/media/FePC2ngXwAEdc-R.jpg")</f>
        <v>https://pbs.twimg.com/media/FePC2ngXwAEdc-R.jpg</v>
      </c>
      <c r="W6" s="87">
        <v>44838.64178240741</v>
      </c>
      <c r="X6" s="93">
        <v>44838</v>
      </c>
      <c r="Y6" s="90" t="s">
        <v>230</v>
      </c>
      <c r="Z6" s="88" t="str">
        <f>HYPERLINK("https://twitter.com/#!/edrightscounsel/status/1577318667146207233")</f>
        <v>https://twitter.com/#!/edrightscounsel/status/1577318667146207233</v>
      </c>
      <c r="AA6" s="85"/>
      <c r="AB6" s="85"/>
      <c r="AC6" s="90" t="s">
        <v>234</v>
      </c>
      <c r="AD6" s="90" t="s">
        <v>237</v>
      </c>
      <c r="AE6" s="85" t="b">
        <v>0</v>
      </c>
      <c r="AF6" s="85">
        <v>0</v>
      </c>
      <c r="AG6" s="90" t="s">
        <v>239</v>
      </c>
      <c r="AH6" s="85" t="b">
        <v>0</v>
      </c>
      <c r="AI6" s="85" t="s">
        <v>240</v>
      </c>
      <c r="AJ6" s="85"/>
      <c r="AK6" s="90" t="s">
        <v>238</v>
      </c>
      <c r="AL6" s="85" t="b">
        <v>0</v>
      </c>
      <c r="AM6" s="85">
        <v>0</v>
      </c>
      <c r="AN6" s="90" t="s">
        <v>238</v>
      </c>
      <c r="AO6" s="90" t="s">
        <v>241</v>
      </c>
      <c r="AP6" s="85" t="b">
        <v>0</v>
      </c>
      <c r="AQ6" s="90" t="s">
        <v>237</v>
      </c>
      <c r="AR6" s="85" t="s">
        <v>176</v>
      </c>
      <c r="AS6" s="85">
        <v>0</v>
      </c>
      <c r="AT6" s="85">
        <v>0</v>
      </c>
      <c r="AU6" s="85"/>
      <c r="AV6" s="85"/>
      <c r="AW6" s="85"/>
      <c r="AX6" s="85"/>
      <c r="AY6" s="85"/>
      <c r="AZ6" s="85"/>
      <c r="BA6" s="85"/>
      <c r="BB6" s="85"/>
      <c r="BC6">
        <v>1</v>
      </c>
      <c r="BD6" s="84" t="str">
        <f>REPLACE(INDEX(GroupVertices[Group],MATCH(Edges[[#This Row],[Vertex 1]],GroupVertices[Vertex],0)),1,1,"")</f>
        <v>1</v>
      </c>
      <c r="BE6" s="84" t="str">
        <f>REPLACE(INDEX(GroupVertices[Group],MATCH(Edges[[#This Row],[Vertex 2]],GroupVertices[Vertex],0)),1,1,"")</f>
        <v>1</v>
      </c>
    </row>
    <row r="7" spans="1:57" ht="45">
      <c r="A7" s="83" t="s">
        <v>215</v>
      </c>
      <c r="B7" s="83" t="s">
        <v>215</v>
      </c>
      <c r="C7" s="54" t="s">
        <v>333</v>
      </c>
      <c r="D7" s="55">
        <v>3</v>
      </c>
      <c r="E7" s="67" t="s">
        <v>132</v>
      </c>
      <c r="F7" s="56">
        <v>35</v>
      </c>
      <c r="G7" s="54"/>
      <c r="H7" s="58"/>
      <c r="I7" s="57"/>
      <c r="J7" s="57"/>
      <c r="K7" s="36" t="s">
        <v>65</v>
      </c>
      <c r="L7" s="82">
        <v>7</v>
      </c>
      <c r="M7" s="82"/>
      <c r="N7" s="64"/>
      <c r="O7" s="85" t="s">
        <v>176</v>
      </c>
      <c r="P7" s="87">
        <v>44837.901608796295</v>
      </c>
      <c r="Q7" s="85" t="s">
        <v>223</v>
      </c>
      <c r="R7" s="88" t="str">
        <f>HYPERLINK("https://educationrightscounsel.networkforgood.com/projects/171483-giving-tuesday-end-of-year-campaign-2022")</f>
        <v>https://educationrightscounsel.networkforgood.com/projects/171483-giving-tuesday-end-of-year-campaign-2022</v>
      </c>
      <c r="S7" s="85" t="s">
        <v>225</v>
      </c>
      <c r="T7" s="90" t="s">
        <v>228</v>
      </c>
      <c r="U7" s="88" t="str">
        <f>HYPERLINK("https://pbs.twimg.com/media/FeLOuu8XEAwEwCh.jpg")</f>
        <v>https://pbs.twimg.com/media/FeLOuu8XEAwEwCh.jpg</v>
      </c>
      <c r="V7" s="88" t="str">
        <f>HYPERLINK("https://pbs.twimg.com/media/FeLOuu8XEAwEwCh.jpg")</f>
        <v>https://pbs.twimg.com/media/FeLOuu8XEAwEwCh.jpg</v>
      </c>
      <c r="W7" s="87">
        <v>44837.901608796295</v>
      </c>
      <c r="X7" s="93">
        <v>44837</v>
      </c>
      <c r="Y7" s="90" t="s">
        <v>231</v>
      </c>
      <c r="Z7" s="88" t="str">
        <f>HYPERLINK("https://twitter.com/#!/edrightscounsel/status/1577050437009620992")</f>
        <v>https://twitter.com/#!/edrightscounsel/status/1577050437009620992</v>
      </c>
      <c r="AA7" s="85"/>
      <c r="AB7" s="85"/>
      <c r="AC7" s="90" t="s">
        <v>235</v>
      </c>
      <c r="AD7" s="85"/>
      <c r="AE7" s="85" t="b">
        <v>0</v>
      </c>
      <c r="AF7" s="85">
        <v>1</v>
      </c>
      <c r="AG7" s="90" t="s">
        <v>238</v>
      </c>
      <c r="AH7" s="85" t="b">
        <v>0</v>
      </c>
      <c r="AI7" s="85" t="s">
        <v>240</v>
      </c>
      <c r="AJ7" s="85"/>
      <c r="AK7" s="90" t="s">
        <v>238</v>
      </c>
      <c r="AL7" s="85" t="b">
        <v>0</v>
      </c>
      <c r="AM7" s="85">
        <v>0</v>
      </c>
      <c r="AN7" s="90" t="s">
        <v>238</v>
      </c>
      <c r="AO7" s="90" t="s">
        <v>241</v>
      </c>
      <c r="AP7" s="85" t="b">
        <v>0</v>
      </c>
      <c r="AQ7" s="90" t="s">
        <v>235</v>
      </c>
      <c r="AR7" s="85" t="s">
        <v>176</v>
      </c>
      <c r="AS7" s="85">
        <v>0</v>
      </c>
      <c r="AT7" s="85">
        <v>0</v>
      </c>
      <c r="AU7" s="85"/>
      <c r="AV7" s="85"/>
      <c r="AW7" s="85"/>
      <c r="AX7" s="85"/>
      <c r="AY7" s="85"/>
      <c r="AZ7" s="85"/>
      <c r="BA7" s="85"/>
      <c r="BB7" s="85"/>
      <c r="BC7">
        <v>1</v>
      </c>
      <c r="BD7" s="84" t="str">
        <f>REPLACE(INDEX(GroupVertices[Group],MATCH(Edges[[#This Row],[Vertex 1]],GroupVertices[Vertex],0)),1,1,"")</f>
        <v>1</v>
      </c>
      <c r="BE7" s="84" t="str">
        <f>REPLACE(INDEX(GroupVertices[Group],MATCH(Edges[[#This Row],[Vertex 2]],GroupVertices[Vertex],0)),1,1,"")</f>
        <v>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ErrorMessage="1" sqref="N2:N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Color" prompt="To select an optional edge color, right-click and select Select Color on the right-click menu." sqref="C3:C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Opacity" prompt="Enter an optional edge opacity between 0 (transparent) and 100 (opaque)." errorTitle="Invalid Edge Opacity" error="The optional edge opacity must be a whole number between 0 and 10." sqref="F3:F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showErrorMessage="1" promptTitle="Vertex 1 Name" prompt="Enter the name of the edge's first vertex." sqref="A3:A7"/>
    <dataValidation allowBlank="1" showInputMessage="1" showErrorMessage="1" promptTitle="Vertex 2 Name" prompt="Enter the name of the edge's second vertex." sqref="B3:B7"/>
    <dataValidation allowBlank="1" showInputMessage="1" showErrorMessage="1" promptTitle="Edge Label" prompt="Enter an optional edge label." errorTitle="Invalid Edge Visibility" error="You have entered an unrecognized edge visibility.  Try selecting from the drop-down list instead." sqref="H3:H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243</v>
      </c>
      <c r="AE2" s="13" t="s">
        <v>244</v>
      </c>
      <c r="AF2" s="13" t="s">
        <v>245</v>
      </c>
      <c r="AG2" s="13" t="s">
        <v>246</v>
      </c>
      <c r="AH2" s="13" t="s">
        <v>247</v>
      </c>
      <c r="AI2" s="13" t="s">
        <v>248</v>
      </c>
      <c r="AJ2" s="13" t="s">
        <v>249</v>
      </c>
      <c r="AK2" s="13" t="s">
        <v>250</v>
      </c>
      <c r="AL2" s="13" t="s">
        <v>251</v>
      </c>
      <c r="AM2" s="13" t="s">
        <v>252</v>
      </c>
      <c r="AN2" s="13" t="s">
        <v>253</v>
      </c>
      <c r="AO2" s="13" t="s">
        <v>254</v>
      </c>
      <c r="AP2" s="13" t="s">
        <v>255</v>
      </c>
      <c r="AQ2" s="13" t="s">
        <v>256</v>
      </c>
      <c r="AR2" s="13" t="s">
        <v>257</v>
      </c>
      <c r="AS2" s="13" t="s">
        <v>258</v>
      </c>
      <c r="AT2" s="13" t="s">
        <v>194</v>
      </c>
      <c r="AU2" s="13" t="s">
        <v>259</v>
      </c>
      <c r="AV2" s="13" t="s">
        <v>260</v>
      </c>
      <c r="AW2" s="13" t="s">
        <v>261</v>
      </c>
      <c r="AX2" s="13" t="s">
        <v>262</v>
      </c>
      <c r="AY2" s="13" t="s">
        <v>263</v>
      </c>
      <c r="AZ2" s="13" t="s">
        <v>264</v>
      </c>
      <c r="BA2" s="13" t="s">
        <v>325</v>
      </c>
      <c r="BB2" s="3"/>
      <c r="BC2" s="3"/>
    </row>
    <row r="3" spans="1:55" ht="15" customHeight="1">
      <c r="A3" s="50" t="s">
        <v>216</v>
      </c>
      <c r="B3" s="54"/>
      <c r="C3" s="54"/>
      <c r="D3" s="55"/>
      <c r="E3" s="56"/>
      <c r="F3" s="115" t="str">
        <f>HYPERLINK("http://pbs.twimg.com/profile_images/1280252871217418247/cFVZdvs1_normal.jpg")</f>
        <v>http://pbs.twimg.com/profile_images/1280252871217418247/cFVZdvs1_normal.jpg</v>
      </c>
      <c r="G3" s="54"/>
      <c r="H3" s="58" t="s">
        <v>216</v>
      </c>
      <c r="I3" s="57"/>
      <c r="J3" s="57"/>
      <c r="K3" s="117" t="s">
        <v>282</v>
      </c>
      <c r="L3" s="60"/>
      <c r="M3" s="61">
        <v>2531.6123046875</v>
      </c>
      <c r="N3" s="61">
        <v>2581.978515625</v>
      </c>
      <c r="O3" s="59"/>
      <c r="P3" s="62"/>
      <c r="Q3" s="62"/>
      <c r="R3" s="51"/>
      <c r="S3" s="51"/>
      <c r="T3" s="51"/>
      <c r="U3" s="51"/>
      <c r="V3" s="52"/>
      <c r="W3" s="52"/>
      <c r="X3" s="53"/>
      <c r="Y3" s="52"/>
      <c r="Z3" s="52"/>
      <c r="AA3" s="63">
        <v>3</v>
      </c>
      <c r="AB3" s="63"/>
      <c r="AC3" s="64"/>
      <c r="AD3" s="84" t="s">
        <v>216</v>
      </c>
      <c r="AE3" s="89" t="s">
        <v>270</v>
      </c>
      <c r="AF3" s="84">
        <v>325</v>
      </c>
      <c r="AG3" s="84">
        <v>1718</v>
      </c>
      <c r="AH3" s="84">
        <v>1961</v>
      </c>
      <c r="AI3" s="84">
        <v>965</v>
      </c>
      <c r="AJ3" s="84"/>
      <c r="AK3" s="84" t="s">
        <v>274</v>
      </c>
      <c r="AL3" s="84" t="s">
        <v>276</v>
      </c>
      <c r="AM3" s="91" t="str">
        <f>HYPERLINK("https://t.co/msrLY8dsgr")</f>
        <v>https://t.co/msrLY8dsgr</v>
      </c>
      <c r="AN3" s="84"/>
      <c r="AO3" s="86">
        <v>40619.783159722225</v>
      </c>
      <c r="AP3" s="91" t="str">
        <f>HYPERLINK("https://pbs.twimg.com/profile_banners/267885755/1614019350")</f>
        <v>https://pbs.twimg.com/profile_banners/267885755/1614019350</v>
      </c>
      <c r="AQ3" s="84" t="b">
        <v>0</v>
      </c>
      <c r="AR3" s="84" t="b">
        <v>0</v>
      </c>
      <c r="AS3" s="84" t="b">
        <v>1</v>
      </c>
      <c r="AT3" s="84"/>
      <c r="AU3" s="84">
        <v>27</v>
      </c>
      <c r="AV3" s="91" t="str">
        <f>HYPERLINK("http://abs.twimg.com/images/themes/theme1/bg.png")</f>
        <v>http://abs.twimg.com/images/themes/theme1/bg.png</v>
      </c>
      <c r="AW3" s="84" t="b">
        <v>0</v>
      </c>
      <c r="AX3" s="84" t="s">
        <v>278</v>
      </c>
      <c r="AY3" s="91" t="str">
        <f>HYPERLINK("https://twitter.com/wcaomaha")</f>
        <v>https://twitter.com/wcaomaha</v>
      </c>
      <c r="AZ3" s="84" t="s">
        <v>66</v>
      </c>
      <c r="BA3" s="84" t="str">
        <f>REPLACE(INDEX(GroupVertices[Group],MATCH(Vertices[[#This Row],[Vertex]],GroupVertices[Vertex],0)),1,1,"")</f>
        <v>2</v>
      </c>
      <c r="BB3" s="3"/>
      <c r="BC3" s="3"/>
    </row>
    <row r="4" spans="1:58" ht="15">
      <c r="A4" s="14" t="s">
        <v>214</v>
      </c>
      <c r="B4" s="15"/>
      <c r="C4" s="15"/>
      <c r="D4" s="94"/>
      <c r="E4" s="80"/>
      <c r="F4" s="115" t="str">
        <f>HYPERLINK("http://pbs.twimg.com/profile_images/1561693986590449668/1bORWfiR_normal.jpg")</f>
        <v>http://pbs.twimg.com/profile_images/1561693986590449668/1bORWfiR_normal.jpg</v>
      </c>
      <c r="G4" s="15"/>
      <c r="H4" s="16" t="s">
        <v>214</v>
      </c>
      <c r="I4" s="68"/>
      <c r="J4" s="68"/>
      <c r="K4" s="117" t="s">
        <v>279</v>
      </c>
      <c r="L4" s="95"/>
      <c r="M4" s="96">
        <v>2531.6123046875</v>
      </c>
      <c r="N4" s="96">
        <v>7417.021484375</v>
      </c>
      <c r="O4" s="78"/>
      <c r="P4" s="97"/>
      <c r="Q4" s="97"/>
      <c r="R4" s="98"/>
      <c r="S4" s="98"/>
      <c r="T4" s="98"/>
      <c r="U4" s="98"/>
      <c r="V4" s="53"/>
      <c r="W4" s="53"/>
      <c r="X4" s="53"/>
      <c r="Y4" s="53"/>
      <c r="Z4" s="52"/>
      <c r="AA4" s="81">
        <v>4</v>
      </c>
      <c r="AB4" s="81"/>
      <c r="AC4" s="99"/>
      <c r="AD4" s="84" t="s">
        <v>265</v>
      </c>
      <c r="AE4" s="89" t="s">
        <v>268</v>
      </c>
      <c r="AF4" s="84">
        <v>122</v>
      </c>
      <c r="AG4" s="84">
        <v>2</v>
      </c>
      <c r="AH4" s="84">
        <v>211</v>
      </c>
      <c r="AI4" s="84">
        <v>20</v>
      </c>
      <c r="AJ4" s="84"/>
      <c r="AK4" s="84" t="s">
        <v>271</v>
      </c>
      <c r="AL4" s="84" t="s">
        <v>275</v>
      </c>
      <c r="AM4" s="84"/>
      <c r="AN4" s="84"/>
      <c r="AO4" s="86">
        <v>42092.220243055555</v>
      </c>
      <c r="AP4" s="91" t="str">
        <f>HYPERLINK("https://pbs.twimg.com/profile_banners/3125732656/1661171839")</f>
        <v>https://pbs.twimg.com/profile_banners/3125732656/1661171839</v>
      </c>
      <c r="AQ4" s="84" t="b">
        <v>1</v>
      </c>
      <c r="AR4" s="84" t="b">
        <v>0</v>
      </c>
      <c r="AS4" s="84" t="b">
        <v>0</v>
      </c>
      <c r="AT4" s="84"/>
      <c r="AU4" s="84">
        <v>0</v>
      </c>
      <c r="AV4" s="91" t="str">
        <f>HYPERLINK("http://abs.twimg.com/images/themes/theme1/bg.png")</f>
        <v>http://abs.twimg.com/images/themes/theme1/bg.png</v>
      </c>
      <c r="AW4" s="84" t="b">
        <v>0</v>
      </c>
      <c r="AX4" s="84" t="s">
        <v>278</v>
      </c>
      <c r="AY4" s="91" t="str">
        <f>HYPERLINK("https://twitter.com/fabioliva10")</f>
        <v>https://twitter.com/fabioliva10</v>
      </c>
      <c r="AZ4" s="84" t="s">
        <v>66</v>
      </c>
      <c r="BA4" s="84" t="str">
        <f>REPLACE(INDEX(GroupVertices[Group],MATCH(Vertices[[#This Row],[Vertex]],GroupVertices[Vertex],0)),1,1,"")</f>
        <v>2</v>
      </c>
      <c r="BB4" s="2"/>
      <c r="BC4" s="3"/>
      <c r="BD4" s="3"/>
      <c r="BE4" s="3"/>
      <c r="BF4" s="3"/>
    </row>
    <row r="5" spans="1:58" ht="15">
      <c r="A5" s="14" t="s">
        <v>215</v>
      </c>
      <c r="B5" s="15"/>
      <c r="C5" s="15"/>
      <c r="D5" s="94"/>
      <c r="E5" s="80"/>
      <c r="F5" s="115" t="str">
        <f>HYPERLINK("http://pbs.twimg.com/profile_images/1550846396957429761/6fnAQRnV_normal.jpg")</f>
        <v>http://pbs.twimg.com/profile_images/1550846396957429761/6fnAQRnV_normal.jpg</v>
      </c>
      <c r="G5" s="15"/>
      <c r="H5" s="16" t="s">
        <v>215</v>
      </c>
      <c r="I5" s="68"/>
      <c r="J5" s="68"/>
      <c r="K5" s="117" t="s">
        <v>280</v>
      </c>
      <c r="L5" s="95"/>
      <c r="M5" s="96">
        <v>7473.1806640625</v>
      </c>
      <c r="N5" s="96">
        <v>7417.021484375</v>
      </c>
      <c r="O5" s="78"/>
      <c r="P5" s="97"/>
      <c r="Q5" s="97"/>
      <c r="R5" s="98"/>
      <c r="S5" s="98"/>
      <c r="T5" s="98"/>
      <c r="U5" s="98"/>
      <c r="V5" s="53"/>
      <c r="W5" s="53"/>
      <c r="X5" s="53"/>
      <c r="Y5" s="53"/>
      <c r="Z5" s="52"/>
      <c r="AA5" s="81">
        <v>5</v>
      </c>
      <c r="AB5" s="81"/>
      <c r="AC5" s="99"/>
      <c r="AD5" s="84" t="s">
        <v>266</v>
      </c>
      <c r="AE5" s="89" t="s">
        <v>239</v>
      </c>
      <c r="AF5" s="84">
        <v>65</v>
      </c>
      <c r="AG5" s="84">
        <v>33</v>
      </c>
      <c r="AH5" s="84">
        <v>44</v>
      </c>
      <c r="AI5" s="84">
        <v>3</v>
      </c>
      <c r="AJ5" s="84"/>
      <c r="AK5" s="84" t="s">
        <v>272</v>
      </c>
      <c r="AL5" s="84" t="s">
        <v>276</v>
      </c>
      <c r="AM5" s="91" t="str">
        <f>HYPERLINK("http://educationrightscounsel.org")</f>
        <v>http://educationrightscounsel.org</v>
      </c>
      <c r="AN5" s="84"/>
      <c r="AO5" s="86">
        <v>43806.905752314815</v>
      </c>
      <c r="AP5" s="91" t="str">
        <f>HYPERLINK("https://pbs.twimg.com/profile_banners/1203430010989809666/1575755453")</f>
        <v>https://pbs.twimg.com/profile_banners/1203430010989809666/1575755453</v>
      </c>
      <c r="AQ5" s="84" t="b">
        <v>1</v>
      </c>
      <c r="AR5" s="84" t="b">
        <v>0</v>
      </c>
      <c r="AS5" s="84" t="b">
        <v>0</v>
      </c>
      <c r="AT5" s="84"/>
      <c r="AU5" s="84">
        <v>0</v>
      </c>
      <c r="AV5" s="84"/>
      <c r="AW5" s="84" t="b">
        <v>0</v>
      </c>
      <c r="AX5" s="84" t="s">
        <v>278</v>
      </c>
      <c r="AY5" s="91" t="str">
        <f>HYPERLINK("https://twitter.com/edrightscounsel")</f>
        <v>https://twitter.com/edrightscounsel</v>
      </c>
      <c r="AZ5" s="84" t="s">
        <v>66</v>
      </c>
      <c r="BA5" s="84" t="str">
        <f>REPLACE(INDEX(GroupVertices[Group],MATCH(Vertices[[#This Row],[Vertex]],GroupVertices[Vertex],0)),1,1,"")</f>
        <v>1</v>
      </c>
      <c r="BB5" s="2"/>
      <c r="BC5" s="3"/>
      <c r="BD5" s="3"/>
      <c r="BE5" s="3"/>
      <c r="BF5" s="3"/>
    </row>
    <row r="6" spans="1:58" ht="15">
      <c r="A6" s="100" t="s">
        <v>217</v>
      </c>
      <c r="B6" s="101"/>
      <c r="C6" s="101"/>
      <c r="D6" s="102"/>
      <c r="E6" s="103"/>
      <c r="F6" s="116" t="str">
        <f>HYPERLINK("http://pbs.twimg.com/profile_images/1366476572987961345/XP1OZ9a8_normal.jpg")</f>
        <v>http://pbs.twimg.com/profile_images/1366476572987961345/XP1OZ9a8_normal.jpg</v>
      </c>
      <c r="G6" s="101"/>
      <c r="H6" s="104" t="s">
        <v>217</v>
      </c>
      <c r="I6" s="105"/>
      <c r="J6" s="105"/>
      <c r="K6" s="118" t="s">
        <v>281</v>
      </c>
      <c r="L6" s="106"/>
      <c r="M6" s="107">
        <v>7473.1806640625</v>
      </c>
      <c r="N6" s="107">
        <v>2581.978515625</v>
      </c>
      <c r="O6" s="108"/>
      <c r="P6" s="109"/>
      <c r="Q6" s="109"/>
      <c r="R6" s="110"/>
      <c r="S6" s="110"/>
      <c r="T6" s="110"/>
      <c r="U6" s="110"/>
      <c r="V6" s="111"/>
      <c r="W6" s="111"/>
      <c r="X6" s="111"/>
      <c r="Y6" s="111"/>
      <c r="Z6" s="112"/>
      <c r="AA6" s="113">
        <v>6</v>
      </c>
      <c r="AB6" s="113"/>
      <c r="AC6" s="114"/>
      <c r="AD6" s="84" t="s">
        <v>267</v>
      </c>
      <c r="AE6" s="89" t="s">
        <v>269</v>
      </c>
      <c r="AF6" s="84">
        <v>3283</v>
      </c>
      <c r="AG6" s="84">
        <v>83421</v>
      </c>
      <c r="AH6" s="84">
        <v>29167</v>
      </c>
      <c r="AI6" s="84">
        <v>11838</v>
      </c>
      <c r="AJ6" s="84"/>
      <c r="AK6" s="84" t="s">
        <v>273</v>
      </c>
      <c r="AL6" s="84" t="s">
        <v>277</v>
      </c>
      <c r="AM6" s="91" t="str">
        <f>HYPERLINK("https://t.co/b3UZUE6xBx")</f>
        <v>https://t.co/b3UZUE6xBx</v>
      </c>
      <c r="AN6" s="84"/>
      <c r="AO6" s="86">
        <v>40919.07032407408</v>
      </c>
      <c r="AP6" s="91" t="str">
        <f>HYPERLINK("https://pbs.twimg.com/profile_banners/460708976/1611355416")</f>
        <v>https://pbs.twimg.com/profile_banners/460708976/1611355416</v>
      </c>
      <c r="AQ6" s="84" t="b">
        <v>0</v>
      </c>
      <c r="AR6" s="84" t="b">
        <v>0</v>
      </c>
      <c r="AS6" s="84" t="b">
        <v>1</v>
      </c>
      <c r="AT6" s="84"/>
      <c r="AU6" s="84">
        <v>906</v>
      </c>
      <c r="AV6" s="91" t="str">
        <f>HYPERLINK("http://abs.twimg.com/images/themes/theme13/bg.gif")</f>
        <v>http://abs.twimg.com/images/themes/theme13/bg.gif</v>
      </c>
      <c r="AW6" s="84" t="b">
        <v>1</v>
      </c>
      <c r="AX6" s="84" t="s">
        <v>278</v>
      </c>
      <c r="AY6" s="91" t="str">
        <f>HYPERLINK("https://twitter.com/givingtuesday")</f>
        <v>https://twitter.com/givingtuesday</v>
      </c>
      <c r="AZ6" s="84" t="s">
        <v>65</v>
      </c>
      <c r="BA6" s="84" t="str">
        <f>REPLACE(INDEX(GroupVertices[Group],MATCH(Vertices[[#This Row],[Vertex]],GroupVertices[Vertex],0)),1,1,"")</f>
        <v>1</v>
      </c>
      <c r="BB6" s="2"/>
      <c r="BC6" s="3"/>
      <c r="BD6" s="3"/>
      <c r="BE6" s="3"/>
      <c r="BF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
    <dataValidation allowBlank="1" showInputMessage="1" promptTitle="Vertex Tooltip" prompt="Enter optional text that will pop up when the mouse is hovered over the vertex." errorTitle="Invalid Vertex Image Key" sqref="K3:K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
    <dataValidation allowBlank="1" showInputMessage="1" promptTitle="Vertex Label Fill Color" prompt="To select an optional fill color for the Label shape, right-click and select Select Color on the right-click menu." sqref="I3:I6"/>
    <dataValidation allowBlank="1" showInputMessage="1" promptTitle="Vertex Image File" prompt="Enter the path to an image file.  Hover over the column header for examples." errorTitle="Invalid Vertex Image Key" sqref="F3:F6"/>
    <dataValidation allowBlank="1" showInputMessage="1" promptTitle="Vertex Color" prompt="To select an optional vertex color, right-click and select Select Color on the right-click menu." sqref="B3:B6"/>
    <dataValidation allowBlank="1" showInputMessage="1" promptTitle="Vertex Opacity" prompt="Enter an optional vertex opacity between 0 (transparent) and 100 (opaque)." errorTitle="Invalid Vertex Opacity" error="The optional vertex opacity must be a whole number between 0 and 10." sqref="E3:E6"/>
    <dataValidation type="list" allowBlank="1" showInputMessage="1" showErrorMessage="1" promptTitle="Vertex Shape" prompt="Select an optional vertex shape." errorTitle="Invalid Vertex Shape" error="You have entered an invalid vertex shape.  Try selecting from the drop-down list instead." sqref="C3:C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
      <formula1>ValidVertexLabelPositions</formula1>
    </dataValidation>
    <dataValidation allowBlank="1" showInputMessage="1" showErrorMessage="1" promptTitle="Vertex Name" prompt="Enter the name of the vertex." sqref="A3:A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9" t="s">
        <v>39</v>
      </c>
      <c r="C1" s="70"/>
      <c r="D1" s="70"/>
      <c r="E1" s="71"/>
      <c r="F1" s="68" t="s">
        <v>43</v>
      </c>
      <c r="G1" s="72" t="s">
        <v>44</v>
      </c>
      <c r="H1" s="73"/>
      <c r="I1" s="74" t="s">
        <v>40</v>
      </c>
      <c r="J1" s="75"/>
      <c r="K1" s="76" t="s">
        <v>42</v>
      </c>
      <c r="L1" s="77"/>
      <c r="M1" s="77"/>
      <c r="N1" s="77"/>
      <c r="O1" s="77"/>
      <c r="P1" s="77"/>
      <c r="Q1" s="77"/>
      <c r="R1" s="77"/>
      <c r="S1" s="77"/>
      <c r="T1" s="77"/>
      <c r="U1" s="77"/>
      <c r="V1" s="77"/>
      <c r="W1" s="77"/>
      <c r="X1" s="77"/>
    </row>
    <row r="2" spans="1:2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328</v>
      </c>
    </row>
    <row r="3" spans="1:25" ht="15">
      <c r="A3" s="83" t="s">
        <v>321</v>
      </c>
      <c r="B3" s="121" t="s">
        <v>323</v>
      </c>
      <c r="C3" s="121" t="s">
        <v>56</v>
      </c>
      <c r="D3" s="119"/>
      <c r="E3" s="15"/>
      <c r="F3" s="16" t="s">
        <v>321</v>
      </c>
      <c r="G3" s="78"/>
      <c r="H3" s="78"/>
      <c r="I3" s="120">
        <v>3</v>
      </c>
      <c r="J3" s="65"/>
      <c r="K3" s="51">
        <v>2</v>
      </c>
      <c r="L3" s="51">
        <v>2</v>
      </c>
      <c r="M3" s="51">
        <v>0</v>
      </c>
      <c r="N3" s="51">
        <v>2</v>
      </c>
      <c r="O3" s="51">
        <v>1</v>
      </c>
      <c r="P3" s="52">
        <v>0</v>
      </c>
      <c r="Q3" s="52">
        <v>0</v>
      </c>
      <c r="R3" s="51">
        <v>1</v>
      </c>
      <c r="S3" s="51">
        <v>0</v>
      </c>
      <c r="T3" s="51">
        <v>2</v>
      </c>
      <c r="U3" s="51">
        <v>2</v>
      </c>
      <c r="V3" s="51">
        <v>1</v>
      </c>
      <c r="W3" s="52">
        <v>0.5</v>
      </c>
      <c r="X3" s="52">
        <v>0.5</v>
      </c>
      <c r="Y3" s="84" t="s">
        <v>329</v>
      </c>
    </row>
    <row r="4" spans="1:25" ht="15">
      <c r="A4" s="83" t="s">
        <v>322</v>
      </c>
      <c r="B4" s="121" t="s">
        <v>324</v>
      </c>
      <c r="C4" s="121" t="s">
        <v>56</v>
      </c>
      <c r="D4" s="119"/>
      <c r="E4" s="15"/>
      <c r="F4" s="16" t="s">
        <v>322</v>
      </c>
      <c r="G4" s="78"/>
      <c r="H4" s="78"/>
      <c r="I4" s="120">
        <v>4</v>
      </c>
      <c r="J4" s="81"/>
      <c r="K4" s="51">
        <v>2</v>
      </c>
      <c r="L4" s="51">
        <v>1</v>
      </c>
      <c r="M4" s="51">
        <v>2</v>
      </c>
      <c r="N4" s="51">
        <v>3</v>
      </c>
      <c r="O4" s="51">
        <v>1</v>
      </c>
      <c r="P4" s="52">
        <v>0</v>
      </c>
      <c r="Q4" s="52">
        <v>0</v>
      </c>
      <c r="R4" s="51">
        <v>1</v>
      </c>
      <c r="S4" s="51">
        <v>0</v>
      </c>
      <c r="T4" s="51">
        <v>2</v>
      </c>
      <c r="U4" s="51">
        <v>3</v>
      </c>
      <c r="V4" s="51">
        <v>1</v>
      </c>
      <c r="W4" s="52">
        <v>0.5</v>
      </c>
      <c r="X4" s="52">
        <v>0.5</v>
      </c>
      <c r="Y4" s="84"/>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4" t="s">
        <v>321</v>
      </c>
      <c r="B2" s="89" t="s">
        <v>215</v>
      </c>
      <c r="C2" s="84">
        <f>VLOOKUP(GroupVertices[[#This Row],[Vertex]],Vertices[],MATCH("ID",Vertices[[#Headers],[Vertex]:[Vertex Group]],0),FALSE)</f>
        <v>5</v>
      </c>
    </row>
    <row r="3" spans="1:3" ht="15">
      <c r="A3" s="85" t="s">
        <v>321</v>
      </c>
      <c r="B3" s="89" t="s">
        <v>217</v>
      </c>
      <c r="C3" s="84">
        <f>VLOOKUP(GroupVertices[[#This Row],[Vertex]],Vertices[],MATCH("ID",Vertices[[#Headers],[Vertex]:[Vertex Group]],0),FALSE)</f>
        <v>6</v>
      </c>
    </row>
    <row r="4" spans="1:3" ht="15">
      <c r="A4" s="85" t="s">
        <v>322</v>
      </c>
      <c r="B4" s="89" t="s">
        <v>214</v>
      </c>
      <c r="C4" s="84">
        <f>VLOOKUP(GroupVertices[[#This Row],[Vertex]],Vertices[],MATCH("ID",Vertices[[#Headers],[Vertex]:[Vertex Group]],0),FALSE)</f>
        <v>4</v>
      </c>
    </row>
    <row r="5" spans="1:3" ht="15">
      <c r="A5" s="85" t="s">
        <v>322</v>
      </c>
      <c r="B5" s="89" t="s">
        <v>216</v>
      </c>
      <c r="C5" s="84">
        <f>VLOOKUP(GroupVertices[[#This Row],[Vertex]],Vertices[],MATCH("ID",Vertices[[#Headers],[Vertex]:[Vertex Group]],0),FALSE)</f>
        <v>3</v>
      </c>
    </row>
  </sheetData>
  <dataValidations count="3" xWindow="58" yWindow="226">
    <dataValidation allowBlank="1" showInputMessage="1" showErrorMessage="1" promptTitle="Group Name" prompt="Enter the name of the group.  The group name must also be entered on the Groups worksheet." sqref="A2:A5"/>
    <dataValidation allowBlank="1" showInputMessage="1" showErrorMessage="1" promptTitle="Vertex Name" prompt="Enter the name of a vertex to include in the group." sqref="B2:B5"/>
    <dataValidation allowBlank="1" showInputMessage="1" promptTitle="Vertex ID" prompt="This is the value of the hidden ID cell in the Vertices worksheet.  It gets filled in by the items on the NodeXL, Analysis, Groups menu." sqref="C2:C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c r="B2" s="36"/>
      <c r="D2" s="33">
        <f>MIN(Vertices[Degree])</f>
        <v>0</v>
      </c>
      <c r="E2" s="3">
        <f>COUNTIF(Vertices[Degree],"&gt;= "&amp;D2)-COUNTIF(Vertices[Degree],"&gt;="&amp;D3)</f>
        <v>0</v>
      </c>
      <c r="F2" s="39">
        <f>MIN(Vertices[In-Degree])</f>
        <v>0</v>
      </c>
      <c r="G2" s="40">
        <f>COUNTIF(Vertices[In-Degree],"&gt;= "&amp;F2)-COUNTIF(Vertices[In-Degree],"&gt;="&amp;F3)</f>
        <v>0</v>
      </c>
      <c r="H2" s="39">
        <f>MIN(Vertices[Out-Degree])</f>
        <v>0</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v>
      </c>
      <c r="O2" s="40">
        <f>COUNTIF(Vertices[Eigenvector Centrality],"&gt;= "&amp;N2)-COUNTIF(Vertices[Eigenvector Centrality],"&gt;="&amp;N3)</f>
        <v>0</v>
      </c>
      <c r="P2" s="39">
        <f>MIN(Vertices[PageRank])</f>
        <v>0</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36"/>
      <c r="B3" s="36"/>
      <c r="D3" s="34">
        <f aca="true" t="shared" si="1" ref="D3:D35">D2+($D$36-$D$2)/BinDivisor</f>
        <v>0</v>
      </c>
      <c r="E3" s="3">
        <f>COUNTIF(Vertices[Degree],"&gt;= "&amp;D3)-COUNTIF(Vertices[Degree],"&gt;="&amp;D4)</f>
        <v>0</v>
      </c>
      <c r="F3" s="41">
        <f aca="true" t="shared" si="2" ref="F3:F35">F2+($F$36-$F$2)/BinDivisor</f>
        <v>0</v>
      </c>
      <c r="G3" s="42">
        <f>COUNTIF(Vertices[In-Degree],"&gt;= "&amp;F3)-COUNTIF(Vertices[In-Degree],"&gt;="&amp;F4)</f>
        <v>0</v>
      </c>
      <c r="H3" s="41">
        <f aca="true" t="shared" si="3" ref="H3:H35">H2+($H$36-$H$2)/BinDivisor</f>
        <v>0</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v>
      </c>
      <c r="M3" s="42">
        <f>COUNTIF(Vertices[Closeness Centrality],"&gt;= "&amp;L3)-COUNTIF(Vertices[Closeness Centrality],"&gt;="&amp;L4)</f>
        <v>0</v>
      </c>
      <c r="N3" s="41">
        <f aca="true" t="shared" si="6" ref="N3:N35">N2+($N$36-$N$2)/BinDivisor</f>
        <v>0</v>
      </c>
      <c r="O3" s="42">
        <f>COUNTIF(Vertices[Eigenvector Centrality],"&gt;= "&amp;N3)-COUNTIF(Vertices[Eigenvector Centrality],"&gt;="&amp;N4)</f>
        <v>0</v>
      </c>
      <c r="P3" s="41">
        <f aca="true" t="shared" si="7" ref="P3:P35">P2+($P$36-$P$2)/BinDivisor</f>
        <v>0</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c r="B4" s="36"/>
      <c r="D4" s="34">
        <f t="shared" si="1"/>
        <v>0</v>
      </c>
      <c r="E4" s="3">
        <f>COUNTIF(Vertices[Degree],"&gt;= "&amp;D4)-COUNTIF(Vertices[Degree],"&gt;="&amp;D5)</f>
        <v>0</v>
      </c>
      <c r="F4" s="39">
        <f t="shared" si="2"/>
        <v>0</v>
      </c>
      <c r="G4" s="40">
        <f>COUNTIF(Vertices[In-Degree],"&gt;= "&amp;F4)-COUNTIF(Vertices[In-Degree],"&gt;="&amp;F5)</f>
        <v>0</v>
      </c>
      <c r="H4" s="39">
        <f t="shared" si="3"/>
        <v>0</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v>
      </c>
      <c r="O4" s="40">
        <f>COUNTIF(Vertices[Eigenvector Centrality],"&gt;= "&amp;N4)-COUNTIF(Vertices[Eigenvector Centrality],"&gt;="&amp;N5)</f>
        <v>0</v>
      </c>
      <c r="P4" s="39">
        <f t="shared" si="7"/>
        <v>0</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36"/>
      <c r="B5" s="36"/>
      <c r="D5" s="34">
        <f t="shared" si="1"/>
        <v>0</v>
      </c>
      <c r="E5" s="3">
        <f>COUNTIF(Vertices[Degree],"&gt;= "&amp;D5)-COUNTIF(Vertices[Degree],"&gt;="&amp;D6)</f>
        <v>0</v>
      </c>
      <c r="F5" s="41">
        <f t="shared" si="2"/>
        <v>0</v>
      </c>
      <c r="G5" s="42">
        <f>COUNTIF(Vertices[In-Degree],"&gt;= "&amp;F5)-COUNTIF(Vertices[In-Degree],"&gt;="&amp;F6)</f>
        <v>0</v>
      </c>
      <c r="H5" s="41">
        <f t="shared" si="3"/>
        <v>0</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v>
      </c>
      <c r="O5" s="42">
        <f>COUNTIF(Vertices[Eigenvector Centrality],"&gt;= "&amp;N5)-COUNTIF(Vertices[Eigenvector Centrality],"&gt;="&amp;N6)</f>
        <v>0</v>
      </c>
      <c r="P5" s="41">
        <f t="shared" si="7"/>
        <v>0</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c r="B6" s="36"/>
      <c r="D6" s="34">
        <f t="shared" si="1"/>
        <v>0</v>
      </c>
      <c r="E6" s="3">
        <f>COUNTIF(Vertices[Degree],"&gt;= "&amp;D6)-COUNTIF(Vertices[Degree],"&gt;="&amp;D7)</f>
        <v>0</v>
      </c>
      <c r="F6" s="39">
        <f t="shared" si="2"/>
        <v>0</v>
      </c>
      <c r="G6" s="40">
        <f>COUNTIF(Vertices[In-Degree],"&gt;= "&amp;F6)-COUNTIF(Vertices[In-Degree],"&gt;="&amp;F7)</f>
        <v>0</v>
      </c>
      <c r="H6" s="39">
        <f t="shared" si="3"/>
        <v>0</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v>
      </c>
      <c r="O6" s="40">
        <f>COUNTIF(Vertices[Eigenvector Centrality],"&gt;= "&amp;N6)-COUNTIF(Vertices[Eigenvector Centrality],"&gt;="&amp;N7)</f>
        <v>0</v>
      </c>
      <c r="P6" s="39">
        <f t="shared" si="7"/>
        <v>0</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c r="B7" s="36"/>
      <c r="D7" s="34">
        <f t="shared" si="1"/>
        <v>0</v>
      </c>
      <c r="E7" s="3">
        <f>COUNTIF(Vertices[Degree],"&gt;= "&amp;D7)-COUNTIF(Vertices[Degree],"&gt;="&amp;D8)</f>
        <v>0</v>
      </c>
      <c r="F7" s="41">
        <f t="shared" si="2"/>
        <v>0</v>
      </c>
      <c r="G7" s="42">
        <f>COUNTIF(Vertices[In-Degree],"&gt;= "&amp;F7)-COUNTIF(Vertices[In-Degree],"&gt;="&amp;F8)</f>
        <v>0</v>
      </c>
      <c r="H7" s="41">
        <f t="shared" si="3"/>
        <v>0</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v>
      </c>
      <c r="O7" s="42">
        <f>COUNTIF(Vertices[Eigenvector Centrality],"&gt;= "&amp;N7)-COUNTIF(Vertices[Eigenvector Centrality],"&gt;="&amp;N8)</f>
        <v>0</v>
      </c>
      <c r="P7" s="41">
        <f t="shared" si="7"/>
        <v>0</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c r="B8" s="36"/>
      <c r="D8" s="34">
        <f t="shared" si="1"/>
        <v>0</v>
      </c>
      <c r="E8" s="3">
        <f>COUNTIF(Vertices[Degree],"&gt;= "&amp;D8)-COUNTIF(Vertices[Degree],"&gt;="&amp;D9)</f>
        <v>0</v>
      </c>
      <c r="F8" s="39">
        <f t="shared" si="2"/>
        <v>0</v>
      </c>
      <c r="G8" s="40">
        <f>COUNTIF(Vertices[In-Degree],"&gt;= "&amp;F8)-COUNTIF(Vertices[In-Degree],"&gt;="&amp;F9)</f>
        <v>0</v>
      </c>
      <c r="H8" s="39">
        <f t="shared" si="3"/>
        <v>0</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v>
      </c>
      <c r="O8" s="40">
        <f>COUNTIF(Vertices[Eigenvector Centrality],"&gt;= "&amp;N8)-COUNTIF(Vertices[Eigenvector Centrality],"&gt;="&amp;N9)</f>
        <v>0</v>
      </c>
      <c r="P8" s="39">
        <f t="shared" si="7"/>
        <v>0</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36"/>
      <c r="B9" s="36"/>
      <c r="D9" s="34">
        <f t="shared" si="1"/>
        <v>0</v>
      </c>
      <c r="E9" s="3">
        <f>COUNTIF(Vertices[Degree],"&gt;= "&amp;D9)-COUNTIF(Vertices[Degree],"&gt;="&amp;D10)</f>
        <v>0</v>
      </c>
      <c r="F9" s="41">
        <f t="shared" si="2"/>
        <v>0</v>
      </c>
      <c r="G9" s="42">
        <f>COUNTIF(Vertices[In-Degree],"&gt;= "&amp;F9)-COUNTIF(Vertices[In-Degree],"&gt;="&amp;F10)</f>
        <v>0</v>
      </c>
      <c r="H9" s="41">
        <f t="shared" si="3"/>
        <v>0</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v>
      </c>
      <c r="O9" s="42">
        <f>COUNTIF(Vertices[Eigenvector Centrality],"&gt;= "&amp;N9)-COUNTIF(Vertices[Eigenvector Centrality],"&gt;="&amp;N10)</f>
        <v>0</v>
      </c>
      <c r="P9" s="41">
        <f t="shared" si="7"/>
        <v>0</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c r="B10" s="36"/>
      <c r="D10" s="34">
        <f t="shared" si="1"/>
        <v>0</v>
      </c>
      <c r="E10" s="3">
        <f>COUNTIF(Vertices[Degree],"&gt;= "&amp;D10)-COUNTIF(Vertices[Degree],"&gt;="&amp;D11)</f>
        <v>0</v>
      </c>
      <c r="F10" s="39">
        <f t="shared" si="2"/>
        <v>0</v>
      </c>
      <c r="G10" s="40">
        <f>COUNTIF(Vertices[In-Degree],"&gt;= "&amp;F10)-COUNTIF(Vertices[In-Degree],"&gt;="&amp;F11)</f>
        <v>0</v>
      </c>
      <c r="H10" s="39">
        <f t="shared" si="3"/>
        <v>0</v>
      </c>
      <c r="I10" s="40">
        <f>COUNTIF(Vertices[Out-Degree],"&gt;= "&amp;H10)-COUNTIF(Vertices[Out-Degree],"&gt;="&amp;H11)</f>
        <v>0</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v>
      </c>
      <c r="O10" s="40">
        <f>COUNTIF(Vertices[Eigenvector Centrality],"&gt;= "&amp;N10)-COUNTIF(Vertices[Eigenvector Centrality],"&gt;="&amp;N11)</f>
        <v>0</v>
      </c>
      <c r="P10" s="39">
        <f t="shared" si="7"/>
        <v>0</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36"/>
      <c r="B11" s="36"/>
      <c r="D11" s="34">
        <f t="shared" si="1"/>
        <v>0</v>
      </c>
      <c r="E11" s="3">
        <f>COUNTIF(Vertices[Degree],"&gt;= "&amp;D11)-COUNTIF(Vertices[Degree],"&gt;="&amp;D12)</f>
        <v>0</v>
      </c>
      <c r="F11" s="41">
        <f t="shared" si="2"/>
        <v>0</v>
      </c>
      <c r="G11" s="42">
        <f>COUNTIF(Vertices[In-Degree],"&gt;= "&amp;F11)-COUNTIF(Vertices[In-Degree],"&gt;="&amp;F12)</f>
        <v>0</v>
      </c>
      <c r="H11" s="41">
        <f t="shared" si="3"/>
        <v>0</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v>
      </c>
      <c r="O11" s="42">
        <f>COUNTIF(Vertices[Eigenvector Centrality],"&gt;= "&amp;N11)-COUNTIF(Vertices[Eigenvector Centrality],"&gt;="&amp;N12)</f>
        <v>0</v>
      </c>
      <c r="P11" s="41">
        <f t="shared" si="7"/>
        <v>0</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c r="B12" s="36"/>
      <c r="D12" s="34">
        <f t="shared" si="1"/>
        <v>0</v>
      </c>
      <c r="E12" s="3">
        <f>COUNTIF(Vertices[Degree],"&gt;= "&amp;D12)-COUNTIF(Vertices[Degree],"&gt;="&amp;D13)</f>
        <v>0</v>
      </c>
      <c r="F12" s="39">
        <f t="shared" si="2"/>
        <v>0</v>
      </c>
      <c r="G12" s="40">
        <f>COUNTIF(Vertices[In-Degree],"&gt;= "&amp;F12)-COUNTIF(Vertices[In-Degree],"&gt;="&amp;F13)</f>
        <v>0</v>
      </c>
      <c r="H12" s="39">
        <f t="shared" si="3"/>
        <v>0</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v>
      </c>
      <c r="O12" s="40">
        <f>COUNTIF(Vertices[Eigenvector Centrality],"&gt;= "&amp;N12)-COUNTIF(Vertices[Eigenvector Centrality],"&gt;="&amp;N13)</f>
        <v>0</v>
      </c>
      <c r="P12" s="39">
        <f t="shared" si="7"/>
        <v>0</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c r="B13" s="36"/>
      <c r="D13" s="34">
        <f t="shared" si="1"/>
        <v>0</v>
      </c>
      <c r="E13" s="3">
        <f>COUNTIF(Vertices[Degree],"&gt;= "&amp;D13)-COUNTIF(Vertices[Degree],"&gt;="&amp;D14)</f>
        <v>0</v>
      </c>
      <c r="F13" s="41">
        <f t="shared" si="2"/>
        <v>0</v>
      </c>
      <c r="G13" s="42">
        <f>COUNTIF(Vertices[In-Degree],"&gt;= "&amp;F13)-COUNTIF(Vertices[In-Degree],"&gt;="&amp;F14)</f>
        <v>0</v>
      </c>
      <c r="H13" s="41">
        <f t="shared" si="3"/>
        <v>0</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v>
      </c>
      <c r="O13" s="42">
        <f>COUNTIF(Vertices[Eigenvector Centrality],"&gt;= "&amp;N13)-COUNTIF(Vertices[Eigenvector Centrality],"&gt;="&amp;N14)</f>
        <v>0</v>
      </c>
      <c r="P13" s="41">
        <f t="shared" si="7"/>
        <v>0</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c r="B14" s="36"/>
      <c r="D14" s="34">
        <f t="shared" si="1"/>
        <v>0</v>
      </c>
      <c r="E14" s="3">
        <f>COUNTIF(Vertices[Degree],"&gt;= "&amp;D14)-COUNTIF(Vertices[Degree],"&gt;="&amp;D15)</f>
        <v>0</v>
      </c>
      <c r="F14" s="39">
        <f t="shared" si="2"/>
        <v>0</v>
      </c>
      <c r="G14" s="40">
        <f>COUNTIF(Vertices[In-Degree],"&gt;= "&amp;F14)-COUNTIF(Vertices[In-Degree],"&gt;="&amp;F15)</f>
        <v>0</v>
      </c>
      <c r="H14" s="39">
        <f t="shared" si="3"/>
        <v>0</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v>
      </c>
      <c r="O14" s="40">
        <f>COUNTIF(Vertices[Eigenvector Centrality],"&gt;= "&amp;N14)-COUNTIF(Vertices[Eigenvector Centrality],"&gt;="&amp;N15)</f>
        <v>0</v>
      </c>
      <c r="P14" s="39">
        <f t="shared" si="7"/>
        <v>0</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c r="B15" s="36"/>
      <c r="D15" s="34">
        <f t="shared" si="1"/>
        <v>0</v>
      </c>
      <c r="E15" s="3">
        <f>COUNTIF(Vertices[Degree],"&gt;= "&amp;D15)-COUNTIF(Vertices[Degree],"&gt;="&amp;D16)</f>
        <v>0</v>
      </c>
      <c r="F15" s="41">
        <f t="shared" si="2"/>
        <v>0</v>
      </c>
      <c r="G15" s="42">
        <f>COUNTIF(Vertices[In-Degree],"&gt;= "&amp;F15)-COUNTIF(Vertices[In-Degree],"&gt;="&amp;F16)</f>
        <v>0</v>
      </c>
      <c r="H15" s="41">
        <f t="shared" si="3"/>
        <v>0</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v>
      </c>
      <c r="O15" s="42">
        <f>COUNTIF(Vertices[Eigenvector Centrality],"&gt;= "&amp;N15)-COUNTIF(Vertices[Eigenvector Centrality],"&gt;="&amp;N16)</f>
        <v>0</v>
      </c>
      <c r="P15" s="41">
        <f t="shared" si="7"/>
        <v>0</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c r="B16" s="36"/>
      <c r="D16" s="34">
        <f t="shared" si="1"/>
        <v>0</v>
      </c>
      <c r="E16" s="3">
        <f>COUNTIF(Vertices[Degree],"&gt;= "&amp;D16)-COUNTIF(Vertices[Degree],"&gt;="&amp;D17)</f>
        <v>0</v>
      </c>
      <c r="F16" s="39">
        <f t="shared" si="2"/>
        <v>0</v>
      </c>
      <c r="G16" s="40">
        <f>COUNTIF(Vertices[In-Degree],"&gt;= "&amp;F16)-COUNTIF(Vertices[In-Degree],"&gt;="&amp;F17)</f>
        <v>0</v>
      </c>
      <c r="H16" s="39">
        <f t="shared" si="3"/>
        <v>0</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v>
      </c>
      <c r="O16" s="40">
        <f>COUNTIF(Vertices[Eigenvector Centrality],"&gt;= "&amp;N16)-COUNTIF(Vertices[Eigenvector Centrality],"&gt;="&amp;N17)</f>
        <v>0</v>
      </c>
      <c r="P16" s="39">
        <f t="shared" si="7"/>
        <v>0</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c r="B17" s="36"/>
      <c r="D17" s="34">
        <f t="shared" si="1"/>
        <v>0</v>
      </c>
      <c r="E17" s="3">
        <f>COUNTIF(Vertices[Degree],"&gt;= "&amp;D17)-COUNTIF(Vertices[Degree],"&gt;="&amp;D18)</f>
        <v>0</v>
      </c>
      <c r="F17" s="41">
        <f t="shared" si="2"/>
        <v>0</v>
      </c>
      <c r="G17" s="42">
        <f>COUNTIF(Vertices[In-Degree],"&gt;= "&amp;F17)-COUNTIF(Vertices[In-Degree],"&gt;="&amp;F18)</f>
        <v>0</v>
      </c>
      <c r="H17" s="41">
        <f t="shared" si="3"/>
        <v>0</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v>
      </c>
      <c r="O17" s="42">
        <f>COUNTIF(Vertices[Eigenvector Centrality],"&gt;= "&amp;N17)-COUNTIF(Vertices[Eigenvector Centrality],"&gt;="&amp;N18)</f>
        <v>0</v>
      </c>
      <c r="P17" s="41">
        <f t="shared" si="7"/>
        <v>0</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c r="B18" s="36"/>
      <c r="D18" s="34">
        <f t="shared" si="1"/>
        <v>0</v>
      </c>
      <c r="E18" s="3">
        <f>COUNTIF(Vertices[Degree],"&gt;= "&amp;D18)-COUNTIF(Vertices[Degree],"&gt;="&amp;D19)</f>
        <v>0</v>
      </c>
      <c r="F18" s="39">
        <f t="shared" si="2"/>
        <v>0</v>
      </c>
      <c r="G18" s="40">
        <f>COUNTIF(Vertices[In-Degree],"&gt;= "&amp;F18)-COUNTIF(Vertices[In-Degree],"&gt;="&amp;F19)</f>
        <v>0</v>
      </c>
      <c r="H18" s="39">
        <f t="shared" si="3"/>
        <v>0</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v>
      </c>
      <c r="O18" s="40">
        <f>COUNTIF(Vertices[Eigenvector Centrality],"&gt;= "&amp;N18)-COUNTIF(Vertices[Eigenvector Centrality],"&gt;="&amp;N19)</f>
        <v>0</v>
      </c>
      <c r="P18" s="39">
        <f t="shared" si="7"/>
        <v>0</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c r="B19" s="36"/>
      <c r="D19" s="34">
        <f t="shared" si="1"/>
        <v>0</v>
      </c>
      <c r="E19" s="3">
        <f>COUNTIF(Vertices[Degree],"&gt;= "&amp;D19)-COUNTIF(Vertices[Degree],"&gt;="&amp;D20)</f>
        <v>0</v>
      </c>
      <c r="F19" s="41">
        <f t="shared" si="2"/>
        <v>0</v>
      </c>
      <c r="G19" s="42">
        <f>COUNTIF(Vertices[In-Degree],"&gt;= "&amp;F19)-COUNTIF(Vertices[In-Degree],"&gt;="&amp;F20)</f>
        <v>0</v>
      </c>
      <c r="H19" s="41">
        <f t="shared" si="3"/>
        <v>0</v>
      </c>
      <c r="I19" s="42">
        <f>COUNTIF(Vertices[Out-Degree],"&gt;= "&amp;H19)-COUNTIF(Vertices[Out-Degree],"&gt;="&amp;H20)</f>
        <v>0</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v>
      </c>
      <c r="O19" s="42">
        <f>COUNTIF(Vertices[Eigenvector Centrality],"&gt;= "&amp;N19)-COUNTIF(Vertices[Eigenvector Centrality],"&gt;="&amp;N20)</f>
        <v>0</v>
      </c>
      <c r="P19" s="41">
        <f t="shared" si="7"/>
        <v>0</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c r="B20" s="36"/>
      <c r="D20" s="34">
        <f t="shared" si="1"/>
        <v>0</v>
      </c>
      <c r="E20" s="3">
        <f>COUNTIF(Vertices[Degree],"&gt;= "&amp;D20)-COUNTIF(Vertices[Degree],"&gt;="&amp;D21)</f>
        <v>0</v>
      </c>
      <c r="F20" s="39">
        <f t="shared" si="2"/>
        <v>0</v>
      </c>
      <c r="G20" s="40">
        <f>COUNTIF(Vertices[In-Degree],"&gt;= "&amp;F20)-COUNTIF(Vertices[In-Degree],"&gt;="&amp;F21)</f>
        <v>0</v>
      </c>
      <c r="H20" s="39">
        <f t="shared" si="3"/>
        <v>0</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v>
      </c>
      <c r="O20" s="40">
        <f>COUNTIF(Vertices[Eigenvector Centrality],"&gt;= "&amp;N20)-COUNTIF(Vertices[Eigenvector Centrality],"&gt;="&amp;N21)</f>
        <v>0</v>
      </c>
      <c r="P20" s="39">
        <f t="shared" si="7"/>
        <v>0</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c r="B21" s="36"/>
      <c r="D21" s="34">
        <f t="shared" si="1"/>
        <v>0</v>
      </c>
      <c r="E21" s="3">
        <f>COUNTIF(Vertices[Degree],"&gt;= "&amp;D21)-COUNTIF(Vertices[Degree],"&gt;="&amp;D22)</f>
        <v>0</v>
      </c>
      <c r="F21" s="41">
        <f t="shared" si="2"/>
        <v>0</v>
      </c>
      <c r="G21" s="42">
        <f>COUNTIF(Vertices[In-Degree],"&gt;= "&amp;F21)-COUNTIF(Vertices[In-Degree],"&gt;="&amp;F22)</f>
        <v>0</v>
      </c>
      <c r="H21" s="41">
        <f t="shared" si="3"/>
        <v>0</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v>
      </c>
      <c r="O21" s="42">
        <f>COUNTIF(Vertices[Eigenvector Centrality],"&gt;= "&amp;N21)-COUNTIF(Vertices[Eigenvector Centrality],"&gt;="&amp;N22)</f>
        <v>0</v>
      </c>
      <c r="P21" s="41">
        <f t="shared" si="7"/>
        <v>0</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c r="B22" s="36"/>
      <c r="D22" s="34">
        <f t="shared" si="1"/>
        <v>0</v>
      </c>
      <c r="E22" s="3">
        <f>COUNTIF(Vertices[Degree],"&gt;= "&amp;D22)-COUNTIF(Vertices[Degree],"&gt;="&amp;D23)</f>
        <v>0</v>
      </c>
      <c r="F22" s="39">
        <f t="shared" si="2"/>
        <v>0</v>
      </c>
      <c r="G22" s="40">
        <f>COUNTIF(Vertices[In-Degree],"&gt;= "&amp;F22)-COUNTIF(Vertices[In-Degree],"&gt;="&amp;F23)</f>
        <v>0</v>
      </c>
      <c r="H22" s="39">
        <f t="shared" si="3"/>
        <v>0</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v>
      </c>
      <c r="O22" s="40">
        <f>COUNTIF(Vertices[Eigenvector Centrality],"&gt;= "&amp;N22)-COUNTIF(Vertices[Eigenvector Centrality],"&gt;="&amp;N23)</f>
        <v>0</v>
      </c>
      <c r="P22" s="39">
        <f t="shared" si="7"/>
        <v>0</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c r="B23" s="36"/>
      <c r="D23" s="34">
        <f t="shared" si="1"/>
        <v>0</v>
      </c>
      <c r="E23" s="3">
        <f>COUNTIF(Vertices[Degree],"&gt;= "&amp;D23)-COUNTIF(Vertices[Degree],"&gt;="&amp;D24)</f>
        <v>0</v>
      </c>
      <c r="F23" s="41">
        <f t="shared" si="2"/>
        <v>0</v>
      </c>
      <c r="G23" s="42">
        <f>COUNTIF(Vertices[In-Degree],"&gt;= "&amp;F23)-COUNTIF(Vertices[In-Degree],"&gt;="&amp;F24)</f>
        <v>0</v>
      </c>
      <c r="H23" s="41">
        <f t="shared" si="3"/>
        <v>0</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v>
      </c>
      <c r="O23" s="42">
        <f>COUNTIF(Vertices[Eigenvector Centrality],"&gt;= "&amp;N23)-COUNTIF(Vertices[Eigenvector Centrality],"&gt;="&amp;N24)</f>
        <v>0</v>
      </c>
      <c r="P23" s="41">
        <f t="shared" si="7"/>
        <v>0</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c r="B24" s="36"/>
      <c r="D24" s="34">
        <f t="shared" si="1"/>
        <v>0</v>
      </c>
      <c r="E24" s="3">
        <f>COUNTIF(Vertices[Degree],"&gt;= "&amp;D24)-COUNTIF(Vertices[Degree],"&gt;="&amp;D25)</f>
        <v>0</v>
      </c>
      <c r="F24" s="39">
        <f t="shared" si="2"/>
        <v>0</v>
      </c>
      <c r="G24" s="40">
        <f>COUNTIF(Vertices[In-Degree],"&gt;= "&amp;F24)-COUNTIF(Vertices[In-Degree],"&gt;="&amp;F25)</f>
        <v>0</v>
      </c>
      <c r="H24" s="39">
        <f t="shared" si="3"/>
        <v>0</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v>
      </c>
      <c r="O24" s="40">
        <f>COUNTIF(Vertices[Eigenvector Centrality],"&gt;= "&amp;N24)-COUNTIF(Vertices[Eigenvector Centrality],"&gt;="&amp;N25)</f>
        <v>0</v>
      </c>
      <c r="P24" s="39">
        <f t="shared" si="7"/>
        <v>0</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c r="B25" s="36"/>
      <c r="D25" s="34">
        <f t="shared" si="1"/>
        <v>0</v>
      </c>
      <c r="E25" s="3">
        <f>COUNTIF(Vertices[Degree],"&gt;= "&amp;D25)-COUNTIF(Vertices[Degree],"&gt;="&amp;D26)</f>
        <v>0</v>
      </c>
      <c r="F25" s="41">
        <f t="shared" si="2"/>
        <v>0</v>
      </c>
      <c r="G25" s="42">
        <f>COUNTIF(Vertices[In-Degree],"&gt;= "&amp;F25)-COUNTIF(Vertices[In-Degree],"&gt;="&amp;F26)</f>
        <v>0</v>
      </c>
      <c r="H25" s="41">
        <f t="shared" si="3"/>
        <v>0</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v>
      </c>
      <c r="O25" s="42">
        <f>COUNTIF(Vertices[Eigenvector Centrality],"&gt;= "&amp;N25)-COUNTIF(Vertices[Eigenvector Centrality],"&gt;="&amp;N26)</f>
        <v>0</v>
      </c>
      <c r="P25" s="41">
        <f t="shared" si="7"/>
        <v>0</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c r="B26" s="36"/>
      <c r="D26" s="34">
        <f t="shared" si="1"/>
        <v>0</v>
      </c>
      <c r="E26" s="3">
        <f>COUNTIF(Vertices[Degree],"&gt;= "&amp;D26)-COUNTIF(Vertices[Degree],"&gt;="&amp;D27)</f>
        <v>0</v>
      </c>
      <c r="F26" s="39">
        <f t="shared" si="2"/>
        <v>0</v>
      </c>
      <c r="G26" s="40">
        <f>COUNTIF(Vertices[In-Degree],"&gt;= "&amp;F26)-COUNTIF(Vertices[In-Degree],"&gt;="&amp;F27)</f>
        <v>0</v>
      </c>
      <c r="H26" s="39">
        <f t="shared" si="3"/>
        <v>0</v>
      </c>
      <c r="I26" s="40">
        <f>COUNTIF(Vertices[Out-Degree],"&gt;= "&amp;H26)-COUNTIF(Vertices[Out-Degree],"&gt;="&amp;H27)</f>
        <v>0</v>
      </c>
      <c r="J26" s="39">
        <f t="shared" si="4"/>
        <v>0</v>
      </c>
      <c r="K26" s="40">
        <f>COUNTIF(Vertices[Betweenness Centrality],"&gt;= "&amp;J26)-COUNTIF(Vertices[Betweenness Centrality],"&gt;="&amp;J27)</f>
        <v>0</v>
      </c>
      <c r="L26" s="39">
        <f t="shared" si="5"/>
        <v>0</v>
      </c>
      <c r="M26" s="40">
        <f>COUNTIF(Vertices[Closeness Centrality],"&gt;= "&amp;L26)-COUNTIF(Vertices[Closeness Centrality],"&gt;="&amp;L27)</f>
        <v>0</v>
      </c>
      <c r="N26" s="39">
        <f t="shared" si="6"/>
        <v>0</v>
      </c>
      <c r="O26" s="40">
        <f>COUNTIF(Vertices[Eigenvector Centrality],"&gt;= "&amp;N26)-COUNTIF(Vertices[Eigenvector Centrality],"&gt;="&amp;N27)</f>
        <v>0</v>
      </c>
      <c r="P26" s="39">
        <f t="shared" si="7"/>
        <v>0</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79"/>
      <c r="B27" s="79"/>
      <c r="D27" s="34">
        <f t="shared" si="1"/>
        <v>0</v>
      </c>
      <c r="E27" s="3">
        <f>COUNTIF(Vertices[Degree],"&gt;= "&amp;D27)-COUNTIF(Vertices[Degree],"&gt;="&amp;D28)</f>
        <v>0</v>
      </c>
      <c r="F27" s="41">
        <f t="shared" si="2"/>
        <v>0</v>
      </c>
      <c r="G27" s="42">
        <f>COUNTIF(Vertices[In-Degree],"&gt;= "&amp;F27)-COUNTIF(Vertices[In-Degree],"&gt;="&amp;F28)</f>
        <v>0</v>
      </c>
      <c r="H27" s="41">
        <f t="shared" si="3"/>
        <v>0</v>
      </c>
      <c r="I27" s="42">
        <f>COUNTIF(Vertices[Out-Degree],"&gt;= "&amp;H27)-COUNTIF(Vertices[Out-Degree],"&gt;="&amp;H28)</f>
        <v>0</v>
      </c>
      <c r="J27" s="41">
        <f t="shared" si="4"/>
        <v>0</v>
      </c>
      <c r="K27" s="42">
        <f>COUNTIF(Vertices[Betweenness Centrality],"&gt;= "&amp;J27)-COUNTIF(Vertices[Betweenness Centrality],"&gt;="&amp;J28)</f>
        <v>0</v>
      </c>
      <c r="L27" s="41">
        <f t="shared" si="5"/>
        <v>0</v>
      </c>
      <c r="M27" s="42">
        <f>COUNTIF(Vertices[Closeness Centrality],"&gt;= "&amp;L27)-COUNTIF(Vertices[Closeness Centrality],"&gt;="&amp;L28)</f>
        <v>0</v>
      </c>
      <c r="N27" s="41">
        <f t="shared" si="6"/>
        <v>0</v>
      </c>
      <c r="O27" s="42">
        <f>COUNTIF(Vertices[Eigenvector Centrality],"&gt;= "&amp;N27)-COUNTIF(Vertices[Eigenvector Centrality],"&gt;="&amp;N28)</f>
        <v>0</v>
      </c>
      <c r="P27" s="41">
        <f t="shared" si="7"/>
        <v>0</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c r="B28" s="36"/>
      <c r="D28" s="34">
        <f t="shared" si="1"/>
        <v>0</v>
      </c>
      <c r="E28" s="3">
        <f>COUNTIF(Vertices[Degree],"&gt;= "&amp;D28)-COUNTIF(Vertices[Degree],"&gt;="&amp;D29)</f>
        <v>0</v>
      </c>
      <c r="F28" s="39">
        <f t="shared" si="2"/>
        <v>0</v>
      </c>
      <c r="G28" s="40">
        <f>COUNTIF(Vertices[In-Degree],"&gt;= "&amp;F28)-COUNTIF(Vertices[In-Degree],"&gt;="&amp;F29)</f>
        <v>0</v>
      </c>
      <c r="H28" s="39">
        <f t="shared" si="3"/>
        <v>0</v>
      </c>
      <c r="I28" s="40">
        <f>COUNTIF(Vertices[Out-Degree],"&gt;= "&amp;H28)-COUNTIF(Vertices[Out-Degree],"&gt;="&amp;H29)</f>
        <v>0</v>
      </c>
      <c r="J28" s="39">
        <f t="shared" si="4"/>
        <v>0</v>
      </c>
      <c r="K28" s="40">
        <f>COUNTIF(Vertices[Betweenness Centrality],"&gt;= "&amp;J28)-COUNTIF(Vertices[Betweenness Centrality],"&gt;="&amp;J29)</f>
        <v>0</v>
      </c>
      <c r="L28" s="39">
        <f t="shared" si="5"/>
        <v>0</v>
      </c>
      <c r="M28" s="40">
        <f>COUNTIF(Vertices[Closeness Centrality],"&gt;= "&amp;L28)-COUNTIF(Vertices[Closeness Centrality],"&gt;="&amp;L29)</f>
        <v>0</v>
      </c>
      <c r="N28" s="39">
        <f t="shared" si="6"/>
        <v>0</v>
      </c>
      <c r="O28" s="40">
        <f>COUNTIF(Vertices[Eigenvector Centrality],"&gt;= "&amp;N28)-COUNTIF(Vertices[Eigenvector Centrality],"&gt;="&amp;N29)</f>
        <v>0</v>
      </c>
      <c r="P28" s="39">
        <f t="shared" si="7"/>
        <v>0</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c r="B29" s="36"/>
      <c r="D29" s="34">
        <f t="shared" si="1"/>
        <v>0</v>
      </c>
      <c r="E29" s="3">
        <f>COUNTIF(Vertices[Degree],"&gt;= "&amp;D29)-COUNTIF(Vertices[Degree],"&gt;="&amp;D30)</f>
        <v>0</v>
      </c>
      <c r="F29" s="41">
        <f t="shared" si="2"/>
        <v>0</v>
      </c>
      <c r="G29" s="42">
        <f>COUNTIF(Vertices[In-Degree],"&gt;= "&amp;F29)-COUNTIF(Vertices[In-Degree],"&gt;="&amp;F30)</f>
        <v>0</v>
      </c>
      <c r="H29" s="41">
        <f t="shared" si="3"/>
        <v>0</v>
      </c>
      <c r="I29" s="42">
        <f>COUNTIF(Vertices[Out-Degree],"&gt;= "&amp;H29)-COUNTIF(Vertices[Out-Degree],"&gt;="&amp;H30)</f>
        <v>0</v>
      </c>
      <c r="J29" s="41">
        <f t="shared" si="4"/>
        <v>0</v>
      </c>
      <c r="K29" s="42">
        <f>COUNTIF(Vertices[Betweenness Centrality],"&gt;= "&amp;J29)-COUNTIF(Vertices[Betweenness Centrality],"&gt;="&amp;J30)</f>
        <v>0</v>
      </c>
      <c r="L29" s="41">
        <f t="shared" si="5"/>
        <v>0</v>
      </c>
      <c r="M29" s="42">
        <f>COUNTIF(Vertices[Closeness Centrality],"&gt;= "&amp;L29)-COUNTIF(Vertices[Closeness Centrality],"&gt;="&amp;L30)</f>
        <v>0</v>
      </c>
      <c r="N29" s="41">
        <f t="shared" si="6"/>
        <v>0</v>
      </c>
      <c r="O29" s="42">
        <f>COUNTIF(Vertices[Eigenvector Centrality],"&gt;= "&amp;N29)-COUNTIF(Vertices[Eigenvector Centrality],"&gt;="&amp;N30)</f>
        <v>0</v>
      </c>
      <c r="P29" s="41">
        <f t="shared" si="7"/>
        <v>0</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c r="B30" s="36"/>
      <c r="D30" s="34">
        <f t="shared" si="1"/>
        <v>0</v>
      </c>
      <c r="E30" s="3">
        <f>COUNTIF(Vertices[Degree],"&gt;= "&amp;D30)-COUNTIF(Vertices[Degree],"&gt;="&amp;D31)</f>
        <v>0</v>
      </c>
      <c r="F30" s="39">
        <f t="shared" si="2"/>
        <v>0</v>
      </c>
      <c r="G30" s="40">
        <f>COUNTIF(Vertices[In-Degree],"&gt;= "&amp;F30)-COUNTIF(Vertices[In-Degree],"&gt;="&amp;F31)</f>
        <v>0</v>
      </c>
      <c r="H30" s="39">
        <f t="shared" si="3"/>
        <v>0</v>
      </c>
      <c r="I30" s="40">
        <f>COUNTIF(Vertices[Out-Degree],"&gt;= "&amp;H30)-COUNTIF(Vertices[Out-Degree],"&gt;="&amp;H31)</f>
        <v>0</v>
      </c>
      <c r="J30" s="39">
        <f t="shared" si="4"/>
        <v>0</v>
      </c>
      <c r="K30" s="40">
        <f>COUNTIF(Vertices[Betweenness Centrality],"&gt;= "&amp;J30)-COUNTIF(Vertices[Betweenness Centrality],"&gt;="&amp;J31)</f>
        <v>0</v>
      </c>
      <c r="L30" s="39">
        <f t="shared" si="5"/>
        <v>0</v>
      </c>
      <c r="M30" s="40">
        <f>COUNTIF(Vertices[Closeness Centrality],"&gt;= "&amp;L30)-COUNTIF(Vertices[Closeness Centrality],"&gt;="&amp;L31)</f>
        <v>0</v>
      </c>
      <c r="N30" s="39">
        <f t="shared" si="6"/>
        <v>0</v>
      </c>
      <c r="O30" s="40">
        <f>COUNTIF(Vertices[Eigenvector Centrality],"&gt;= "&amp;N30)-COUNTIF(Vertices[Eigenvector Centrality],"&gt;="&amp;N31)</f>
        <v>0</v>
      </c>
      <c r="P30" s="39">
        <f t="shared" si="7"/>
        <v>0</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c r="B31" s="36"/>
      <c r="D31" s="34">
        <f t="shared" si="1"/>
        <v>0</v>
      </c>
      <c r="E31" s="3">
        <f>COUNTIF(Vertices[Degree],"&gt;= "&amp;D31)-COUNTIF(Vertices[Degree],"&gt;="&amp;D32)</f>
        <v>0</v>
      </c>
      <c r="F31" s="41">
        <f t="shared" si="2"/>
        <v>0</v>
      </c>
      <c r="G31" s="42">
        <f>COUNTIF(Vertices[In-Degree],"&gt;= "&amp;F31)-COUNTIF(Vertices[In-Degree],"&gt;="&amp;F32)</f>
        <v>0</v>
      </c>
      <c r="H31" s="41">
        <f t="shared" si="3"/>
        <v>0</v>
      </c>
      <c r="I31" s="42">
        <f>COUNTIF(Vertices[Out-Degree],"&gt;= "&amp;H31)-COUNTIF(Vertices[Out-Degree],"&gt;="&amp;H32)</f>
        <v>0</v>
      </c>
      <c r="J31" s="41">
        <f t="shared" si="4"/>
        <v>0</v>
      </c>
      <c r="K31" s="42">
        <f>COUNTIF(Vertices[Betweenness Centrality],"&gt;= "&amp;J31)-COUNTIF(Vertices[Betweenness Centrality],"&gt;="&amp;J32)</f>
        <v>0</v>
      </c>
      <c r="L31" s="41">
        <f t="shared" si="5"/>
        <v>0</v>
      </c>
      <c r="M31" s="42">
        <f>COUNTIF(Vertices[Closeness Centrality],"&gt;= "&amp;L31)-COUNTIF(Vertices[Closeness Centrality],"&gt;="&amp;L32)</f>
        <v>0</v>
      </c>
      <c r="N31" s="41">
        <f t="shared" si="6"/>
        <v>0</v>
      </c>
      <c r="O31" s="42">
        <f>COUNTIF(Vertices[Eigenvector Centrality],"&gt;= "&amp;N31)-COUNTIF(Vertices[Eigenvector Centrality],"&gt;="&amp;N32)</f>
        <v>0</v>
      </c>
      <c r="P31" s="41">
        <f t="shared" si="7"/>
        <v>0</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c r="B32" s="36"/>
      <c r="D32" s="34">
        <f t="shared" si="1"/>
        <v>0</v>
      </c>
      <c r="E32" s="3">
        <f>COUNTIF(Vertices[Degree],"&gt;= "&amp;D32)-COUNTIF(Vertices[Degree],"&gt;="&amp;D33)</f>
        <v>0</v>
      </c>
      <c r="F32" s="39">
        <f t="shared" si="2"/>
        <v>0</v>
      </c>
      <c r="G32" s="40">
        <f>COUNTIF(Vertices[In-Degree],"&gt;= "&amp;F32)-COUNTIF(Vertices[In-Degree],"&gt;="&amp;F33)</f>
        <v>0</v>
      </c>
      <c r="H32" s="39">
        <f t="shared" si="3"/>
        <v>0</v>
      </c>
      <c r="I32" s="40">
        <f>COUNTIF(Vertices[Out-Degree],"&gt;= "&amp;H32)-COUNTIF(Vertices[Out-Degree],"&gt;="&amp;H33)</f>
        <v>0</v>
      </c>
      <c r="J32" s="39">
        <f t="shared" si="4"/>
        <v>0</v>
      </c>
      <c r="K32" s="40">
        <f>COUNTIF(Vertices[Betweenness Centrality],"&gt;= "&amp;J32)-COUNTIF(Vertices[Betweenness Centrality],"&gt;="&amp;J33)</f>
        <v>0</v>
      </c>
      <c r="L32" s="39">
        <f t="shared" si="5"/>
        <v>0</v>
      </c>
      <c r="M32" s="40">
        <f>COUNTIF(Vertices[Closeness Centrality],"&gt;= "&amp;L32)-COUNTIF(Vertices[Closeness Centrality],"&gt;="&amp;L33)</f>
        <v>0</v>
      </c>
      <c r="N32" s="39">
        <f t="shared" si="6"/>
        <v>0</v>
      </c>
      <c r="O32" s="40">
        <f>COUNTIF(Vertices[Eigenvector Centrality],"&gt;= "&amp;N32)-COUNTIF(Vertices[Eigenvector Centrality],"&gt;="&amp;N33)</f>
        <v>0</v>
      </c>
      <c r="P32" s="39">
        <f t="shared" si="7"/>
        <v>0</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79"/>
      <c r="B33" s="79"/>
      <c r="D33" s="34">
        <f t="shared" si="1"/>
        <v>0</v>
      </c>
      <c r="E33" s="3">
        <f>COUNTIF(Vertices[Degree],"&gt;= "&amp;D33)-COUNTIF(Vertices[Degree],"&gt;="&amp;D34)</f>
        <v>0</v>
      </c>
      <c r="F33" s="41">
        <f t="shared" si="2"/>
        <v>0</v>
      </c>
      <c r="G33" s="42">
        <f>COUNTIF(Vertices[In-Degree],"&gt;= "&amp;F33)-COUNTIF(Vertices[In-Degree],"&gt;="&amp;F34)</f>
        <v>0</v>
      </c>
      <c r="H33" s="41">
        <f t="shared" si="3"/>
        <v>0</v>
      </c>
      <c r="I33" s="42">
        <f>COUNTIF(Vertices[Out-Degree],"&gt;= "&amp;H33)-COUNTIF(Vertices[Out-Degree],"&gt;="&amp;H34)</f>
        <v>0</v>
      </c>
      <c r="J33" s="41">
        <f t="shared" si="4"/>
        <v>0</v>
      </c>
      <c r="K33" s="42">
        <f>COUNTIF(Vertices[Betweenness Centrality],"&gt;= "&amp;J33)-COUNTIF(Vertices[Betweenness Centrality],"&gt;="&amp;J34)</f>
        <v>0</v>
      </c>
      <c r="L33" s="41">
        <f t="shared" si="5"/>
        <v>0</v>
      </c>
      <c r="M33" s="42">
        <f>COUNTIF(Vertices[Closeness Centrality],"&gt;= "&amp;L33)-COUNTIF(Vertices[Closeness Centrality],"&gt;="&amp;L34)</f>
        <v>0</v>
      </c>
      <c r="N33" s="41">
        <f t="shared" si="6"/>
        <v>0</v>
      </c>
      <c r="O33" s="42">
        <f>COUNTIF(Vertices[Eigenvector Centrality],"&gt;= "&amp;N33)-COUNTIF(Vertices[Eigenvector Centrality],"&gt;="&amp;N34)</f>
        <v>0</v>
      </c>
      <c r="P33" s="41">
        <f t="shared" si="7"/>
        <v>0</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c r="B34" s="36"/>
      <c r="D34" s="34">
        <f t="shared" si="1"/>
        <v>0</v>
      </c>
      <c r="E34" s="3">
        <f>COUNTIF(Vertices[Degree],"&gt;= "&amp;D34)-COUNTIF(Vertices[Degree],"&gt;="&amp;D35)</f>
        <v>0</v>
      </c>
      <c r="F34" s="39">
        <f t="shared" si="2"/>
        <v>0</v>
      </c>
      <c r="G34" s="40">
        <f>COUNTIF(Vertices[In-Degree],"&gt;= "&amp;F34)-COUNTIF(Vertices[In-Degree],"&gt;="&amp;F35)</f>
        <v>0</v>
      </c>
      <c r="H34" s="39">
        <f t="shared" si="3"/>
        <v>0</v>
      </c>
      <c r="I34" s="40">
        <f>COUNTIF(Vertices[Out-Degree],"&gt;= "&amp;H34)-COUNTIF(Vertices[Out-Degree],"&gt;="&amp;H35)</f>
        <v>0</v>
      </c>
      <c r="J34" s="39">
        <f t="shared" si="4"/>
        <v>0</v>
      </c>
      <c r="K34" s="40">
        <f>COUNTIF(Vertices[Betweenness Centrality],"&gt;= "&amp;J34)-COUNTIF(Vertices[Betweenness Centrality],"&gt;="&amp;J35)</f>
        <v>0</v>
      </c>
      <c r="L34" s="39">
        <f t="shared" si="5"/>
        <v>0</v>
      </c>
      <c r="M34" s="40">
        <f>COUNTIF(Vertices[Closeness Centrality],"&gt;= "&amp;L34)-COUNTIF(Vertices[Closeness Centrality],"&gt;="&amp;L35)</f>
        <v>0</v>
      </c>
      <c r="N34" s="39">
        <f t="shared" si="6"/>
        <v>0</v>
      </c>
      <c r="O34" s="40">
        <f>COUNTIF(Vertices[Eigenvector Centrality],"&gt;= "&amp;N34)-COUNTIF(Vertices[Eigenvector Centrality],"&gt;="&amp;N35)</f>
        <v>0</v>
      </c>
      <c r="P34" s="39">
        <f t="shared" si="7"/>
        <v>0</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c r="B35" s="36"/>
      <c r="D35" s="34">
        <f t="shared" si="1"/>
        <v>0</v>
      </c>
      <c r="E35" s="3">
        <f>COUNTIF(Vertices[Degree],"&gt;= "&amp;D35)-COUNTIF(Vertices[Degree],"&gt;="&amp;D36)</f>
        <v>0</v>
      </c>
      <c r="F35" s="41">
        <f t="shared" si="2"/>
        <v>0</v>
      </c>
      <c r="G35" s="42">
        <f>COUNTIF(Vertices[In-Degree],"&gt;= "&amp;F35)-COUNTIF(Vertices[In-Degree],"&gt;="&amp;F36)</f>
        <v>0</v>
      </c>
      <c r="H35" s="41">
        <f t="shared" si="3"/>
        <v>0</v>
      </c>
      <c r="I35" s="42">
        <f>COUNTIF(Vertices[Out-Degree],"&gt;= "&amp;H35)-COUNTIF(Vertices[Out-Degree],"&gt;="&amp;H36)</f>
        <v>0</v>
      </c>
      <c r="J35" s="41">
        <f t="shared" si="4"/>
        <v>0</v>
      </c>
      <c r="K35" s="42">
        <f>COUNTIF(Vertices[Betweenness Centrality],"&gt;= "&amp;J35)-COUNTIF(Vertices[Betweenness Centrality],"&gt;="&amp;J36)</f>
        <v>0</v>
      </c>
      <c r="L35" s="41">
        <f t="shared" si="5"/>
        <v>0</v>
      </c>
      <c r="M35" s="42">
        <f>COUNTIF(Vertices[Closeness Centrality],"&gt;= "&amp;L35)-COUNTIF(Vertices[Closeness Centrality],"&gt;="&amp;L36)</f>
        <v>0</v>
      </c>
      <c r="N35" s="41">
        <f t="shared" si="6"/>
        <v>0</v>
      </c>
      <c r="O35" s="42">
        <f>COUNTIF(Vertices[Eigenvector Centrality],"&gt;= "&amp;N35)-COUNTIF(Vertices[Eigenvector Centrality],"&gt;="&amp;N36)</f>
        <v>0</v>
      </c>
      <c r="P35" s="41">
        <f t="shared" si="7"/>
        <v>0</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c r="B36" s="36"/>
      <c r="D36" s="34">
        <f>MAX(Vertices[Degree])</f>
        <v>0</v>
      </c>
      <c r="E36" s="3">
        <f>COUNTIF(Vertices[Degree],"&gt;= "&amp;D36)-COUNTIF(Vertices[Degree],"&gt;="&amp;#REF!)</f>
        <v>0</v>
      </c>
      <c r="F36" s="43">
        <f>MAX(Vertices[In-Degree])</f>
        <v>0</v>
      </c>
      <c r="G36" s="44">
        <f>COUNTIF(Vertices[In-Degree],"&gt;= "&amp;F36)-COUNTIF(Vertices[In-Degree],"&gt;="&amp;#REF!)</f>
        <v>0</v>
      </c>
      <c r="H36" s="43">
        <f>MAX(Vertices[Out-Degree])</f>
        <v>0</v>
      </c>
      <c r="I36" s="44">
        <f>COUNTIF(Vertices[Out-Degree],"&gt;= "&amp;H36)-COUNTIF(Vertices[Out-Degree],"&gt;="&amp;#REF!)</f>
        <v>0</v>
      </c>
      <c r="J36" s="43">
        <f>MAX(Vertices[Betweenness Centrality])</f>
        <v>0</v>
      </c>
      <c r="K36" s="44">
        <f>COUNTIF(Vertices[Betweenness Centrality],"&gt;= "&amp;J36)-COUNTIF(Vertices[Betweenness Centrality],"&gt;="&amp;#REF!)</f>
        <v>0</v>
      </c>
      <c r="L36" s="43">
        <f>MAX(Vertices[Closeness Centrality])</f>
        <v>0</v>
      </c>
      <c r="M36" s="44">
        <f>COUNTIF(Vertices[Closeness Centrality],"&gt;= "&amp;L36)-COUNTIF(Vertices[Closeness Centrality],"&gt;="&amp;#REF!)</f>
        <v>0</v>
      </c>
      <c r="N36" s="43">
        <f>MAX(Vertices[Eigenvector Centrality])</f>
        <v>0</v>
      </c>
      <c r="O36" s="44">
        <f>COUNTIF(Vertices[Eigenvector Centrality],"&gt;= "&amp;N36)-COUNTIF(Vertices[Eigenvector Centrality],"&gt;="&amp;#REF!)</f>
        <v>0</v>
      </c>
      <c r="P36" s="43">
        <f>MAX(Vertices[PageRank])</f>
        <v>0</v>
      </c>
      <c r="Q36" s="44">
        <f>COUNTIF(Vertices[PageRank],"&gt;= "&amp;P36)-COUNTIF(Vertices[PageRank],"&gt;="&amp;#REF!)</f>
        <v>0</v>
      </c>
      <c r="R36" s="43">
        <f>MAX(Vertices[Clustering Coefficient])</f>
        <v>0</v>
      </c>
      <c r="S36" s="47">
        <f>COUNTIF(Vertices[Clustering Coefficient],"&gt;= "&amp;R36)-COUNTIF(Vertices[Clustering Coefficient],"&gt;="&amp;#REF!)</f>
        <v>0</v>
      </c>
      <c r="T36" s="43" t="e">
        <f ca="1">MAX(INDIRECT(DynamicFilterSourceColumnRange))</f>
        <v>#REF!</v>
      </c>
      <c r="U36" s="44" t="e">
        <f ca="1">COUNTIF(INDIRECT(DynamicFilterSourceColumnRange),"&gt;= "&amp;T36)-COUNTIF(INDIRECT(DynamicFilterSourceColumnRange),"&gt;="&amp;#REF!)</f>
        <v>#REF!</v>
      </c>
    </row>
    <row r="37" spans="1:2" ht="15">
      <c r="A37" s="79"/>
      <c r="B37" s="79"/>
    </row>
    <row r="38" spans="1:2" ht="15">
      <c r="A38" s="79"/>
      <c r="B38" s="79"/>
    </row>
    <row r="39" spans="1:2" ht="15">
      <c r="A39" s="79"/>
      <c r="B39" s="79"/>
    </row>
    <row r="40" spans="1:2" ht="15">
      <c r="A40" s="79"/>
      <c r="B40" s="79"/>
    </row>
    <row r="41" spans="1:2" ht="15">
      <c r="A41" s="79"/>
      <c r="B41" s="79"/>
    </row>
    <row r="42" spans="1:2" ht="15">
      <c r="A42" s="36"/>
      <c r="B42" s="36"/>
    </row>
    <row r="43" spans="1:2" ht="15">
      <c r="A43" s="36"/>
      <c r="B43" s="36"/>
    </row>
    <row r="44" spans="1:2" ht="15">
      <c r="A44" s="36"/>
      <c r="B44" s="36"/>
    </row>
    <row r="45" spans="1:2" ht="15">
      <c r="A45" s="36"/>
      <c r="B45" s="36"/>
    </row>
    <row r="46" spans="1:2" ht="15">
      <c r="A46" s="36"/>
      <c r="B46" s="36"/>
    </row>
    <row r="47" spans="1:2" ht="15">
      <c r="A47" s="36"/>
      <c r="B47" s="36"/>
    </row>
    <row r="48" spans="1:2" ht="15">
      <c r="A48" s="36"/>
      <c r="B48" s="36"/>
    </row>
    <row r="49" spans="1:2" ht="15">
      <c r="A49" s="36"/>
      <c r="B49" s="36"/>
    </row>
    <row r="50" spans="1:2" ht="15">
      <c r="A50" s="79"/>
      <c r="B50" s="79"/>
    </row>
    <row r="51" spans="1:2" ht="15">
      <c r="A51" s="79"/>
      <c r="B51" s="79"/>
    </row>
    <row r="52" spans="1:2" ht="15">
      <c r="A52" s="36"/>
      <c r="B52" s="36"/>
    </row>
    <row r="53" spans="1:2" ht="15">
      <c r="A53" s="79"/>
      <c r="B53" s="79"/>
    </row>
    <row r="54" spans="1:2" ht="15">
      <c r="A54" s="36"/>
      <c r="B54" s="36"/>
    </row>
    <row r="55" spans="1:2" ht="15">
      <c r="A55" s="36"/>
      <c r="B55" s="36"/>
    </row>
    <row r="56" spans="1:2" ht="15">
      <c r="A56" s="36"/>
      <c r="B56" s="36"/>
    </row>
    <row r="57" spans="1:2" ht="15">
      <c r="A57" s="79"/>
      <c r="B57" s="79"/>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t="str">
        <f>IF(COUNT(Vertices[In-Degree])&gt;0,F2,NoMetricMessage)</f>
        <v>Not Available</v>
      </c>
    </row>
    <row r="89" spans="1:2" ht="15">
      <c r="A89" s="35" t="s">
        <v>89</v>
      </c>
      <c r="B89" s="48" t="str">
        <f>IF(COUNT(Vertices[In-Degree])&gt;0,F36,NoMetricMessage)</f>
        <v>Not Available</v>
      </c>
    </row>
    <row r="90" spans="1:2" ht="15">
      <c r="A90" s="35" t="s">
        <v>90</v>
      </c>
      <c r="B90" s="49" t="str">
        <f>_xlfn.IFERROR(AVERAGE(Vertices[In-Degree]),NoMetricMessage)</f>
        <v>Not Available</v>
      </c>
    </row>
    <row r="91" spans="1:2" ht="15">
      <c r="A91" s="35" t="s">
        <v>91</v>
      </c>
      <c r="B91" s="49" t="str">
        <f>_xlfn.IFERROR(MEDIAN(Vertices[In-Degree]),NoMetricMessage)</f>
        <v>Not Available</v>
      </c>
    </row>
    <row r="102" spans="1:2" ht="15">
      <c r="A102" s="35" t="s">
        <v>94</v>
      </c>
      <c r="B102" s="48" t="str">
        <f>IF(COUNT(Vertices[Out-Degree])&gt;0,H2,NoMetricMessage)</f>
        <v>Not Available</v>
      </c>
    </row>
    <row r="103" spans="1:2" ht="15">
      <c r="A103" s="35" t="s">
        <v>95</v>
      </c>
      <c r="B103" s="48" t="str">
        <f>IF(COUNT(Vertices[Out-Degree])&gt;0,H36,NoMetricMessage)</f>
        <v>Not Available</v>
      </c>
    </row>
    <row r="104" spans="1:2" ht="15">
      <c r="A104" s="35" t="s">
        <v>96</v>
      </c>
      <c r="B104" s="49" t="str">
        <f>_xlfn.IFERROR(AVERAGE(Vertices[Out-Degree]),NoMetricMessage)</f>
        <v>Not Available</v>
      </c>
    </row>
    <row r="105" spans="1:2" ht="15">
      <c r="A105" s="35" t="s">
        <v>97</v>
      </c>
      <c r="B105" s="49" t="str">
        <f>_xlfn.IFERROR(MEDIAN(Vertices[Out-Degree]),NoMetricMessage)</f>
        <v>Not Available</v>
      </c>
    </row>
    <row r="116" spans="1:2" ht="15">
      <c r="A116" s="35" t="s">
        <v>100</v>
      </c>
      <c r="B116" s="49" t="str">
        <f>IF(COUNT(Vertices[Betweenness Centrality])&gt;0,J2,NoMetricMessage)</f>
        <v>Not Available</v>
      </c>
    </row>
    <row r="117" spans="1:2" ht="15">
      <c r="A117" s="35" t="s">
        <v>101</v>
      </c>
      <c r="B117" s="49" t="str">
        <f>IF(COUNT(Vertices[Betweenness Centrality])&gt;0,J36,NoMetricMessage)</f>
        <v>Not Available</v>
      </c>
    </row>
    <row r="118" spans="1:2" ht="15">
      <c r="A118" s="35" t="s">
        <v>102</v>
      </c>
      <c r="B118" s="49" t="str">
        <f>_xlfn.IFERROR(AVERAGE(Vertices[Betweenness Centrality]),NoMetricMessage)</f>
        <v>Not Available</v>
      </c>
    </row>
    <row r="119" spans="1:2" ht="15">
      <c r="A119" s="35" t="s">
        <v>103</v>
      </c>
      <c r="B119" s="49" t="str">
        <f>_xlfn.IFERROR(MEDIAN(Vertices[Betweenness Centrality]),NoMetricMessage)</f>
        <v>Not Available</v>
      </c>
    </row>
    <row r="130" spans="1:2" ht="15">
      <c r="A130" s="35" t="s">
        <v>106</v>
      </c>
      <c r="B130" s="49" t="str">
        <f>IF(COUNT(Vertices[Closeness Centrality])&gt;0,L2,NoMetricMessage)</f>
        <v>Not Available</v>
      </c>
    </row>
    <row r="131" spans="1:2" ht="15">
      <c r="A131" s="35" t="s">
        <v>107</v>
      </c>
      <c r="B131" s="49" t="str">
        <f>IF(COUNT(Vertices[Closeness Centrality])&gt;0,L36,NoMetricMessage)</f>
        <v>Not Available</v>
      </c>
    </row>
    <row r="132" spans="1:2" ht="15">
      <c r="A132" s="35" t="s">
        <v>108</v>
      </c>
      <c r="B132" s="49" t="str">
        <f>_xlfn.IFERROR(AVERAGE(Vertices[Closeness Centrality]),NoMetricMessage)</f>
        <v>Not Available</v>
      </c>
    </row>
    <row r="133" spans="1:2" ht="15">
      <c r="A133" s="35" t="s">
        <v>109</v>
      </c>
      <c r="B133" s="49" t="str">
        <f>_xlfn.IFERROR(MEDIAN(Vertices[Closeness Centrality]),NoMetricMessage)</f>
        <v>Not Available</v>
      </c>
    </row>
    <row r="144" spans="1:2" ht="15">
      <c r="A144" s="35" t="s">
        <v>112</v>
      </c>
      <c r="B144" s="49" t="str">
        <f>IF(COUNT(Vertices[Eigenvector Centrality])&gt;0,N2,NoMetricMessage)</f>
        <v>Not Available</v>
      </c>
    </row>
    <row r="145" spans="1:2" ht="15">
      <c r="A145" s="35" t="s">
        <v>113</v>
      </c>
      <c r="B145" s="49" t="str">
        <f>IF(COUNT(Vertices[Eigenvector Centrality])&gt;0,N36,NoMetricMessage)</f>
        <v>Not Available</v>
      </c>
    </row>
    <row r="146" spans="1:2" ht="15">
      <c r="A146" s="35" t="s">
        <v>114</v>
      </c>
      <c r="B146" s="49" t="str">
        <f>_xlfn.IFERROR(AVERAGE(Vertices[Eigenvector Centrality]),NoMetricMessage)</f>
        <v>Not Available</v>
      </c>
    </row>
    <row r="147" spans="1:2" ht="15">
      <c r="A147" s="35" t="s">
        <v>115</v>
      </c>
      <c r="B147" s="49" t="str">
        <f>_xlfn.IFERROR(MEDIAN(Vertices[Eigenvector Centrality]),NoMetricMessage)</f>
        <v>Not Available</v>
      </c>
    </row>
    <row r="158" spans="1:2" ht="15">
      <c r="A158" s="35" t="s">
        <v>140</v>
      </c>
      <c r="B158" s="49" t="str">
        <f>IF(COUNT(Vertices[PageRank])&gt;0,P2,NoMetricMessage)</f>
        <v>Not Available</v>
      </c>
    </row>
    <row r="159" spans="1:2" ht="15">
      <c r="A159" s="35" t="s">
        <v>141</v>
      </c>
      <c r="B159" s="49" t="str">
        <f>IF(COUNT(Vertices[PageRank])&gt;0,P36,NoMetricMessage)</f>
        <v>Not Available</v>
      </c>
    </row>
    <row r="160" spans="1:2" ht="15">
      <c r="A160" s="35" t="s">
        <v>142</v>
      </c>
      <c r="B160" s="49" t="str">
        <f>_xlfn.IFERROR(AVERAGE(Vertices[PageRank]),NoMetricMessage)</f>
        <v>Not Available</v>
      </c>
    </row>
    <row r="161" spans="1:2" ht="15">
      <c r="A161" s="35" t="s">
        <v>143</v>
      </c>
      <c r="B161" s="49" t="str">
        <f>_xlfn.IFERROR(MEDIAN(Vertices[PageRank]),NoMetricMessage)</f>
        <v>Not Available</v>
      </c>
    </row>
    <row r="172" spans="1:2" ht="15">
      <c r="A172" s="35" t="s">
        <v>118</v>
      </c>
      <c r="B172" s="49" t="str">
        <f>IF(COUNT(Vertices[Clustering Coefficient])&gt;0,R2,NoMetricMessage)</f>
        <v>Not Available</v>
      </c>
    </row>
    <row r="173" spans="1:2" ht="15">
      <c r="A173" s="35" t="s">
        <v>119</v>
      </c>
      <c r="B173" s="49" t="str">
        <f>IF(COUNT(Vertices[Clustering Coefficient])&gt;0,R36,NoMetricMessage)</f>
        <v>Not Available</v>
      </c>
    </row>
    <row r="174" spans="1:2" ht="15">
      <c r="A174" s="35" t="s">
        <v>120</v>
      </c>
      <c r="B174" s="49" t="str">
        <f>_xlfn.IFERROR(AVERAGE(Vertices[Clustering Coefficient]),NoMetricMessage)</f>
        <v>Not Available</v>
      </c>
    </row>
    <row r="175" spans="1:2" ht="15">
      <c r="A175" s="35" t="s">
        <v>121</v>
      </c>
      <c r="B175" s="49"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8" t="s">
        <v>39</v>
      </c>
      <c r="D1" s="19"/>
      <c r="E1" s="19"/>
      <c r="F1" s="19"/>
      <c r="G1" s="18"/>
      <c r="H1" s="16" t="s">
        <v>43</v>
      </c>
      <c r="I1" s="66"/>
      <c r="J1" s="66"/>
      <c r="K1" s="35" t="s">
        <v>42</v>
      </c>
      <c r="L1" s="20" t="s">
        <v>40</v>
      </c>
      <c r="M1" s="20"/>
      <c r="N1" s="17"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320</v>
      </c>
      <c r="BD2" s="13" t="s">
        <v>326</v>
      </c>
      <c r="BE2" s="13" t="s">
        <v>327</v>
      </c>
    </row>
    <row r="3" spans="1:57" ht="15" customHeight="1">
      <c r="A3" s="83" t="s">
        <v>216</v>
      </c>
      <c r="B3" s="83" t="s">
        <v>216</v>
      </c>
      <c r="C3" s="54"/>
      <c r="D3" s="55"/>
      <c r="E3" s="67"/>
      <c r="F3" s="56"/>
      <c r="G3" s="54"/>
      <c r="H3" s="58"/>
      <c r="I3" s="57"/>
      <c r="J3" s="57"/>
      <c r="K3" s="36" t="s">
        <v>65</v>
      </c>
      <c r="L3" s="63">
        <v>3</v>
      </c>
      <c r="M3" s="63"/>
      <c r="N3" s="64"/>
      <c r="O3" s="84" t="s">
        <v>176</v>
      </c>
      <c r="P3" s="86">
        <v>43244.1128125</v>
      </c>
      <c r="Q3" s="84" t="s">
        <v>224</v>
      </c>
      <c r="R3" s="84"/>
      <c r="S3" s="84"/>
      <c r="T3" s="89" t="s">
        <v>226</v>
      </c>
      <c r="U3" s="91" t="str">
        <f>HYPERLINK("https://pbs.twimg.com/media/Dd7eajXUwAE8b-v.jpg")</f>
        <v>https://pbs.twimg.com/media/Dd7eajXUwAE8b-v.jpg</v>
      </c>
      <c r="V3" s="91" t="str">
        <f>HYPERLINK("https://pbs.twimg.com/media/Dd7eajXUwAE8b-v.jpg")</f>
        <v>https://pbs.twimg.com/media/Dd7eajXUwAE8b-v.jpg</v>
      </c>
      <c r="W3" s="86">
        <v>43244.1128125</v>
      </c>
      <c r="X3" s="92">
        <v>43244</v>
      </c>
      <c r="Y3" s="89" t="s">
        <v>232</v>
      </c>
      <c r="Z3" s="91" t="str">
        <f>HYPERLINK("https://twitter.com/#!/wcaomaha/status/999480717124997125")</f>
        <v>https://twitter.com/#!/wcaomaha/status/999480717124997125</v>
      </c>
      <c r="AA3" s="84"/>
      <c r="AB3" s="84"/>
      <c r="AC3" s="89" t="s">
        <v>236</v>
      </c>
      <c r="AD3" s="84"/>
      <c r="AE3" s="84" t="b">
        <v>0</v>
      </c>
      <c r="AF3" s="84">
        <v>2</v>
      </c>
      <c r="AG3" s="89" t="s">
        <v>238</v>
      </c>
      <c r="AH3" s="84" t="b">
        <v>0</v>
      </c>
      <c r="AI3" s="84" t="s">
        <v>240</v>
      </c>
      <c r="AJ3" s="84"/>
      <c r="AK3" s="89" t="s">
        <v>238</v>
      </c>
      <c r="AL3" s="84" t="b">
        <v>0</v>
      </c>
      <c r="AM3" s="84">
        <v>2</v>
      </c>
      <c r="AN3" s="89" t="s">
        <v>238</v>
      </c>
      <c r="AO3" s="89" t="s">
        <v>242</v>
      </c>
      <c r="AP3" s="84" t="b">
        <v>0</v>
      </c>
      <c r="AQ3" s="89" t="s">
        <v>236</v>
      </c>
      <c r="AR3" s="84" t="s">
        <v>219</v>
      </c>
      <c r="AS3" s="84">
        <v>0</v>
      </c>
      <c r="AT3" s="84">
        <v>0</v>
      </c>
      <c r="AU3" s="84"/>
      <c r="AV3" s="84"/>
      <c r="AW3" s="84"/>
      <c r="AX3" s="84"/>
      <c r="AY3" s="84"/>
      <c r="AZ3" s="84"/>
      <c r="BA3" s="84"/>
      <c r="BB3" s="84"/>
      <c r="BC3">
        <v>1</v>
      </c>
      <c r="BD3" s="84" t="str">
        <f>REPLACE(INDEX(GroupVertices[Group],MATCH(Edges11[[#This Row],[Vertex 1]],GroupVertices[Vertex],0)),1,1,"")</f>
        <v>2</v>
      </c>
      <c r="BE3" s="84" t="str">
        <f>REPLACE(INDEX(GroupVertices[Group],MATCH(Edges11[[#This Row],[Vertex 2]],GroupVertices[Vertex],0)),1,1,"")</f>
        <v>2</v>
      </c>
    </row>
    <row r="4" spans="1:57" ht="15" customHeight="1">
      <c r="A4" s="83" t="s">
        <v>214</v>
      </c>
      <c r="B4" s="83" t="s">
        <v>216</v>
      </c>
      <c r="C4" s="54"/>
      <c r="D4" s="55"/>
      <c r="E4" s="67"/>
      <c r="F4" s="56"/>
      <c r="G4" s="54"/>
      <c r="H4" s="58"/>
      <c r="I4" s="57"/>
      <c r="J4" s="57"/>
      <c r="K4" s="36" t="s">
        <v>65</v>
      </c>
      <c r="L4" s="82">
        <v>4</v>
      </c>
      <c r="M4" s="82"/>
      <c r="N4" s="64"/>
      <c r="O4" s="85" t="s">
        <v>218</v>
      </c>
      <c r="P4" s="87">
        <v>44810.42454861111</v>
      </c>
      <c r="Q4" s="85" t="s">
        <v>221</v>
      </c>
      <c r="R4" s="85"/>
      <c r="S4" s="85"/>
      <c r="T4" s="90" t="s">
        <v>226</v>
      </c>
      <c r="U4" s="85"/>
      <c r="V4" s="88" t="str">
        <f>HYPERLINK("http://pbs.twimg.com/profile_images/1561693986590449668/1bORWfiR_normal.jpg")</f>
        <v>http://pbs.twimg.com/profile_images/1561693986590449668/1bORWfiR_normal.jpg</v>
      </c>
      <c r="W4" s="87">
        <v>44810.42454861111</v>
      </c>
      <c r="X4" s="93">
        <v>44810</v>
      </c>
      <c r="Y4" s="90" t="s">
        <v>229</v>
      </c>
      <c r="Z4" s="88" t="str">
        <f>HYPERLINK("https://twitter.com/#!/fabioliva10/status/1567093086085316619")</f>
        <v>https://twitter.com/#!/fabioliva10/status/1567093086085316619</v>
      </c>
      <c r="AA4" s="85"/>
      <c r="AB4" s="85"/>
      <c r="AC4" s="90" t="s">
        <v>233</v>
      </c>
      <c r="AD4" s="85"/>
      <c r="AE4" s="85" t="b">
        <v>0</v>
      </c>
      <c r="AF4" s="85">
        <v>0</v>
      </c>
      <c r="AG4" s="90" t="s">
        <v>238</v>
      </c>
      <c r="AH4" s="85" t="b">
        <v>0</v>
      </c>
      <c r="AI4" s="85" t="s">
        <v>240</v>
      </c>
      <c r="AJ4" s="85"/>
      <c r="AK4" s="90" t="s">
        <v>238</v>
      </c>
      <c r="AL4" s="85" t="b">
        <v>0</v>
      </c>
      <c r="AM4" s="85">
        <v>2</v>
      </c>
      <c r="AN4" s="90" t="s">
        <v>236</v>
      </c>
      <c r="AO4" s="90" t="s">
        <v>241</v>
      </c>
      <c r="AP4" s="85" t="b">
        <v>0</v>
      </c>
      <c r="AQ4" s="90" t="s">
        <v>236</v>
      </c>
      <c r="AR4" s="85" t="s">
        <v>176</v>
      </c>
      <c r="AS4" s="85">
        <v>0</v>
      </c>
      <c r="AT4" s="85">
        <v>0</v>
      </c>
      <c r="AU4" s="85"/>
      <c r="AV4" s="85"/>
      <c r="AW4" s="85"/>
      <c r="AX4" s="85"/>
      <c r="AY4" s="85"/>
      <c r="AZ4" s="85"/>
      <c r="BA4" s="85"/>
      <c r="BB4" s="85"/>
      <c r="BC4">
        <v>1</v>
      </c>
      <c r="BD4" s="84" t="str">
        <f>REPLACE(INDEX(GroupVertices[Group],MATCH(Edges11[[#This Row],[Vertex 1]],GroupVertices[Vertex],0)),1,1,"")</f>
        <v>2</v>
      </c>
      <c r="BE4" s="84" t="str">
        <f>REPLACE(INDEX(GroupVertices[Group],MATCH(Edges11[[#This Row],[Vertex 2]],GroupVertices[Vertex],0)),1,1,"")</f>
        <v>2</v>
      </c>
    </row>
    <row r="5" spans="1:57" ht="15">
      <c r="A5" s="83" t="s">
        <v>214</v>
      </c>
      <c r="B5" s="83" t="s">
        <v>216</v>
      </c>
      <c r="C5" s="54"/>
      <c r="D5" s="55"/>
      <c r="E5" s="67"/>
      <c r="F5" s="56"/>
      <c r="G5" s="54"/>
      <c r="H5" s="58"/>
      <c r="I5" s="57"/>
      <c r="J5" s="57"/>
      <c r="K5" s="36" t="s">
        <v>65</v>
      </c>
      <c r="L5" s="82">
        <v>5</v>
      </c>
      <c r="M5" s="82"/>
      <c r="N5" s="64"/>
      <c r="O5" s="85" t="s">
        <v>219</v>
      </c>
      <c r="P5" s="87">
        <v>44810.42454861111</v>
      </c>
      <c r="Q5" s="85" t="s">
        <v>221</v>
      </c>
      <c r="R5" s="85"/>
      <c r="S5" s="85"/>
      <c r="T5" s="90" t="s">
        <v>226</v>
      </c>
      <c r="U5" s="85"/>
      <c r="V5" s="88" t="str">
        <f>HYPERLINK("http://pbs.twimg.com/profile_images/1561693986590449668/1bORWfiR_normal.jpg")</f>
        <v>http://pbs.twimg.com/profile_images/1561693986590449668/1bORWfiR_normal.jpg</v>
      </c>
      <c r="W5" s="87">
        <v>44810.42454861111</v>
      </c>
      <c r="X5" s="93">
        <v>44810</v>
      </c>
      <c r="Y5" s="90" t="s">
        <v>229</v>
      </c>
      <c r="Z5" s="88" t="str">
        <f>HYPERLINK("https://twitter.com/#!/fabioliva10/status/1567093086085316619")</f>
        <v>https://twitter.com/#!/fabioliva10/status/1567093086085316619</v>
      </c>
      <c r="AA5" s="85"/>
      <c r="AB5" s="85"/>
      <c r="AC5" s="90" t="s">
        <v>233</v>
      </c>
      <c r="AD5" s="85"/>
      <c r="AE5" s="85" t="b">
        <v>0</v>
      </c>
      <c r="AF5" s="85">
        <v>0</v>
      </c>
      <c r="AG5" s="90" t="s">
        <v>238</v>
      </c>
      <c r="AH5" s="85" t="b">
        <v>0</v>
      </c>
      <c r="AI5" s="85" t="s">
        <v>240</v>
      </c>
      <c r="AJ5" s="85"/>
      <c r="AK5" s="90" t="s">
        <v>238</v>
      </c>
      <c r="AL5" s="85" t="b">
        <v>0</v>
      </c>
      <c r="AM5" s="85">
        <v>2</v>
      </c>
      <c r="AN5" s="90" t="s">
        <v>236</v>
      </c>
      <c r="AO5" s="90" t="s">
        <v>241</v>
      </c>
      <c r="AP5" s="85" t="b">
        <v>0</v>
      </c>
      <c r="AQ5" s="90" t="s">
        <v>236</v>
      </c>
      <c r="AR5" s="85" t="s">
        <v>176</v>
      </c>
      <c r="AS5" s="85">
        <v>0</v>
      </c>
      <c r="AT5" s="85">
        <v>0</v>
      </c>
      <c r="AU5" s="85"/>
      <c r="AV5" s="85"/>
      <c r="AW5" s="85"/>
      <c r="AX5" s="85"/>
      <c r="AY5" s="85"/>
      <c r="AZ5" s="85"/>
      <c r="BA5" s="85"/>
      <c r="BB5" s="85"/>
      <c r="BC5">
        <v>1</v>
      </c>
      <c r="BD5" s="84" t="str">
        <f>REPLACE(INDEX(GroupVertices[Group],MATCH(Edges11[[#This Row],[Vertex 1]],GroupVertices[Vertex],0)),1,1,"")</f>
        <v>2</v>
      </c>
      <c r="BE5" s="84" t="str">
        <f>REPLACE(INDEX(GroupVertices[Group],MATCH(Edges11[[#This Row],[Vertex 2]],GroupVertices[Vertex],0)),1,1,"")</f>
        <v>2</v>
      </c>
    </row>
    <row r="6" spans="1:57" ht="15">
      <c r="A6" s="83" t="s">
        <v>215</v>
      </c>
      <c r="B6" s="83" t="s">
        <v>217</v>
      </c>
      <c r="C6" s="54"/>
      <c r="D6" s="55"/>
      <c r="E6" s="67"/>
      <c r="F6" s="56"/>
      <c r="G6" s="54"/>
      <c r="H6" s="58"/>
      <c r="I6" s="57"/>
      <c r="J6" s="57"/>
      <c r="K6" s="36" t="s">
        <v>65</v>
      </c>
      <c r="L6" s="82">
        <v>6</v>
      </c>
      <c r="M6" s="82"/>
      <c r="N6" s="64"/>
      <c r="O6" s="85" t="s">
        <v>220</v>
      </c>
      <c r="P6" s="87">
        <v>44838.64178240741</v>
      </c>
      <c r="Q6" s="85" t="s">
        <v>222</v>
      </c>
      <c r="R6" s="88" t="str">
        <f>HYPERLINK("https://educationrightscounsel.networkforgood.com/projects/171483-giving-tuesday-end-of-year-campaign-2022")</f>
        <v>https://educationrightscounsel.networkforgood.com/projects/171483-giving-tuesday-end-of-year-campaign-2022</v>
      </c>
      <c r="S6" s="85" t="s">
        <v>225</v>
      </c>
      <c r="T6" s="90" t="s">
        <v>227</v>
      </c>
      <c r="U6" s="88" t="str">
        <f>HYPERLINK("https://pbs.twimg.com/media/FePC2ngXwAEdc-R.jpg")</f>
        <v>https://pbs.twimg.com/media/FePC2ngXwAEdc-R.jpg</v>
      </c>
      <c r="V6" s="88" t="str">
        <f>HYPERLINK("https://pbs.twimg.com/media/FePC2ngXwAEdc-R.jpg")</f>
        <v>https://pbs.twimg.com/media/FePC2ngXwAEdc-R.jpg</v>
      </c>
      <c r="W6" s="87">
        <v>44838.64178240741</v>
      </c>
      <c r="X6" s="93">
        <v>44838</v>
      </c>
      <c r="Y6" s="90" t="s">
        <v>230</v>
      </c>
      <c r="Z6" s="88" t="str">
        <f>HYPERLINK("https://twitter.com/#!/edrightscounsel/status/1577318667146207233")</f>
        <v>https://twitter.com/#!/edrightscounsel/status/1577318667146207233</v>
      </c>
      <c r="AA6" s="85"/>
      <c r="AB6" s="85"/>
      <c r="AC6" s="90" t="s">
        <v>234</v>
      </c>
      <c r="AD6" s="90" t="s">
        <v>237</v>
      </c>
      <c r="AE6" s="85" t="b">
        <v>0</v>
      </c>
      <c r="AF6" s="85">
        <v>0</v>
      </c>
      <c r="AG6" s="90" t="s">
        <v>239</v>
      </c>
      <c r="AH6" s="85" t="b">
        <v>0</v>
      </c>
      <c r="AI6" s="85" t="s">
        <v>240</v>
      </c>
      <c r="AJ6" s="85"/>
      <c r="AK6" s="90" t="s">
        <v>238</v>
      </c>
      <c r="AL6" s="85" t="b">
        <v>0</v>
      </c>
      <c r="AM6" s="85">
        <v>0</v>
      </c>
      <c r="AN6" s="90" t="s">
        <v>238</v>
      </c>
      <c r="AO6" s="90" t="s">
        <v>241</v>
      </c>
      <c r="AP6" s="85" t="b">
        <v>0</v>
      </c>
      <c r="AQ6" s="90" t="s">
        <v>237</v>
      </c>
      <c r="AR6" s="85" t="s">
        <v>176</v>
      </c>
      <c r="AS6" s="85">
        <v>0</v>
      </c>
      <c r="AT6" s="85">
        <v>0</v>
      </c>
      <c r="AU6" s="85"/>
      <c r="AV6" s="85"/>
      <c r="AW6" s="85"/>
      <c r="AX6" s="85"/>
      <c r="AY6" s="85"/>
      <c r="AZ6" s="85"/>
      <c r="BA6" s="85"/>
      <c r="BB6" s="85"/>
      <c r="BC6">
        <v>1</v>
      </c>
      <c r="BD6" s="84" t="str">
        <f>REPLACE(INDEX(GroupVertices[Group],MATCH(Edges11[[#This Row],[Vertex 1]],GroupVertices[Vertex],0)),1,1,"")</f>
        <v>1</v>
      </c>
      <c r="BE6" s="84" t="str">
        <f>REPLACE(INDEX(GroupVertices[Group],MATCH(Edges11[[#This Row],[Vertex 2]],GroupVertices[Vertex],0)),1,1,"")</f>
        <v>1</v>
      </c>
    </row>
    <row r="7" spans="1:57" ht="15">
      <c r="A7" s="83" t="s">
        <v>215</v>
      </c>
      <c r="B7" s="83" t="s">
        <v>215</v>
      </c>
      <c r="C7" s="54"/>
      <c r="D7" s="55"/>
      <c r="E7" s="67"/>
      <c r="F7" s="56"/>
      <c r="G7" s="54"/>
      <c r="H7" s="58"/>
      <c r="I7" s="57"/>
      <c r="J7" s="57"/>
      <c r="K7" s="36" t="s">
        <v>65</v>
      </c>
      <c r="L7" s="82">
        <v>7</v>
      </c>
      <c r="M7" s="82"/>
      <c r="N7" s="64"/>
      <c r="O7" s="85" t="s">
        <v>176</v>
      </c>
      <c r="P7" s="87">
        <v>44837.901608796295</v>
      </c>
      <c r="Q7" s="85" t="s">
        <v>223</v>
      </c>
      <c r="R7" s="88" t="str">
        <f>HYPERLINK("https://educationrightscounsel.networkforgood.com/projects/171483-giving-tuesday-end-of-year-campaign-2022")</f>
        <v>https://educationrightscounsel.networkforgood.com/projects/171483-giving-tuesday-end-of-year-campaign-2022</v>
      </c>
      <c r="S7" s="85" t="s">
        <v>225</v>
      </c>
      <c r="T7" s="90" t="s">
        <v>228</v>
      </c>
      <c r="U7" s="88" t="str">
        <f>HYPERLINK("https://pbs.twimg.com/media/FeLOuu8XEAwEwCh.jpg")</f>
        <v>https://pbs.twimg.com/media/FeLOuu8XEAwEwCh.jpg</v>
      </c>
      <c r="V7" s="88" t="str">
        <f>HYPERLINK("https://pbs.twimg.com/media/FeLOuu8XEAwEwCh.jpg")</f>
        <v>https://pbs.twimg.com/media/FeLOuu8XEAwEwCh.jpg</v>
      </c>
      <c r="W7" s="87">
        <v>44837.901608796295</v>
      </c>
      <c r="X7" s="93">
        <v>44837</v>
      </c>
      <c r="Y7" s="90" t="s">
        <v>231</v>
      </c>
      <c r="Z7" s="88" t="str">
        <f>HYPERLINK("https://twitter.com/#!/edrightscounsel/status/1577050437009620992")</f>
        <v>https://twitter.com/#!/edrightscounsel/status/1577050437009620992</v>
      </c>
      <c r="AA7" s="85"/>
      <c r="AB7" s="85"/>
      <c r="AC7" s="90" t="s">
        <v>235</v>
      </c>
      <c r="AD7" s="85"/>
      <c r="AE7" s="85" t="b">
        <v>0</v>
      </c>
      <c r="AF7" s="85">
        <v>1</v>
      </c>
      <c r="AG7" s="90" t="s">
        <v>238</v>
      </c>
      <c r="AH7" s="85" t="b">
        <v>0</v>
      </c>
      <c r="AI7" s="85" t="s">
        <v>240</v>
      </c>
      <c r="AJ7" s="85"/>
      <c r="AK7" s="90" t="s">
        <v>238</v>
      </c>
      <c r="AL7" s="85" t="b">
        <v>0</v>
      </c>
      <c r="AM7" s="85">
        <v>0</v>
      </c>
      <c r="AN7" s="90" t="s">
        <v>238</v>
      </c>
      <c r="AO7" s="90" t="s">
        <v>241</v>
      </c>
      <c r="AP7" s="85" t="b">
        <v>0</v>
      </c>
      <c r="AQ7" s="90" t="s">
        <v>235</v>
      </c>
      <c r="AR7" s="85" t="s">
        <v>176</v>
      </c>
      <c r="AS7" s="85">
        <v>0</v>
      </c>
      <c r="AT7" s="85">
        <v>0</v>
      </c>
      <c r="AU7" s="85"/>
      <c r="AV7" s="85"/>
      <c r="AW7" s="85"/>
      <c r="AX7" s="85"/>
      <c r="AY7" s="85"/>
      <c r="AZ7" s="85"/>
      <c r="BA7" s="85"/>
      <c r="BB7" s="85"/>
      <c r="BC7">
        <v>1</v>
      </c>
      <c r="BD7" s="84" t="str">
        <f>REPLACE(INDEX(GroupVertices[Group],MATCH(Edges11[[#This Row],[Vertex 1]],GroupVertices[Vertex],0)),1,1,"")</f>
        <v>1</v>
      </c>
      <c r="BE7" s="84" t="str">
        <f>REPLACE(INDEX(GroupVertices[Group],MATCH(Edges11[[#This Row],[Vertex 2]],GroupVertices[Vertex],0)),1,1,"")</f>
        <v>1</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
    <dataValidation allowBlank="1" showInputMessage="1" showErrorMessage="1" promptTitle="Vertex 2 Name" prompt="Enter the name of the edge's second vertex." sqref="B3:B7"/>
    <dataValidation allowBlank="1" showInputMessage="1" showErrorMessage="1" promptTitle="Vertex 1 Name" prompt="Enter the name of the edge's first vertex." sqref="A3:A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Color" prompt="To select an optional edge color, right-click and select Select Color on the right-click menu." sqref="C3:C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ErrorMessage="1" sqref="N2:N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285</v>
      </c>
      <c r="K7" s="13" t="s">
        <v>286</v>
      </c>
    </row>
    <row r="8" spans="1:11" ht="409.5">
      <c r="A8"/>
      <c r="B8">
        <v>2</v>
      </c>
      <c r="C8">
        <v>2</v>
      </c>
      <c r="D8" t="s">
        <v>61</v>
      </c>
      <c r="E8" t="s">
        <v>61</v>
      </c>
      <c r="H8" t="s">
        <v>73</v>
      </c>
      <c r="J8" t="s">
        <v>287</v>
      </c>
      <c r="K8" s="13" t="s">
        <v>288</v>
      </c>
    </row>
    <row r="9" spans="1:11" ht="409.5">
      <c r="A9"/>
      <c r="B9">
        <v>3</v>
      </c>
      <c r="C9">
        <v>4</v>
      </c>
      <c r="D9" t="s">
        <v>62</v>
      </c>
      <c r="E9" t="s">
        <v>62</v>
      </c>
      <c r="H9" t="s">
        <v>74</v>
      </c>
      <c r="J9" t="s">
        <v>289</v>
      </c>
      <c r="K9" s="13" t="s">
        <v>290</v>
      </c>
    </row>
    <row r="10" spans="1:11" ht="409.5">
      <c r="A10"/>
      <c r="B10">
        <v>4</v>
      </c>
      <c r="D10" t="s">
        <v>63</v>
      </c>
      <c r="E10" t="s">
        <v>63</v>
      </c>
      <c r="H10" t="s">
        <v>75</v>
      </c>
      <c r="J10" t="s">
        <v>291</v>
      </c>
      <c r="K10" s="13" t="s">
        <v>292</v>
      </c>
    </row>
    <row r="11" spans="1:11" ht="15">
      <c r="A11"/>
      <c r="B11">
        <v>5</v>
      </c>
      <c r="D11" t="s">
        <v>46</v>
      </c>
      <c r="E11">
        <v>1</v>
      </c>
      <c r="H11" t="s">
        <v>76</v>
      </c>
      <c r="J11" t="s">
        <v>293</v>
      </c>
      <c r="K11" t="s">
        <v>294</v>
      </c>
    </row>
    <row r="12" spans="1:11" ht="15">
      <c r="A12"/>
      <c r="B12"/>
      <c r="D12" t="s">
        <v>64</v>
      </c>
      <c r="E12">
        <v>2</v>
      </c>
      <c r="H12">
        <v>0</v>
      </c>
      <c r="J12" t="s">
        <v>295</v>
      </c>
      <c r="K12" t="s">
        <v>296</v>
      </c>
    </row>
    <row r="13" spans="1:11" ht="15">
      <c r="A13"/>
      <c r="B13"/>
      <c r="D13">
        <v>1</v>
      </c>
      <c r="E13">
        <v>3</v>
      </c>
      <c r="H13">
        <v>1</v>
      </c>
      <c r="J13" t="s">
        <v>297</v>
      </c>
      <c r="K13" t="s">
        <v>298</v>
      </c>
    </row>
    <row r="14" spans="4:11" ht="15">
      <c r="D14">
        <v>2</v>
      </c>
      <c r="E14">
        <v>4</v>
      </c>
      <c r="H14">
        <v>2</v>
      </c>
      <c r="J14" t="s">
        <v>299</v>
      </c>
      <c r="K14" t="s">
        <v>300</v>
      </c>
    </row>
    <row r="15" spans="4:11" ht="15">
      <c r="D15">
        <v>3</v>
      </c>
      <c r="E15">
        <v>5</v>
      </c>
      <c r="H15">
        <v>3</v>
      </c>
      <c r="J15" t="s">
        <v>301</v>
      </c>
      <c r="K15" t="s">
        <v>302</v>
      </c>
    </row>
    <row r="16" spans="4:11" ht="15">
      <c r="D16">
        <v>4</v>
      </c>
      <c r="E16">
        <v>6</v>
      </c>
      <c r="H16">
        <v>4</v>
      </c>
      <c r="J16" t="s">
        <v>303</v>
      </c>
      <c r="K16" t="s">
        <v>304</v>
      </c>
    </row>
    <row r="17" spans="4:11" ht="15">
      <c r="D17">
        <v>5</v>
      </c>
      <c r="E17">
        <v>7</v>
      </c>
      <c r="H17">
        <v>5</v>
      </c>
      <c r="J17" t="s">
        <v>305</v>
      </c>
      <c r="K17" t="s">
        <v>306</v>
      </c>
    </row>
    <row r="18" spans="4:11" ht="15">
      <c r="D18">
        <v>6</v>
      </c>
      <c r="E18">
        <v>8</v>
      </c>
      <c r="H18">
        <v>6</v>
      </c>
      <c r="J18" t="s">
        <v>307</v>
      </c>
      <c r="K18" t="s">
        <v>308</v>
      </c>
    </row>
    <row r="19" spans="4:11" ht="15">
      <c r="D19">
        <v>7</v>
      </c>
      <c r="E19">
        <v>9</v>
      </c>
      <c r="H19">
        <v>7</v>
      </c>
      <c r="J19" t="s">
        <v>309</v>
      </c>
      <c r="K19" t="s">
        <v>310</v>
      </c>
    </row>
    <row r="20" spans="4:11" ht="15">
      <c r="D20">
        <v>8</v>
      </c>
      <c r="H20">
        <v>8</v>
      </c>
      <c r="J20" t="s">
        <v>311</v>
      </c>
      <c r="K20" t="s">
        <v>312</v>
      </c>
    </row>
    <row r="21" spans="4:11" ht="409.5">
      <c r="D21">
        <v>9</v>
      </c>
      <c r="H21">
        <v>9</v>
      </c>
      <c r="J21" t="s">
        <v>313</v>
      </c>
      <c r="K21" s="13" t="s">
        <v>314</v>
      </c>
    </row>
    <row r="22" spans="4:11" ht="409.5">
      <c r="D22">
        <v>10</v>
      </c>
      <c r="J22" t="s">
        <v>315</v>
      </c>
      <c r="K22" s="13" t="s">
        <v>316</v>
      </c>
    </row>
    <row r="23" spans="4:11" ht="409.5">
      <c r="D23">
        <v>11</v>
      </c>
      <c r="J23" t="s">
        <v>317</v>
      </c>
      <c r="K23" s="13" t="s">
        <v>337</v>
      </c>
    </row>
    <row r="24" spans="10:11" ht="409.5">
      <c r="J24" t="s">
        <v>318</v>
      </c>
      <c r="K24" s="13" t="s">
        <v>336</v>
      </c>
    </row>
    <row r="25" spans="10:11" ht="15">
      <c r="J25" t="s">
        <v>319</v>
      </c>
      <c r="K25" t="b">
        <v>0</v>
      </c>
    </row>
    <row r="26" spans="10:11" ht="15">
      <c r="J26" t="s">
        <v>334</v>
      </c>
      <c r="K26" t="s">
        <v>335</v>
      </c>
    </row>
  </sheetData>
  <printOptions/>
  <pageMargins left="0.7" right="0.7" top="0.75" bottom="0.75" header="0.3" footer="0.3"/>
  <pageSetup horizontalDpi="600" verticalDpi="600" orientation="portrait" r:id="rId4"/>
  <drawing r:id="rId3"/>
  <tableParts>
    <tablePart r:id="rId2"/>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2" t="s">
        <v>331</v>
      </c>
      <c r="B25" t="s">
        <v>330</v>
      </c>
    </row>
    <row r="26" spans="1:2" ht="15">
      <c r="A26" s="123">
        <v>43244.1128125</v>
      </c>
      <c r="B26" s="3">
        <v>1</v>
      </c>
    </row>
    <row r="27" spans="1:2" ht="15">
      <c r="A27" s="123">
        <v>44810.42454861111</v>
      </c>
      <c r="B27" s="3">
        <v>2</v>
      </c>
    </row>
    <row r="28" spans="1:2" ht="15">
      <c r="A28" s="123">
        <v>44837.901608796295</v>
      </c>
      <c r="B28" s="3">
        <v>1</v>
      </c>
    </row>
    <row r="29" spans="1:2" ht="15">
      <c r="A29" s="123">
        <v>44838.64178240741</v>
      </c>
      <c r="B29" s="3">
        <v>1</v>
      </c>
    </row>
    <row r="30" spans="1:2" ht="15">
      <c r="A30" s="123" t="s">
        <v>332</v>
      </c>
      <c r="B30" s="3">
        <v>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2022-12-01T22:47:10Z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