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<sst xmlns="http://schemas.openxmlformats.org/spreadsheetml/2006/main" count="1126" uniqueCount="413">
  <si>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</si>
  <si>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</si>
  <si>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</si>
  <si>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</si>
  <si>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</si>
  <si>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</si>
  <si>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</si>
  <si>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</si>
  <si>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</si>
  <si>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</si>
  <si>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</si>
  <si>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</si>
  <si>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</si>
  <si>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</si>
  <si>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</si>
  <si>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</si>
  <si>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</si>
  <si>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</si>
  <si>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</si>
  <si>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</si>
  <si>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</si>
  <si>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</si>
  <si>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</si>
  <si>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</si>
  <si>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</si>
  <si>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</si>
  <si>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</si>
  <si>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</si>
  <si>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</si>
  <si>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</si>
  <si>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</si>
  <si>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</si>
  <si>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</si>
  <si>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</si>
  <si>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</si>
  <si>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</si>
  <si>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</si>
  <si>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</si>
  <si>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</si>
  <si>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</si>
  <si>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</si>
  <si>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</si>
  <si>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</si>
  <si>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</si>
  <si>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</si>
  <si>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</si>
  <si>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</si>
  <si>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</si>
  <si>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</si>
  <si>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</si>
  <si>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</si>
  <si>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</si>
  <si>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</si>
  <si>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</si>
  <si>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</si>
  <si>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</si>
  <si>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</si>
  <si>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</si>
  <si>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</si>
  <si>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</si>
  <si>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</si>
  <si>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</si>
  <si>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</si>
  <si>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</si>
  <si>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</si>
  <si>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</si>
  <si>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</si>
  <si>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</si>
  <si>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</si>
  <si>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</si>
  <si>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</si>
  <si>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</si>
  <si>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</si>
  <si>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</si>
  <si>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</si>
  <si>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</si>
  <si>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</si>
  <si>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</si>
  <si>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</si>
  <si>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</si>
  <si>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</si>
  <si>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</si>
  <si>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</si>
  <si>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</si>
  <si>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</si>
  <si>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</si>
  <si>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</si>
  <si>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</si>
  <si>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</si>
  <si>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</si>
  <si>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</si>
  <si>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</si>
  <si>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</si>
  <si>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</si>
  <si>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</si>
  <si>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</si>
  <si>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</si>
  <si>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</si>
  <si>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</si>
  <si>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</si>
  <si>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</si>
  <si>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</si>
  <si>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</si>
  <si>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</si>
  <si>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</si>
  <si>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</si>
  <si>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</si>
  <si>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</si>
  <si>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</si>
  <si>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</si>
  <si>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</si>
  <si>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</si>
  <si>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</si>
  <si>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</si>
  <si>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</si>
  <si>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</si>
  <si>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</si>
  <si>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</si>
  <si>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</si>
  <si>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</si>
  <si>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</si>
  <si>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</si>
  <si>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</si>
  <si>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</si>
  <si>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</si>
  <si>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</si>
  <si>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</si>
  <si>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</si>
  <si>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</si>
  <si>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</si>
  <si>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</si>
  <si>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</si>
  <si>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</si>
  <si>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</si>
  <si>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</si>
  <si>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</si>
  <si>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</si>
  <si>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</si>
  <si>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</si>
  <si>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</si>
  <si>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</si>
  <si>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</si>
  <si>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</si>
  <si>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</si>
  <si>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</si>
  <si>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</si>
  <si>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</si>
  <si>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</si>
  <si>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</si>
  <si>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</si>
  <si>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</si>
  <si>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</si>
  <si>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</si>
  <si>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</si>
  <si>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</si>
  <si>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</si>
  <si>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</si>
  <si>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</si>
  <si>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</si>
  <si>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</si>
  <si>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</si>
  <si>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</si>
  <si>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</si>
  <si>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</si>
  <si>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</si>
  <si>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</si>
  <si>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</si>
  <si>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</si>
  <si>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</si>
  <si>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</si>
  <si>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</si>
  <si>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</si>
  <si>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</si>
  <si>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</si>
  <si>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</si>
  <si>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</si>
  <si>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</si>
  <si>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</si>
  <si>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</si>
  <si>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</si>
  <si>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</si>
  <si>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</si>
  <si>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</si>
  <si>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</si>
  <si>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</si>
  <si>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</si>
  <si>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</si>
  <si>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</si>
  <si>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</si>
  <si>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</si>
  <si>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</si>
  <si>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</si>
  <si>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</si>
  <si>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</si>
  <si>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</si>
  <si>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</si>
  <si>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</si>
  <si>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</si>
  <si>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</si>
  <si>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</si>
  <si>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</si>
  <si>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</si>
  <si>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</si>
  <si>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</si>
  <si>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</si>
  <si>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</si>
  <si>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</si>
  <si>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</si>
  <si>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</si>
  <si>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</si>
  <si>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</si>
  <si>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</si>
  <si>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</si>
  <si>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</si>
  <si>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mdicesi</t>
  </si>
  <si>
    <t>jerrybuchko</t>
  </si>
  <si>
    <t>ema_dm06</t>
  </si>
  <si>
    <t>pessimistsarc</t>
  </si>
  <si>
    <t>elonuniversity</t>
  </si>
  <si>
    <t>pewresearch</t>
  </si>
  <si>
    <t>jannaq</t>
  </si>
  <si>
    <t>lrainie</t>
  </si>
  <si>
    <t>tobysworks</t>
  </si>
  <si>
    <t>lazygate</t>
  </si>
  <si>
    <t>docdre</t>
  </si>
  <si>
    <t>louisbrosenberg</t>
  </si>
  <si>
    <t>avibarzeev</t>
  </si>
  <si>
    <t>imagineinternet</t>
  </si>
  <si>
    <t>MentionsInRetweet</t>
  </si>
  <si>
    <t>Retweet</t>
  </si>
  <si>
    <t>Mentions</t>
  </si>
  <si>
    <t>Replies to</t>
  </si>
  <si>
    <t>RT @PessimistsArc: Kids aren’t addicted to SOCIAL MEDIA, they’re addicted to SOCIALIZING. https://t.co/h8butnHs9o</t>
  </si>
  <si>
    <t>This is generalizable
Clearly it's not just young adults who are vulnerable to influencers - there are a lot of high profile personalities peddling all sorts of surprising things these days,, _xD83D__xDC40__xD83D__xDE36_
#CovidIsNotOver #CovidIsAirborne #MediaLit #PolEconLit #LateCapitalismFieldctaft https://t.co/XKKmHqXWld https://t.co/ZP6pNRowq9</t>
  </si>
  <si>
    <t>RT @JerryBuchko: This is generalizable
Clearly it's not just young adults who are vulnerable to influencers - there are a lot of high prof…</t>
  </si>
  <si>
    <t>@ImagineInternet @avibarzeev @LouisBRosenberg @DocDre @lazygate @tobysworks @lrainie @JannaQ @pewresearch @elonuniversity There was something important to talk about. Can you give me some time. Kindly Check Your message request</t>
  </si>
  <si>
    <t>Kids aren’t addicted to SOCIAL MEDIA, they’re addicted to SOCIALIZING. https://t.co/HUptZXmo9Y https://t.co/h8butnHs9o</t>
  </si>
  <si>
    <t>twitter.com</t>
  </si>
  <si>
    <t>covidisnotover covidisairborne medialit poleconlit latecapitalismfieldctaft</t>
  </si>
  <si>
    <t>08:56:16</t>
  </si>
  <si>
    <t>20:38:36</t>
  </si>
  <si>
    <t>02:59:16</t>
  </si>
  <si>
    <t>21:09:03</t>
  </si>
  <si>
    <t>17:53:18</t>
  </si>
  <si>
    <t>19:00:20</t>
  </si>
  <si>
    <t>19:06:09</t>
  </si>
  <si>
    <t>16:36:51</t>
  </si>
  <si>
    <t>1596427607121465346</t>
  </si>
  <si>
    <t>1595154805663506432</t>
  </si>
  <si>
    <t>1595612991722082304</t>
  </si>
  <si>
    <t>1596249630286544898</t>
  </si>
  <si>
    <t>1597287530243981312</t>
  </si>
  <si>
    <t>1597666788632059904</t>
  </si>
  <si>
    <t>1597668251286183936</t>
  </si>
  <si>
    <t>1592919637712605186</t>
  </si>
  <si>
    <t>1572711661706027008</t>
  </si>
  <si>
    <t/>
  </si>
  <si>
    <t>35749835</t>
  </si>
  <si>
    <t>en</t>
  </si>
  <si>
    <t>1592914879614423041</t>
  </si>
  <si>
    <t>1594760836089790479</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</si>
  <si>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</si>
  <si>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</si>
  <si>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</si>
  <si>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</si>
  <si>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</si>
  <si>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</si>
  <si>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</si>
  <si>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</si>
  <si>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</si>
  <si>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</si>
  <si>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</si>
  <si>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</si>
  <si>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</si>
  <si>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</si>
  <si>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</si>
  <si>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</si>
  <si>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</si>
  <si>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</si>
  <si>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</si>
  <si>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</si>
  <si>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</si>
  <si>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</si>
  <si>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</si>
  <si>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</si>
  <si>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</si>
  <si>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Miriam_dicesi</t>
  </si>
  <si>
    <t>Jerry Buchko</t>
  </si>
  <si>
    <t>ema_dm</t>
  </si>
  <si>
    <t>Elon University</t>
  </si>
  <si>
    <t>Pew Research Center</t>
  </si>
  <si>
    <t>Janna Q. Anderson</t>
  </si>
  <si>
    <t>Lee Rainie</t>
  </si>
  <si>
    <t>Toby Shulruff</t>
  </si>
  <si>
    <t>thot leedurr</t>
  </si>
  <si>
    <t>Louis Rosenberg, PhD</t>
  </si>
  <si>
    <t>Avi Bar-Zeev -- I am a smooth gray wall</t>
  </si>
  <si>
    <t>ImaginingtheInternet</t>
  </si>
  <si>
    <t>Pessimists Archive</t>
  </si>
  <si>
    <t>1073223135032426496</t>
  </si>
  <si>
    <t>144010158</t>
  </si>
  <si>
    <t>1551908861506093056</t>
  </si>
  <si>
    <t>15855913</t>
  </si>
  <si>
    <t>22642788</t>
  </si>
  <si>
    <t>17175973</t>
  </si>
  <si>
    <t>16129526</t>
  </si>
  <si>
    <t>14148487</t>
  </si>
  <si>
    <t>17791447</t>
  </si>
  <si>
    <t>14118112</t>
  </si>
  <si>
    <t>714454007813541888</t>
  </si>
  <si>
    <t>35319104</t>
  </si>
  <si>
    <t>3942597494</t>
  </si>
  <si>
    <t>früher BGS, neu an der GMS - Lehrerin - Auf der Suche nach zeitgemäßer Bildung, ListenLiebe, GartenLiebe
#Spanisch, #Deutsch, #sketchnotes, #LernOS</t>
  </si>
  <si>
    <t>not a brand; human being. feral hearted, bohemian tendencies. interminable. what follows is a stream of consciousness experience; consider this fair warning _xD83C__xDFC4_</t>
  </si>
  <si>
    <t>_xD83C__xDFC5_ Professional Digital Marketer
_xD83C__xDFA5_ YouTube Promotion
_xD83D__xDCFA_ Social Media Promotion
_xD83C__xDFB6_Music Promotion</t>
  </si>
  <si>
    <t>Elon University is the premier student-centered learning environment, preparing graduates to be the ethical leaders the world needs.</t>
  </si>
  <si>
    <t>Nonpartisan, non-advocacy data and analysis. Follow us on Instagram, Facebook and LinkedIn or subscribe to our newsletters: https://t.co/tawtYBr8Ef ✉️</t>
  </si>
  <si>
    <t>Director of Imagining the Internet, intergalactic info fanatic, futurist, professor, journalist, researcher</t>
  </si>
  <si>
    <t>Director Internet/Technology Research - Pew Research Center. Wrote Networked: The New Social Operating System https://t.co/uhRXPyKa0s</t>
  </si>
  <si>
    <t>tech safety trainer, writer, facilitator</t>
  </si>
  <si>
    <t>international relations, religion and peace, values in knowledge and information, #interfaith, #tech #privacy</t>
  </si>
  <si>
    <t>Ignore my late night posts. Award-winning author. I study BlackTwitter: https://t.co/24rae5GPrJ + digital methods: https://t.co/ImiL7H30kg. Openly Black</t>
  </si>
  <si>
    <t>AR Pioneer | CEO Unanimous AI | Founder Immersion Corporation | Founder Outland Research | PhD @ Stanford | 300+ Patents in VR, AR, and AI | Writer / Author</t>
  </si>
  <si>
    <t>χR Pioneer 30 years. Original Tech &amp; design for Apple, Echo Frames, Hololens, Second Life, Keyhole (Google Earth), Disney, Niantic. Join the @XRGuild</t>
  </si>
  <si>
    <t>The Imagining the Internet Center at Elon University collects smart statements that measure attitudes about the potential future of the Internet.</t>
  </si>
  <si>
    <t>Archive of technophobia and moral panics. _xD83D__xDCEC_ Newsletter https://t.co/UwsSWylyyF</t>
  </si>
  <si>
    <t>Mannheim</t>
  </si>
  <si>
    <t>... roaming that space between</t>
  </si>
  <si>
    <t>Elon, NC</t>
  </si>
  <si>
    <t>Washington, DC</t>
  </si>
  <si>
    <t>Elon, North Carolina</t>
  </si>
  <si>
    <t>Washington DC</t>
  </si>
  <si>
    <t>Cascadia</t>
  </si>
  <si>
    <t>New York City</t>
  </si>
  <si>
    <t>Atlanta, GA</t>
  </si>
  <si>
    <t>California</t>
  </si>
  <si>
    <t>SF Bay Area</t>
  </si>
  <si>
    <t>Elon University, Elon, NC, USA</t>
  </si>
  <si>
    <t>Open Twitter Page for This Person</t>
  </si>
  <si>
    <t>mdicesi
RT @PessimistsArc: Kids aren’t
addicted to SOCIAL MEDIA, they’re
addicted to SOCIALIZING. https://t.co/h8butnHs9o</t>
  </si>
  <si>
    <t>jerrybuchko
RT @JerryBuchko: This is generalizable
Clearly it's not just young adults
who are vulnerable to influencers
- there are a lot of high prof…</t>
  </si>
  <si>
    <t>ema_dm06
@ImagineInternet @avibarzeev @LouisBRosenberg
@DocDre @lazygate @tobysworks @lrainie
@JannaQ @pewresearch @elonuniversity
There was something important to
talk about. Can you give me some
time. Kindly Check Your message
request</t>
  </si>
  <si>
    <t xml:space="preserve">elonuniversity
</t>
  </si>
  <si>
    <t xml:space="preserve">pewresearch
</t>
  </si>
  <si>
    <t xml:space="preserve">jannaq
</t>
  </si>
  <si>
    <t xml:space="preserve">lrainie
</t>
  </si>
  <si>
    <t xml:space="preserve">tobysworks
</t>
  </si>
  <si>
    <t xml:space="preserve">lazygate
</t>
  </si>
  <si>
    <t xml:space="preserve">docdre
</t>
  </si>
  <si>
    <t xml:space="preserve">louisbrosenberg
</t>
  </si>
  <si>
    <t xml:space="preserve">avibarzeev
</t>
  </si>
  <si>
    <t xml:space="preserve">imagineinternet
</t>
  </si>
  <si>
    <t>pessimistsarc
Kids aren’t addicted to SOCIAL
MEDIA, they’re addicted to SOCIALIZING.
https://t.co/HUptZXmo9Y https://t.co/h8butnHs9o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</si>
  <si>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</si>
  <si>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</si>
  <si>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</si>
  <si>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</si>
  <si>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</si>
  <si>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</si>
  <si>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</si>
  <si>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</si>
  <si>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</si>
  <si>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</si>
  <si>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</si>
  <si>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</si>
  <si>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</si>
  <si>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</si>
  <si>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</si>
  <si>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</si>
  <si>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</si>
  <si>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</si>
  <si>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</si>
  <si>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</si>
  <si>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</si>
  <si>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</si>
  <si>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</si>
  <si>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</si>
  <si>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</si>
  <si>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</si>
  <si>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</si>
  <si>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</si>
  <si>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</si>
  <si>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</si>
  <si>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</si>
  <si>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</si>
  <si>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</si>
  <si>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</si>
  <si>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</si>
  <si>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</si>
  <si>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</si>
  <si>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</si>
  <si>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</si>
  <si>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</si>
  <si>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</si>
  <si>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</si>
  <si>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</si>
  <si>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</si>
  <si>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</si>
  <si>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</si>
  <si>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</si>
  <si>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</si>
  <si>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Top URLs in Tweet</t>
  </si>
  <si>
    <t>https://twitter.com/lrainie/status/1592914879614423041</t>
  </si>
  <si>
    <t>https://twitter.com/lrainie/status/1594760836089790479</t>
  </si>
  <si>
    <t>Count of Tweet Date (UTC)</t>
  </si>
  <si>
    <t>Row Labels</t>
  </si>
  <si>
    <t>Grand Total</t>
  </si>
  <si>
    <t>128, 128, 128</t>
  </si>
  <si>
    <t>Red</t>
  </si>
  <si>
    <t>Autofill Workbook Results</t>
  </si>
  <si>
    <t>Edge Weight▓1▓1▓0▓True▓Gray▓Red▓▓Edge Weight▓1▓1▓0▓3▓10▓False▓Edge Weight▓1▓1▓0▓35▓12▓False▓▓0▓0▓0▓True▓Black▓Black▓▓▓0▓0▓0▓0▓0▓False▓▓0▓0▓0▓0▓0▓False▓▓0▓0▓0▓0▓0▓False▓▓0▓0▓0▓0▓0▓False</t>
  </si>
  <si>
    <t>GraphSource░GraphServerTwitterSearch▓GraphTerm░lrainie▓ImportDescription░The graph represents a network of 14 Twitter users whose tweets in the requested range contained "lrainie", or who were replied to or mentioned in those tweets.  The network was obtained from the NodeXL Graph Server on Thursday, 08 December 2022 at 03:14 UTC.
The requested start date was Thursday, 08 December 2022 at 01:01 UTC and the maximum number of days (going backward) was 14.
The maximum number of tweets collected was 7,500.
The tweets in the network were tweeted over the 0-minute period from Tuesday, 29 November 2022 at 19:06 UTC to Tuesday, 29 November 2022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</si>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</sst>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05212"/>
        <c:axId val="24384861"/>
      </c:barChart>
      <c:catAx>
        <c:axId val="549052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84861"/>
        <c:crosses val="autoZero"/>
        <c:auto val="1"/>
        <c:lblOffset val="100"/>
        <c:noMultiLvlLbl val="0"/>
      </c:catAx>
      <c:valAx>
        <c:axId val="24384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5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11/16/2022 16:36</c:v>
                </c:pt>
                <c:pt idx="1">
                  <c:v>11/22/2022 20:38</c:v>
                </c:pt>
                <c:pt idx="2">
                  <c:v>11/24/2022 2:59</c:v>
                </c:pt>
                <c:pt idx="3">
                  <c:v>11/25/2022 21:09</c:v>
                </c:pt>
                <c:pt idx="4">
                  <c:v>11/26/2022 8:56</c:v>
                </c:pt>
                <c:pt idx="5">
                  <c:v>11/28/2022 17:53</c:v>
                </c:pt>
                <c:pt idx="6">
                  <c:v>11/29/2022 19:00</c:v>
                </c:pt>
                <c:pt idx="7">
                  <c:v>11/29/2022 19:06</c:v>
                </c:pt>
              </c:strCache>
            </c:strRef>
          </c:cat>
          <c:val>
            <c:numRef>
              <c:f>'Time Series'!$B$26:$B$34</c:f>
              <c:numCache>
                <c:formatCode>General</c:formatCode>
                <c:ptCount val="8"/>
                <c:pt idx="0">
                  <c:v>1</c:v>
                </c:pt>
                <c:pt idx="1">
                  <c:v>1</c:v>
                </c:pt>
                <c:pt idx="2">
                  <c:v>1</c:v>
                </c:pt>
                <c:pt idx="3">
                  <c:v>1</c:v>
                </c:pt>
                <c:pt idx="4">
                  <c:v>2</c:v>
                </c:pt>
                <c:pt idx="5">
                  <c:v>1</c:v>
                </c:pt>
                <c:pt idx="6">
                  <c:v>1</c:v>
                </c:pt>
                <c:pt idx="7">
                  <c:v>10</c:v>
                </c:pt>
              </c:numCache>
            </c:numRef>
          </c:val>
        </c:ser>
        <c:axId val="41787158"/>
        <c:axId val="40540103"/>
      </c:barChart>
      <c:catAx>
        <c:axId val="41787158"/>
        <c:scaling>
          <c:orientation val="minMax"/>
        </c:scaling>
        <c:axPos val="b"/>
        <c:delete val="0"/>
        <c:numFmt formatCode="General" sourceLinked="1"/>
        <c:majorTickMark val="out"/>
        <c:minorTickMark val="none"/>
        <c:tickLblPos val="nextTo"/>
        <c:crossAx val="40540103"/>
        <c:crosses val="autoZero"/>
        <c:auto val="1"/>
        <c:lblOffset val="100"/>
        <c:noMultiLvlLbl val="0"/>
      </c:catAx>
      <c:valAx>
        <c:axId val="40540103"/>
        <c:scaling>
          <c:orientation val="minMax"/>
        </c:scaling>
        <c:axPos val="l"/>
        <c:majorGridlines/>
        <c:delete val="0"/>
        <c:numFmt formatCode="General" sourceLinked="1"/>
        <c:majorTickMark val="out"/>
        <c:minorTickMark val="none"/>
        <c:tickLblPos val="nextTo"/>
        <c:crossAx val="417871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137158"/>
        <c:axId val="29016695"/>
      </c:barChart>
      <c:catAx>
        <c:axId val="18137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16695"/>
        <c:crosses val="autoZero"/>
        <c:auto val="1"/>
        <c:lblOffset val="100"/>
        <c:noMultiLvlLbl val="0"/>
      </c:catAx>
      <c:valAx>
        <c:axId val="2901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3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23664"/>
        <c:axId val="1542065"/>
      </c:barChart>
      <c:catAx>
        <c:axId val="59823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42065"/>
        <c:crosses val="autoZero"/>
        <c:auto val="1"/>
        <c:lblOffset val="100"/>
        <c:noMultiLvlLbl val="0"/>
      </c:catAx>
      <c:valAx>
        <c:axId val="1542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2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878586"/>
        <c:axId val="57798411"/>
      </c:barChart>
      <c:catAx>
        <c:axId val="138785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798411"/>
        <c:crosses val="autoZero"/>
        <c:auto val="1"/>
        <c:lblOffset val="100"/>
        <c:noMultiLvlLbl val="0"/>
      </c:catAx>
      <c:valAx>
        <c:axId val="57798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8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23652"/>
        <c:axId val="51159685"/>
      </c:barChart>
      <c:catAx>
        <c:axId val="50423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59685"/>
        <c:crosses val="autoZero"/>
        <c:auto val="1"/>
        <c:lblOffset val="100"/>
        <c:noMultiLvlLbl val="0"/>
      </c:catAx>
      <c:valAx>
        <c:axId val="5115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83982"/>
        <c:axId val="50293791"/>
      </c:barChart>
      <c:catAx>
        <c:axId val="577839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93791"/>
        <c:crosses val="autoZero"/>
        <c:auto val="1"/>
        <c:lblOffset val="100"/>
        <c:noMultiLvlLbl val="0"/>
      </c:catAx>
      <c:valAx>
        <c:axId val="502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3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990936"/>
        <c:axId val="47265241"/>
      </c:barChart>
      <c:catAx>
        <c:axId val="499909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265241"/>
        <c:crosses val="autoZero"/>
        <c:auto val="1"/>
        <c:lblOffset val="100"/>
        <c:noMultiLvlLbl val="0"/>
      </c:catAx>
      <c:valAx>
        <c:axId val="4726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733986"/>
        <c:axId val="3279283"/>
      </c:barChart>
      <c:catAx>
        <c:axId val="227339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79283"/>
        <c:crosses val="autoZero"/>
        <c:auto val="1"/>
        <c:lblOffset val="100"/>
        <c:noMultiLvlLbl val="0"/>
      </c:catAx>
      <c:valAx>
        <c:axId val="327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513548"/>
        <c:axId val="64295341"/>
      </c:barChart>
      <c:catAx>
        <c:axId val="29513548"/>
        <c:scaling>
          <c:orientation val="minMax"/>
        </c:scaling>
        <c:axPos val="b"/>
        <c:delete val="1"/>
        <c:majorTickMark val="out"/>
        <c:minorTickMark val="none"/>
        <c:tickLblPos val="none"/>
        <c:crossAx val="64295341"/>
        <c:crosses val="autoZero"/>
        <c:auto val="1"/>
        <c:lblOffset val="100"/>
        <c:noMultiLvlLbl val="0"/>
      </c:catAx>
      <c:valAx>
        <c:axId val="64295341"/>
        <c:scaling>
          <c:orientation val="minMax"/>
        </c:scaling>
        <c:axPos val="l"/>
        <c:delete val="1"/>
        <c:majorTickMark val="out"/>
        <c:minorTickMark val="none"/>
        <c:tickLblPos val="none"/>
        <c:crossAx val="295135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E20"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covidisnotover covidisairborne medialit poleconlit latecapitalismfieldctaf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11-16T16:36:51.000"/>
        <d v="2022-11-26T08:56:16.000"/>
        <d v="2022-11-22T20:38:36.000"/>
        <d v="2022-11-24T02:59:16.000"/>
        <d v="2022-11-25T21:09:03.000"/>
        <d v="2022-11-28T17:53:18.000"/>
        <d v="2022-11-29T19:00:20.000"/>
        <d v="2022-11-29T19:06: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pessimistsarc"/>
    <s v="pessimistsarc"/>
    <m/>
    <m/>
    <m/>
    <m/>
    <m/>
    <m/>
    <m/>
    <m/>
    <s v="No"/>
    <n v="3"/>
    <m/>
    <m/>
    <x v="0"/>
    <d v="2022-11-16T16:36:51.000"/>
    <s v="Kids aren’t addicted to SOCIAL MEDIA, they’re addicted to SOCIALIZING. https://t.co/HUptZXmo9Y https://t.co/h8butnHs9o"/>
    <s v="https://twitter.com/lrainie/status/1592914879614423041"/>
    <s v="twitter.com"/>
    <x v="0"/>
    <s v="https://pbs.twimg.com/media/Fhsv9sJWIAA2cfe.jpg"/>
    <s v="https://pbs.twimg.com/media/Fhsv9sJWIAA2cfe.jpg"/>
    <x v="0"/>
    <d v="2022-11-16T00:00:00.000"/>
    <s v="16:36:51"/>
    <s v="https://twitter.com/#!/pessimistsarc/status/1592919637712605186"/>
    <m/>
    <m/>
    <s v="1592919637712605186"/>
    <m/>
    <b v="0"/>
    <n v="114"/>
    <s v=""/>
    <b v="1"/>
    <s v="en"/>
    <m/>
    <s v="1592914879614423041"/>
    <b v="0"/>
    <n v="29"/>
    <s v=""/>
    <s v="Twitter for iPhone"/>
    <b v="0"/>
    <s v="1592919637712605186"/>
    <s v="Retweet"/>
    <n v="0"/>
    <n v="0"/>
    <m/>
    <m/>
    <m/>
    <m/>
    <m/>
    <m/>
    <m/>
    <m/>
    <n v="1"/>
    <s v="2"/>
    <s v="2"/>
  </r>
  <r>
    <s v="mdicesi"/>
    <s v="pessimistsarc"/>
    <m/>
    <m/>
    <m/>
    <m/>
    <m/>
    <m/>
    <m/>
    <m/>
    <s v="No"/>
    <n v="4"/>
    <m/>
    <m/>
    <x v="1"/>
    <d v="2022-11-26T08:56:16.000"/>
    <s v="RT @PessimistsArc: Kids aren’t addicted to SOCIAL MEDIA, they’re addicted to SOCIALIZING. https://t.co/h8butnHs9o"/>
    <m/>
    <m/>
    <x v="0"/>
    <m/>
    <s v="http://pbs.twimg.com/profile_images/1073224988617043968/X6BFcBBq_normal.jpg"/>
    <x v="1"/>
    <d v="2022-11-26T00:00:00.000"/>
    <s v="08:56:16"/>
    <s v="https://twitter.com/#!/mdicesi/status/1596427607121465346"/>
    <m/>
    <m/>
    <s v="1596427607121465346"/>
    <m/>
    <b v="0"/>
    <n v="0"/>
    <s v=""/>
    <b v="1"/>
    <s v="en"/>
    <m/>
    <s v="1592914879614423041"/>
    <b v="0"/>
    <n v="29"/>
    <s v="1592919637712605186"/>
    <s v="Twitter Web App"/>
    <b v="0"/>
    <s v="1592919637712605186"/>
    <s v="Tweet"/>
    <n v="0"/>
    <n v="0"/>
    <m/>
    <m/>
    <m/>
    <m/>
    <m/>
    <m/>
    <m/>
    <m/>
    <n v="1"/>
    <s v="2"/>
    <s v="2"/>
  </r>
  <r>
    <s v="mdicesi"/>
    <s v="pessimistsarc"/>
    <m/>
    <m/>
    <m/>
    <m/>
    <m/>
    <m/>
    <m/>
    <m/>
    <s v="No"/>
    <n v="5"/>
    <m/>
    <m/>
    <x v="2"/>
    <d v="2022-11-26T08:56:16.000"/>
    <s v="RT @PessimistsArc: Kids aren’t addicted to SOCIAL MEDIA, they’re addicted to SOCIALIZING. https://t.co/h8butnHs9o"/>
    <m/>
    <m/>
    <x v="0"/>
    <m/>
    <s v="http://pbs.twimg.com/profile_images/1073224988617043968/X6BFcBBq_normal.jpg"/>
    <x v="1"/>
    <d v="2022-11-26T00:00:00.000"/>
    <s v="08:56:16"/>
    <s v="https://twitter.com/#!/mdicesi/status/1596427607121465346"/>
    <m/>
    <m/>
    <s v="1596427607121465346"/>
    <m/>
    <b v="0"/>
    <n v="0"/>
    <s v=""/>
    <b v="1"/>
    <s v="en"/>
    <m/>
    <s v="1592914879614423041"/>
    <b v="0"/>
    <n v="29"/>
    <s v="1592919637712605186"/>
    <s v="Twitter Web App"/>
    <b v="0"/>
    <s v="1592919637712605186"/>
    <s v="Tweet"/>
    <n v="0"/>
    <n v="0"/>
    <m/>
    <m/>
    <m/>
    <m/>
    <m/>
    <m/>
    <m/>
    <m/>
    <n v="1"/>
    <s v="2"/>
    <s v="2"/>
  </r>
  <r>
    <s v="jerrybuchko"/>
    <s v="jerrybuchko"/>
    <m/>
    <m/>
    <m/>
    <m/>
    <m/>
    <m/>
    <m/>
    <m/>
    <s v="No"/>
    <n v="6"/>
    <m/>
    <m/>
    <x v="0"/>
    <d v="2022-11-22T20:38:36.000"/>
    <s v="This is generalizable_x000a__x000a_Clearly it's not just young adults who are vulnerable to influencers - there are a lot of high profile personalities peddling all sorts of surprising things these days,, 👀😶_x000a__x000a_#CovidIsNotOver #CovidIsAirborne #MediaLit #PolEconLit #LateCapitalismFieldctaft https://t.co/XKKmHqXWld https://t.co/ZP6pNRowq9"/>
    <s v="https://twitter.com/lrainie/status/1594760836089790479"/>
    <s v="twitter.com"/>
    <x v="1"/>
    <s v="https://pbs.twimg.com/media/FiMg1foUYAA-b2S.jpg"/>
    <s v="https://pbs.twimg.com/media/FiMg1foUYAA-b2S.jpg"/>
    <x v="2"/>
    <d v="2022-11-22T00:00:00.000"/>
    <s v="20:38:36"/>
    <s v="https://twitter.com/#!/jerrybuchko/status/1595154805663506432"/>
    <m/>
    <m/>
    <s v="1595154805663506432"/>
    <m/>
    <b v="0"/>
    <n v="1"/>
    <s v=""/>
    <b v="1"/>
    <s v="en"/>
    <m/>
    <s v="1594760836089790479"/>
    <b v="0"/>
    <n v="1"/>
    <s v=""/>
    <s v="Twitter for Android"/>
    <b v="0"/>
    <s v="1595154805663506432"/>
    <s v="Retweet"/>
    <n v="0"/>
    <n v="0"/>
    <m/>
    <m/>
    <m/>
    <m/>
    <m/>
    <m/>
    <m/>
    <m/>
    <n v="1"/>
    <s v="3"/>
    <s v="3"/>
  </r>
  <r>
    <s v="jerrybuchko"/>
    <s v="jerrybuchko"/>
    <m/>
    <m/>
    <m/>
    <m/>
    <m/>
    <m/>
    <m/>
    <m/>
    <s v="No"/>
    <n v="7"/>
    <m/>
    <m/>
    <x v="2"/>
    <d v="2022-11-24T02:59:16.000"/>
    <s v="RT @JerryBuchko: This is generalizable_x000a__x000a_Clearly it's not just young adults who are vulnerable to influencers - there are a lot of high prof…"/>
    <m/>
    <m/>
    <x v="0"/>
    <m/>
    <s v="http://pbs.twimg.com/profile_images/1520106437430562816/_5wH6vDw_normal.png"/>
    <x v="3"/>
    <d v="2022-11-24T00:00:00.000"/>
    <s v="02:59:16"/>
    <s v="https://twitter.com/#!/jerrybuchko/status/1595612991722082304"/>
    <m/>
    <m/>
    <s v="1595612991722082304"/>
    <m/>
    <b v="0"/>
    <n v="0"/>
    <s v=""/>
    <b v="1"/>
    <s v="en"/>
    <m/>
    <s v="1594760836089790479"/>
    <b v="0"/>
    <n v="1"/>
    <s v="1595154805663506432"/>
    <s v="Twitter Web App"/>
    <b v="0"/>
    <s v="1595154805663506432"/>
    <s v="Tweet"/>
    <n v="0"/>
    <n v="0"/>
    <m/>
    <m/>
    <m/>
    <m/>
    <m/>
    <m/>
    <m/>
    <m/>
    <n v="4"/>
    <s v="3"/>
    <s v="3"/>
  </r>
  <r>
    <s v="jerrybuchko"/>
    <s v="jerrybuchko"/>
    <m/>
    <m/>
    <m/>
    <m/>
    <m/>
    <m/>
    <m/>
    <m/>
    <s v="No"/>
    <n v="8"/>
    <m/>
    <m/>
    <x v="2"/>
    <d v="2022-11-25T21:09:03.000"/>
    <s v="RT @JerryBuchko: This is generalizable_x000a__x000a_Clearly it's not just young adults who are vulnerable to influencers - there are a lot of high prof…"/>
    <m/>
    <m/>
    <x v="0"/>
    <m/>
    <s v="http://pbs.twimg.com/profile_images/1520106437430562816/_5wH6vDw_normal.png"/>
    <x v="4"/>
    <d v="2022-11-25T00:00:00.000"/>
    <s v="21:09:03"/>
    <s v="https://twitter.com/#!/jerrybuchko/status/1596249630286544898"/>
    <m/>
    <m/>
    <s v="1596249630286544898"/>
    <m/>
    <b v="0"/>
    <n v="0"/>
    <s v=""/>
    <b v="1"/>
    <s v="en"/>
    <m/>
    <s v="1594760836089790479"/>
    <b v="0"/>
    <n v="1"/>
    <s v="1595154805663506432"/>
    <s v="Twitter for Android"/>
    <b v="0"/>
    <s v="1595154805663506432"/>
    <s v="Tweet"/>
    <n v="0"/>
    <n v="0"/>
    <m/>
    <m/>
    <m/>
    <m/>
    <m/>
    <m/>
    <m/>
    <m/>
    <n v="4"/>
    <s v="3"/>
    <s v="3"/>
  </r>
  <r>
    <s v="jerrybuchko"/>
    <s v="jerrybuchko"/>
    <m/>
    <m/>
    <m/>
    <m/>
    <m/>
    <m/>
    <m/>
    <m/>
    <s v="No"/>
    <n v="9"/>
    <m/>
    <m/>
    <x v="2"/>
    <d v="2022-11-28T17:53:18.000"/>
    <s v="RT @JerryBuchko: This is generalizable_x000a__x000a_Clearly it's not just young adults who are vulnerable to influencers - there are a lot of high prof…"/>
    <m/>
    <m/>
    <x v="0"/>
    <m/>
    <s v="http://pbs.twimg.com/profile_images/1520106437430562816/_5wH6vDw_normal.png"/>
    <x v="5"/>
    <d v="2022-11-28T00:00:00.000"/>
    <s v="17:53:18"/>
    <s v="https://twitter.com/#!/jerrybuchko/status/1597287530243981312"/>
    <m/>
    <m/>
    <s v="1597287530243981312"/>
    <m/>
    <b v="0"/>
    <n v="0"/>
    <s v=""/>
    <b v="1"/>
    <s v="en"/>
    <m/>
    <s v="1594760836089790479"/>
    <b v="0"/>
    <n v="1"/>
    <s v="1595154805663506432"/>
    <s v="Twitter for Android"/>
    <b v="0"/>
    <s v="1595154805663506432"/>
    <s v="Tweet"/>
    <n v="0"/>
    <n v="0"/>
    <m/>
    <m/>
    <m/>
    <m/>
    <m/>
    <m/>
    <m/>
    <m/>
    <n v="4"/>
    <s v="3"/>
    <s v="3"/>
  </r>
  <r>
    <s v="jerrybuchko"/>
    <s v="jerrybuchko"/>
    <m/>
    <m/>
    <m/>
    <m/>
    <m/>
    <m/>
    <m/>
    <m/>
    <s v="No"/>
    <n v="10"/>
    <m/>
    <m/>
    <x v="2"/>
    <d v="2022-11-29T19:00:20.000"/>
    <s v="RT @JerryBuchko: This is generalizable_x000a__x000a_Clearly it's not just young adults who are vulnerable to influencers - there are a lot of high prof…"/>
    <m/>
    <m/>
    <x v="0"/>
    <m/>
    <s v="http://pbs.twimg.com/profile_images/1520106437430562816/_5wH6vDw_normal.png"/>
    <x v="6"/>
    <d v="2022-11-29T00:00:00.000"/>
    <s v="19:00:20"/>
    <s v="https://twitter.com/#!/jerrybuchko/status/1597666788632059904"/>
    <m/>
    <m/>
    <s v="1597666788632059904"/>
    <m/>
    <b v="0"/>
    <n v="0"/>
    <s v=""/>
    <b v="1"/>
    <s v="en"/>
    <m/>
    <s v="1594760836089790479"/>
    <b v="0"/>
    <n v="1"/>
    <s v="1595154805663506432"/>
    <s v="Twitter for Android"/>
    <b v="0"/>
    <s v="1595154805663506432"/>
    <s v="Tweet"/>
    <n v="0"/>
    <n v="0"/>
    <m/>
    <m/>
    <m/>
    <m/>
    <m/>
    <m/>
    <m/>
    <m/>
    <n v="4"/>
    <s v="3"/>
    <s v="3"/>
  </r>
  <r>
    <s v="ema_dm06"/>
    <s v="elonuniversity"/>
    <m/>
    <m/>
    <m/>
    <m/>
    <m/>
    <m/>
    <m/>
    <m/>
    <s v="No"/>
    <n v="11"/>
    <m/>
    <m/>
    <x v="3"/>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7"/>
    <d v="2022-11-29T00:00:00.000"/>
    <s v="19:06:09"/>
    <s v="https://twitter.com/#!/ema_dm06/status/1597668251286183936"/>
    <m/>
    <m/>
    <s v="1597668251286183936"/>
    <s v="1572711661706027008"/>
    <b v="0"/>
    <n v="0"/>
    <s v="35749835"/>
    <b v="0"/>
    <s v="en"/>
    <m/>
    <s v=""/>
    <b v="0"/>
    <n v="0"/>
    <s v=""/>
    <s v="Twitter Web App"/>
    <b v="0"/>
    <s v="1572711661706027008"/>
    <s v="Tweet"/>
    <n v="0"/>
    <n v="0"/>
    <m/>
    <m/>
    <m/>
    <m/>
    <m/>
    <m/>
    <m/>
    <m/>
    <n v="1"/>
    <s v="1"/>
    <s v="1"/>
  </r>
  <r>
    <s v="ema_dm06"/>
    <s v="pewresearch"/>
    <m/>
    <m/>
    <m/>
    <m/>
    <m/>
    <m/>
    <m/>
    <m/>
    <s v="No"/>
    <n v="12"/>
    <m/>
    <m/>
    <x v="3"/>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7"/>
    <d v="2022-11-29T00:00:00.000"/>
    <s v="19:06:09"/>
    <s v="https://twitter.com/#!/ema_dm06/status/1597668251286183936"/>
    <m/>
    <m/>
    <s v="1597668251286183936"/>
    <s v="1572711661706027008"/>
    <b v="0"/>
    <n v="0"/>
    <s v="35749835"/>
    <b v="0"/>
    <s v="en"/>
    <m/>
    <s v=""/>
    <b v="0"/>
    <n v="0"/>
    <s v=""/>
    <s v="Twitter Web App"/>
    <b v="0"/>
    <s v="1572711661706027008"/>
    <s v="Tweet"/>
    <n v="0"/>
    <n v="0"/>
    <m/>
    <m/>
    <m/>
    <m/>
    <m/>
    <m/>
    <m/>
    <m/>
    <n v="1"/>
    <s v="1"/>
    <s v="1"/>
  </r>
  <r>
    <s v="ema_dm06"/>
    <s v="jannaq"/>
    <m/>
    <m/>
    <m/>
    <m/>
    <m/>
    <m/>
    <m/>
    <m/>
    <s v="No"/>
    <n v="13"/>
    <m/>
    <m/>
    <x v="3"/>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7"/>
    <d v="2022-11-29T00:00:00.000"/>
    <s v="19:06:09"/>
    <s v="https://twitter.com/#!/ema_dm06/status/1597668251286183936"/>
    <m/>
    <m/>
    <s v="1597668251286183936"/>
    <s v="1572711661706027008"/>
    <b v="0"/>
    <n v="0"/>
    <s v="35749835"/>
    <b v="0"/>
    <s v="en"/>
    <m/>
    <s v=""/>
    <b v="0"/>
    <n v="0"/>
    <s v=""/>
    <s v="Twitter Web App"/>
    <b v="0"/>
    <s v="1572711661706027008"/>
    <s v="Tweet"/>
    <n v="0"/>
    <n v="0"/>
    <m/>
    <m/>
    <m/>
    <m/>
    <m/>
    <m/>
    <m/>
    <m/>
    <n v="1"/>
    <s v="1"/>
    <s v="1"/>
  </r>
  <r>
    <s v="ema_dm06"/>
    <s v="lrainie"/>
    <m/>
    <m/>
    <m/>
    <m/>
    <m/>
    <m/>
    <m/>
    <m/>
    <s v="No"/>
    <n v="14"/>
    <m/>
    <m/>
    <x v="3"/>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7"/>
    <d v="2022-11-29T00:00:00.000"/>
    <s v="19:06:09"/>
    <s v="https://twitter.com/#!/ema_dm06/status/1597668251286183936"/>
    <m/>
    <m/>
    <s v="1597668251286183936"/>
    <s v="1572711661706027008"/>
    <b v="0"/>
    <n v="0"/>
    <s v="35749835"/>
    <b v="0"/>
    <s v="en"/>
    <m/>
    <s v=""/>
    <b v="0"/>
    <n v="0"/>
    <s v=""/>
    <s v="Twitter Web App"/>
    <b v="0"/>
    <s v="1572711661706027008"/>
    <s v="Tweet"/>
    <n v="0"/>
    <n v="0"/>
    <m/>
    <m/>
    <m/>
    <m/>
    <m/>
    <m/>
    <m/>
    <m/>
    <n v="1"/>
    <s v="1"/>
    <s v="1"/>
  </r>
  <r>
    <s v="ema_dm06"/>
    <s v="tobysworks"/>
    <m/>
    <m/>
    <m/>
    <m/>
    <m/>
    <m/>
    <m/>
    <m/>
    <s v="No"/>
    <n v="15"/>
    <m/>
    <m/>
    <x v="3"/>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7"/>
    <d v="2022-11-29T00:00:00.000"/>
    <s v="19:06:09"/>
    <s v="https://twitter.com/#!/ema_dm06/status/1597668251286183936"/>
    <m/>
    <m/>
    <s v="1597668251286183936"/>
    <s v="1572711661706027008"/>
    <b v="0"/>
    <n v="0"/>
    <s v="35749835"/>
    <b v="0"/>
    <s v="en"/>
    <m/>
    <s v=""/>
    <b v="0"/>
    <n v="0"/>
    <s v=""/>
    <s v="Twitter Web App"/>
    <b v="0"/>
    <s v="1572711661706027008"/>
    <s v="Tweet"/>
    <n v="0"/>
    <n v="0"/>
    <m/>
    <m/>
    <m/>
    <m/>
    <m/>
    <m/>
    <m/>
    <m/>
    <n v="1"/>
    <s v="1"/>
    <s v="1"/>
  </r>
  <r>
    <s v="ema_dm06"/>
    <s v="lazygate"/>
    <m/>
    <m/>
    <m/>
    <m/>
    <m/>
    <m/>
    <m/>
    <m/>
    <s v="No"/>
    <n v="16"/>
    <m/>
    <m/>
    <x v="3"/>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7"/>
    <d v="2022-11-29T00:00:00.000"/>
    <s v="19:06:09"/>
    <s v="https://twitter.com/#!/ema_dm06/status/1597668251286183936"/>
    <m/>
    <m/>
    <s v="1597668251286183936"/>
    <s v="1572711661706027008"/>
    <b v="0"/>
    <n v="0"/>
    <s v="35749835"/>
    <b v="0"/>
    <s v="en"/>
    <m/>
    <s v=""/>
    <b v="0"/>
    <n v="0"/>
    <s v=""/>
    <s v="Twitter Web App"/>
    <b v="0"/>
    <s v="1572711661706027008"/>
    <s v="Tweet"/>
    <n v="0"/>
    <n v="0"/>
    <m/>
    <m/>
    <m/>
    <m/>
    <m/>
    <m/>
    <m/>
    <m/>
    <n v="1"/>
    <s v="1"/>
    <s v="1"/>
  </r>
  <r>
    <s v="ema_dm06"/>
    <s v="docdre"/>
    <m/>
    <m/>
    <m/>
    <m/>
    <m/>
    <m/>
    <m/>
    <m/>
    <s v="No"/>
    <n v="17"/>
    <m/>
    <m/>
    <x v="3"/>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7"/>
    <d v="2022-11-29T00:00:00.000"/>
    <s v="19:06:09"/>
    <s v="https://twitter.com/#!/ema_dm06/status/1597668251286183936"/>
    <m/>
    <m/>
    <s v="1597668251286183936"/>
    <s v="1572711661706027008"/>
    <b v="0"/>
    <n v="0"/>
    <s v="35749835"/>
    <b v="0"/>
    <s v="en"/>
    <m/>
    <s v=""/>
    <b v="0"/>
    <n v="0"/>
    <s v=""/>
    <s v="Twitter Web App"/>
    <b v="0"/>
    <s v="1572711661706027008"/>
    <s v="Tweet"/>
    <n v="0"/>
    <n v="0"/>
    <m/>
    <m/>
    <m/>
    <m/>
    <m/>
    <m/>
    <m/>
    <m/>
    <n v="1"/>
    <s v="1"/>
    <s v="1"/>
  </r>
  <r>
    <s v="ema_dm06"/>
    <s v="louisbrosenberg"/>
    <m/>
    <m/>
    <m/>
    <m/>
    <m/>
    <m/>
    <m/>
    <m/>
    <s v="No"/>
    <n v="18"/>
    <m/>
    <m/>
    <x v="3"/>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7"/>
    <d v="2022-11-29T00:00:00.000"/>
    <s v="19:06:09"/>
    <s v="https://twitter.com/#!/ema_dm06/status/1597668251286183936"/>
    <m/>
    <m/>
    <s v="1597668251286183936"/>
    <s v="1572711661706027008"/>
    <b v="0"/>
    <n v="0"/>
    <s v="35749835"/>
    <b v="0"/>
    <s v="en"/>
    <m/>
    <s v=""/>
    <b v="0"/>
    <n v="0"/>
    <s v=""/>
    <s v="Twitter Web App"/>
    <b v="0"/>
    <s v="1572711661706027008"/>
    <s v="Tweet"/>
    <n v="0"/>
    <n v="0"/>
    <m/>
    <m/>
    <m/>
    <m/>
    <m/>
    <m/>
    <m/>
    <m/>
    <n v="1"/>
    <s v="1"/>
    <s v="1"/>
  </r>
  <r>
    <s v="ema_dm06"/>
    <s v="avibarzeev"/>
    <m/>
    <m/>
    <m/>
    <m/>
    <m/>
    <m/>
    <m/>
    <m/>
    <s v="No"/>
    <n v="19"/>
    <m/>
    <m/>
    <x v="3"/>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7"/>
    <d v="2022-11-29T00:00:00.000"/>
    <s v="19:06:09"/>
    <s v="https://twitter.com/#!/ema_dm06/status/1597668251286183936"/>
    <m/>
    <m/>
    <s v="1597668251286183936"/>
    <s v="1572711661706027008"/>
    <b v="0"/>
    <n v="0"/>
    <s v="35749835"/>
    <b v="0"/>
    <s v="en"/>
    <m/>
    <s v=""/>
    <b v="0"/>
    <n v="0"/>
    <s v=""/>
    <s v="Twitter Web App"/>
    <b v="0"/>
    <s v="1572711661706027008"/>
    <s v="Tweet"/>
    <n v="0"/>
    <n v="0"/>
    <m/>
    <m/>
    <m/>
    <m/>
    <m/>
    <m/>
    <m/>
    <m/>
    <n v="1"/>
    <s v="1"/>
    <s v="1"/>
  </r>
  <r>
    <s v="ema_dm06"/>
    <s v="imagineinternet"/>
    <m/>
    <m/>
    <m/>
    <m/>
    <m/>
    <m/>
    <m/>
    <m/>
    <s v="No"/>
    <n v="20"/>
    <m/>
    <m/>
    <x v="4"/>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7"/>
    <d v="2022-11-29T00:00:00.000"/>
    <s v="19:06:09"/>
    <s v="https://twitter.com/#!/ema_dm06/status/1597668251286183936"/>
    <m/>
    <m/>
    <s v="1597668251286183936"/>
    <s v="1572711661706027008"/>
    <b v="0"/>
    <n v="0"/>
    <s v="35749835"/>
    <b v="0"/>
    <s v="en"/>
    <m/>
    <s v=""/>
    <b v="0"/>
    <n v="0"/>
    <s v=""/>
    <s v="Twitter Web App"/>
    <b v="0"/>
    <s v="1572711661706027008"/>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2"/>
        <item x="3"/>
        <item x="4"/>
        <item x="1"/>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5">
        <i x="3" s="1"/>
        <i x="1"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20" totalsRowShown="0" headerRowDxfId="220" dataDxfId="219">
  <autoFilter ref="A2:BE20"/>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6" totalsRowShown="0" headerRowDxfId="165" dataDxfId="164">
  <autoFilter ref="A2:BA16"/>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5" totalsRowShown="0" headerRowDxfId="112">
  <autoFilter ref="A2:Y5"/>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109" dataDxfId="108">
  <autoFilter ref="A1:C15"/>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20" totalsRowShown="0" headerRowDxfId="57" dataDxfId="56">
  <autoFilter ref="A2:BE20"/>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390</v>
      </c>
      <c r="BD2" s="13" t="s">
        <v>398</v>
      </c>
      <c r="BE2" s="13" t="s">
        <v>399</v>
      </c>
    </row>
    <row r="3" spans="1:57" ht="15" customHeight="1">
      <c r="A3" s="83" t="s">
        <v>217</v>
      </c>
      <c r="B3" s="83" t="s">
        <v>217</v>
      </c>
      <c r="C3" s="54" t="s">
        <v>407</v>
      </c>
      <c r="D3" s="55">
        <v>3</v>
      </c>
      <c r="E3" s="67" t="s">
        <v>132</v>
      </c>
      <c r="F3" s="56">
        <v>35</v>
      </c>
      <c r="G3" s="54"/>
      <c r="H3" s="58"/>
      <c r="I3" s="57"/>
      <c r="J3" s="57"/>
      <c r="K3" s="36" t="s">
        <v>65</v>
      </c>
      <c r="L3" s="63">
        <v>3</v>
      </c>
      <c r="M3" s="63"/>
      <c r="N3" s="64"/>
      <c r="O3" s="84" t="s">
        <v>176</v>
      </c>
      <c r="P3" s="86">
        <v>44881.69225694444</v>
      </c>
      <c r="Q3" s="84" t="s">
        <v>236</v>
      </c>
      <c r="R3" s="88" t="str">
        <f>HYPERLINK("https://twitter.com/lrainie/status/1592914879614423041")</f>
        <v>https://twitter.com/lrainie/status/1592914879614423041</v>
      </c>
      <c r="S3" s="84" t="s">
        <v>237</v>
      </c>
      <c r="T3" s="84"/>
      <c r="U3" s="88" t="str">
        <f>HYPERLINK("https://pbs.twimg.com/media/Fhsv9sJWIAA2cfe.jpg")</f>
        <v>https://pbs.twimg.com/media/Fhsv9sJWIAA2cfe.jpg</v>
      </c>
      <c r="V3" s="88" t="str">
        <f>HYPERLINK("https://pbs.twimg.com/media/Fhsv9sJWIAA2cfe.jpg")</f>
        <v>https://pbs.twimg.com/media/Fhsv9sJWIAA2cfe.jpg</v>
      </c>
      <c r="W3" s="86">
        <v>44881.69225694444</v>
      </c>
      <c r="X3" s="91">
        <v>44881</v>
      </c>
      <c r="Y3" s="93" t="s">
        <v>246</v>
      </c>
      <c r="Z3" s="88" t="str">
        <f>HYPERLINK("https://twitter.com/#!/pessimistsarc/status/1592919637712605186")</f>
        <v>https://twitter.com/#!/pessimistsarc/status/1592919637712605186</v>
      </c>
      <c r="AA3" s="84"/>
      <c r="AB3" s="84"/>
      <c r="AC3" s="93" t="s">
        <v>254</v>
      </c>
      <c r="AD3" s="84"/>
      <c r="AE3" s="84" t="b">
        <v>0</v>
      </c>
      <c r="AF3" s="84">
        <v>114</v>
      </c>
      <c r="AG3" s="93" t="s">
        <v>256</v>
      </c>
      <c r="AH3" s="84" t="b">
        <v>1</v>
      </c>
      <c r="AI3" s="84" t="s">
        <v>258</v>
      </c>
      <c r="AJ3" s="84"/>
      <c r="AK3" s="93" t="s">
        <v>259</v>
      </c>
      <c r="AL3" s="84" t="b">
        <v>0</v>
      </c>
      <c r="AM3" s="84">
        <v>29</v>
      </c>
      <c r="AN3" s="93" t="s">
        <v>256</v>
      </c>
      <c r="AO3" s="93" t="s">
        <v>263</v>
      </c>
      <c r="AP3" s="84" t="b">
        <v>0</v>
      </c>
      <c r="AQ3" s="93" t="s">
        <v>254</v>
      </c>
      <c r="AR3" s="84" t="s">
        <v>229</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217</v>
      </c>
      <c r="C4" s="54" t="s">
        <v>407</v>
      </c>
      <c r="D4" s="55">
        <v>3</v>
      </c>
      <c r="E4" s="67" t="s">
        <v>132</v>
      </c>
      <c r="F4" s="56">
        <v>35</v>
      </c>
      <c r="G4" s="54"/>
      <c r="H4" s="58"/>
      <c r="I4" s="57"/>
      <c r="J4" s="57"/>
      <c r="K4" s="36" t="s">
        <v>65</v>
      </c>
      <c r="L4" s="82">
        <v>4</v>
      </c>
      <c r="M4" s="82"/>
      <c r="N4" s="64"/>
      <c r="O4" s="85" t="s">
        <v>228</v>
      </c>
      <c r="P4" s="87">
        <v>44891.372407407405</v>
      </c>
      <c r="Q4" s="85" t="s">
        <v>232</v>
      </c>
      <c r="R4" s="85"/>
      <c r="S4" s="85"/>
      <c r="T4" s="85"/>
      <c r="U4" s="85"/>
      <c r="V4" s="89" t="str">
        <f>HYPERLINK("http://pbs.twimg.com/profile_images/1073224988617043968/X6BFcBBq_normal.jpg")</f>
        <v>http://pbs.twimg.com/profile_images/1073224988617043968/X6BFcBBq_normal.jpg</v>
      </c>
      <c r="W4" s="87">
        <v>44891.372407407405</v>
      </c>
      <c r="X4" s="92">
        <v>44891</v>
      </c>
      <c r="Y4" s="90" t="s">
        <v>239</v>
      </c>
      <c r="Z4" s="89" t="str">
        <f>HYPERLINK("https://twitter.com/#!/mdicesi/status/1596427607121465346")</f>
        <v>https://twitter.com/#!/mdicesi/status/1596427607121465346</v>
      </c>
      <c r="AA4" s="85"/>
      <c r="AB4" s="85"/>
      <c r="AC4" s="90" t="s">
        <v>247</v>
      </c>
      <c r="AD4" s="85"/>
      <c r="AE4" s="85" t="b">
        <v>0</v>
      </c>
      <c r="AF4" s="85">
        <v>0</v>
      </c>
      <c r="AG4" s="90" t="s">
        <v>256</v>
      </c>
      <c r="AH4" s="85" t="b">
        <v>1</v>
      </c>
      <c r="AI4" s="85" t="s">
        <v>258</v>
      </c>
      <c r="AJ4" s="85"/>
      <c r="AK4" s="90" t="s">
        <v>259</v>
      </c>
      <c r="AL4" s="85" t="b">
        <v>0</v>
      </c>
      <c r="AM4" s="85">
        <v>29</v>
      </c>
      <c r="AN4" s="90" t="s">
        <v>254</v>
      </c>
      <c r="AO4" s="90" t="s">
        <v>261</v>
      </c>
      <c r="AP4" s="85" t="b">
        <v>0</v>
      </c>
      <c r="AQ4" s="90" t="s">
        <v>254</v>
      </c>
      <c r="AR4" s="85" t="s">
        <v>176</v>
      </c>
      <c r="AS4" s="85">
        <v>0</v>
      </c>
      <c r="AT4" s="85">
        <v>0</v>
      </c>
      <c r="AU4" s="85"/>
      <c r="AV4" s="85"/>
      <c r="AW4" s="85"/>
      <c r="AX4" s="85"/>
      <c r="AY4" s="85"/>
      <c r="AZ4" s="85"/>
      <c r="BA4" s="85"/>
      <c r="BB4" s="85"/>
      <c r="BC4">
        <v>1</v>
      </c>
      <c r="BD4" s="84" t="str">
        <f>REPLACE(INDEX(GroupVertices[Group],MATCH(Edges[[#This Row],[Vertex 1]],GroupVertices[Vertex],0)),1,1,"")</f>
        <v>2</v>
      </c>
      <c r="BE4" s="84" t="str">
        <f>REPLACE(INDEX(GroupVertices[Group],MATCH(Edges[[#This Row],[Vertex 2]],GroupVertices[Vertex],0)),1,1,"")</f>
        <v>2</v>
      </c>
    </row>
    <row r="5" spans="1:57" ht="45">
      <c r="A5" s="83" t="s">
        <v>214</v>
      </c>
      <c r="B5" s="83" t="s">
        <v>217</v>
      </c>
      <c r="C5" s="54" t="s">
        <v>407</v>
      </c>
      <c r="D5" s="55">
        <v>3</v>
      </c>
      <c r="E5" s="67" t="s">
        <v>132</v>
      </c>
      <c r="F5" s="56">
        <v>35</v>
      </c>
      <c r="G5" s="54"/>
      <c r="H5" s="58"/>
      <c r="I5" s="57"/>
      <c r="J5" s="57"/>
      <c r="K5" s="36" t="s">
        <v>65</v>
      </c>
      <c r="L5" s="82">
        <v>5</v>
      </c>
      <c r="M5" s="82"/>
      <c r="N5" s="64"/>
      <c r="O5" s="85" t="s">
        <v>229</v>
      </c>
      <c r="P5" s="87">
        <v>44891.372407407405</v>
      </c>
      <c r="Q5" s="85" t="s">
        <v>232</v>
      </c>
      <c r="R5" s="85"/>
      <c r="S5" s="85"/>
      <c r="T5" s="85"/>
      <c r="U5" s="85"/>
      <c r="V5" s="89" t="str">
        <f>HYPERLINK("http://pbs.twimg.com/profile_images/1073224988617043968/X6BFcBBq_normal.jpg")</f>
        <v>http://pbs.twimg.com/profile_images/1073224988617043968/X6BFcBBq_normal.jpg</v>
      </c>
      <c r="W5" s="87">
        <v>44891.372407407405</v>
      </c>
      <c r="X5" s="92">
        <v>44891</v>
      </c>
      <c r="Y5" s="90" t="s">
        <v>239</v>
      </c>
      <c r="Z5" s="89" t="str">
        <f>HYPERLINK("https://twitter.com/#!/mdicesi/status/1596427607121465346")</f>
        <v>https://twitter.com/#!/mdicesi/status/1596427607121465346</v>
      </c>
      <c r="AA5" s="85"/>
      <c r="AB5" s="85"/>
      <c r="AC5" s="90" t="s">
        <v>247</v>
      </c>
      <c r="AD5" s="85"/>
      <c r="AE5" s="85" t="b">
        <v>0</v>
      </c>
      <c r="AF5" s="85">
        <v>0</v>
      </c>
      <c r="AG5" s="90" t="s">
        <v>256</v>
      </c>
      <c r="AH5" s="85" t="b">
        <v>1</v>
      </c>
      <c r="AI5" s="85" t="s">
        <v>258</v>
      </c>
      <c r="AJ5" s="85"/>
      <c r="AK5" s="90" t="s">
        <v>259</v>
      </c>
      <c r="AL5" s="85" t="b">
        <v>0</v>
      </c>
      <c r="AM5" s="85">
        <v>29</v>
      </c>
      <c r="AN5" s="90" t="s">
        <v>254</v>
      </c>
      <c r="AO5" s="90" t="s">
        <v>261</v>
      </c>
      <c r="AP5" s="85" t="b">
        <v>0</v>
      </c>
      <c r="AQ5" s="90" t="s">
        <v>254</v>
      </c>
      <c r="AR5" s="85" t="s">
        <v>176</v>
      </c>
      <c r="AS5" s="85">
        <v>0</v>
      </c>
      <c r="AT5" s="85">
        <v>0</v>
      </c>
      <c r="AU5" s="85"/>
      <c r="AV5" s="85"/>
      <c r="AW5" s="85"/>
      <c r="AX5" s="85"/>
      <c r="AY5" s="85"/>
      <c r="AZ5" s="85"/>
      <c r="BA5" s="85"/>
      <c r="BB5" s="85"/>
      <c r="BC5">
        <v>1</v>
      </c>
      <c r="BD5" s="84" t="str">
        <f>REPLACE(INDEX(GroupVertices[Group],MATCH(Edges[[#This Row],[Vertex 1]],GroupVertices[Vertex],0)),1,1,"")</f>
        <v>2</v>
      </c>
      <c r="BE5" s="84" t="str">
        <f>REPLACE(INDEX(GroupVertices[Group],MATCH(Edges[[#This Row],[Vertex 2]],GroupVertices[Vertex],0)),1,1,"")</f>
        <v>2</v>
      </c>
    </row>
    <row r="6" spans="1:57" ht="45">
      <c r="A6" s="83" t="s">
        <v>215</v>
      </c>
      <c r="B6" s="83" t="s">
        <v>215</v>
      </c>
      <c r="C6" s="54" t="s">
        <v>407</v>
      </c>
      <c r="D6" s="55">
        <v>3</v>
      </c>
      <c r="E6" s="67" t="s">
        <v>132</v>
      </c>
      <c r="F6" s="56">
        <v>35</v>
      </c>
      <c r="G6" s="54"/>
      <c r="H6" s="58"/>
      <c r="I6" s="57"/>
      <c r="J6" s="57"/>
      <c r="K6" s="36" t="s">
        <v>65</v>
      </c>
      <c r="L6" s="82">
        <v>6</v>
      </c>
      <c r="M6" s="82"/>
      <c r="N6" s="64"/>
      <c r="O6" s="85" t="s">
        <v>176</v>
      </c>
      <c r="P6" s="87">
        <v>44887.860138888886</v>
      </c>
      <c r="Q6" s="85" t="s">
        <v>233</v>
      </c>
      <c r="R6" s="89" t="str">
        <f>HYPERLINK("https://twitter.com/lrainie/status/1594760836089790479")</f>
        <v>https://twitter.com/lrainie/status/1594760836089790479</v>
      </c>
      <c r="S6" s="85" t="s">
        <v>237</v>
      </c>
      <c r="T6" s="90" t="s">
        <v>238</v>
      </c>
      <c r="U6" s="89" t="str">
        <f>HYPERLINK("https://pbs.twimg.com/media/FiMg1foUYAA-b2S.jpg")</f>
        <v>https://pbs.twimg.com/media/FiMg1foUYAA-b2S.jpg</v>
      </c>
      <c r="V6" s="89" t="str">
        <f>HYPERLINK("https://pbs.twimg.com/media/FiMg1foUYAA-b2S.jpg")</f>
        <v>https://pbs.twimg.com/media/FiMg1foUYAA-b2S.jpg</v>
      </c>
      <c r="W6" s="87">
        <v>44887.860138888886</v>
      </c>
      <c r="X6" s="92">
        <v>44887</v>
      </c>
      <c r="Y6" s="90" t="s">
        <v>240</v>
      </c>
      <c r="Z6" s="89" t="str">
        <f>HYPERLINK("https://twitter.com/#!/jerrybuchko/status/1595154805663506432")</f>
        <v>https://twitter.com/#!/jerrybuchko/status/1595154805663506432</v>
      </c>
      <c r="AA6" s="85"/>
      <c r="AB6" s="85"/>
      <c r="AC6" s="90" t="s">
        <v>248</v>
      </c>
      <c r="AD6" s="85"/>
      <c r="AE6" s="85" t="b">
        <v>0</v>
      </c>
      <c r="AF6" s="85">
        <v>1</v>
      </c>
      <c r="AG6" s="90" t="s">
        <v>256</v>
      </c>
      <c r="AH6" s="85" t="b">
        <v>1</v>
      </c>
      <c r="AI6" s="85" t="s">
        <v>258</v>
      </c>
      <c r="AJ6" s="85"/>
      <c r="AK6" s="90" t="s">
        <v>260</v>
      </c>
      <c r="AL6" s="85" t="b">
        <v>0</v>
      </c>
      <c r="AM6" s="85">
        <v>1</v>
      </c>
      <c r="AN6" s="90" t="s">
        <v>256</v>
      </c>
      <c r="AO6" s="90" t="s">
        <v>262</v>
      </c>
      <c r="AP6" s="85" t="b">
        <v>0</v>
      </c>
      <c r="AQ6" s="90" t="s">
        <v>248</v>
      </c>
      <c r="AR6" s="85" t="s">
        <v>229</v>
      </c>
      <c r="AS6" s="85">
        <v>0</v>
      </c>
      <c r="AT6" s="85">
        <v>0</v>
      </c>
      <c r="AU6" s="85"/>
      <c r="AV6" s="85"/>
      <c r="AW6" s="85"/>
      <c r="AX6" s="85"/>
      <c r="AY6" s="85"/>
      <c r="AZ6" s="85"/>
      <c r="BA6" s="85"/>
      <c r="BB6" s="85"/>
      <c r="BC6">
        <v>1</v>
      </c>
      <c r="BD6" s="84" t="str">
        <f>REPLACE(INDEX(GroupVertices[Group],MATCH(Edges[[#This Row],[Vertex 1]],GroupVertices[Vertex],0)),1,1,"")</f>
        <v>3</v>
      </c>
      <c r="BE6" s="84" t="str">
        <f>REPLACE(INDEX(GroupVertices[Group],MATCH(Edges[[#This Row],[Vertex 2]],GroupVertices[Vertex],0)),1,1,"")</f>
        <v>3</v>
      </c>
    </row>
    <row r="7" spans="1:57" ht="15">
      <c r="A7" s="83" t="s">
        <v>215</v>
      </c>
      <c r="B7" s="83" t="s">
        <v>215</v>
      </c>
      <c r="C7" s="54" t="s">
        <v>408</v>
      </c>
      <c r="D7" s="55">
        <v>3</v>
      </c>
      <c r="E7" s="67" t="s">
        <v>132</v>
      </c>
      <c r="F7" s="56">
        <v>35</v>
      </c>
      <c r="G7" s="54"/>
      <c r="H7" s="58"/>
      <c r="I7" s="57"/>
      <c r="J7" s="57"/>
      <c r="K7" s="36" t="s">
        <v>65</v>
      </c>
      <c r="L7" s="82">
        <v>7</v>
      </c>
      <c r="M7" s="82"/>
      <c r="N7" s="64"/>
      <c r="O7" s="85" t="s">
        <v>229</v>
      </c>
      <c r="P7" s="87">
        <v>44889.12449074074</v>
      </c>
      <c r="Q7" s="85" t="s">
        <v>234</v>
      </c>
      <c r="R7" s="85"/>
      <c r="S7" s="85"/>
      <c r="T7" s="85"/>
      <c r="U7" s="85"/>
      <c r="V7" s="89" t="str">
        <f>HYPERLINK("http://pbs.twimg.com/profile_images/1520106437430562816/_5wH6vDw_normal.png")</f>
        <v>http://pbs.twimg.com/profile_images/1520106437430562816/_5wH6vDw_normal.png</v>
      </c>
      <c r="W7" s="87">
        <v>44889.12449074074</v>
      </c>
      <c r="X7" s="92">
        <v>44889</v>
      </c>
      <c r="Y7" s="90" t="s">
        <v>241</v>
      </c>
      <c r="Z7" s="89" t="str">
        <f>HYPERLINK("https://twitter.com/#!/jerrybuchko/status/1595612991722082304")</f>
        <v>https://twitter.com/#!/jerrybuchko/status/1595612991722082304</v>
      </c>
      <c r="AA7" s="85"/>
      <c r="AB7" s="85"/>
      <c r="AC7" s="90" t="s">
        <v>249</v>
      </c>
      <c r="AD7" s="85"/>
      <c r="AE7" s="85" t="b">
        <v>0</v>
      </c>
      <c r="AF7" s="85">
        <v>0</v>
      </c>
      <c r="AG7" s="90" t="s">
        <v>256</v>
      </c>
      <c r="AH7" s="85" t="b">
        <v>1</v>
      </c>
      <c r="AI7" s="85" t="s">
        <v>258</v>
      </c>
      <c r="AJ7" s="85"/>
      <c r="AK7" s="90" t="s">
        <v>260</v>
      </c>
      <c r="AL7" s="85" t="b">
        <v>0</v>
      </c>
      <c r="AM7" s="85">
        <v>1</v>
      </c>
      <c r="AN7" s="90" t="s">
        <v>248</v>
      </c>
      <c r="AO7" s="90" t="s">
        <v>261</v>
      </c>
      <c r="AP7" s="85" t="b">
        <v>0</v>
      </c>
      <c r="AQ7" s="90" t="s">
        <v>248</v>
      </c>
      <c r="AR7" s="85" t="s">
        <v>176</v>
      </c>
      <c r="AS7" s="85">
        <v>0</v>
      </c>
      <c r="AT7" s="85">
        <v>0</v>
      </c>
      <c r="AU7" s="85"/>
      <c r="AV7" s="85"/>
      <c r="AW7" s="85"/>
      <c r="AX7" s="85"/>
      <c r="AY7" s="85"/>
      <c r="AZ7" s="85"/>
      <c r="BA7" s="85"/>
      <c r="BB7" s="85"/>
      <c r="BC7">
        <v>4</v>
      </c>
      <c r="BD7" s="84" t="str">
        <f>REPLACE(INDEX(GroupVertices[Group],MATCH(Edges[[#This Row],[Vertex 1]],GroupVertices[Vertex],0)),1,1,"")</f>
        <v>3</v>
      </c>
      <c r="BE7" s="84" t="str">
        <f>REPLACE(INDEX(GroupVertices[Group],MATCH(Edges[[#This Row],[Vertex 2]],GroupVertices[Vertex],0)),1,1,"")</f>
        <v>3</v>
      </c>
    </row>
    <row r="8" spans="1:57" ht="15">
      <c r="A8" s="83" t="s">
        <v>215</v>
      </c>
      <c r="B8" s="83" t="s">
        <v>215</v>
      </c>
      <c r="C8" s="54" t="s">
        <v>408</v>
      </c>
      <c r="D8" s="55">
        <v>3</v>
      </c>
      <c r="E8" s="67" t="s">
        <v>132</v>
      </c>
      <c r="F8" s="56">
        <v>35</v>
      </c>
      <c r="G8" s="54"/>
      <c r="H8" s="58"/>
      <c r="I8" s="57"/>
      <c r="J8" s="57"/>
      <c r="K8" s="36" t="s">
        <v>65</v>
      </c>
      <c r="L8" s="82">
        <v>8</v>
      </c>
      <c r="M8" s="82"/>
      <c r="N8" s="64"/>
      <c r="O8" s="85" t="s">
        <v>229</v>
      </c>
      <c r="P8" s="87">
        <v>44890.88128472222</v>
      </c>
      <c r="Q8" s="85" t="s">
        <v>234</v>
      </c>
      <c r="R8" s="85"/>
      <c r="S8" s="85"/>
      <c r="T8" s="85"/>
      <c r="U8" s="85"/>
      <c r="V8" s="89" t="str">
        <f>HYPERLINK("http://pbs.twimg.com/profile_images/1520106437430562816/_5wH6vDw_normal.png")</f>
        <v>http://pbs.twimg.com/profile_images/1520106437430562816/_5wH6vDw_normal.png</v>
      </c>
      <c r="W8" s="87">
        <v>44890.88128472222</v>
      </c>
      <c r="X8" s="92">
        <v>44890</v>
      </c>
      <c r="Y8" s="90" t="s">
        <v>242</v>
      </c>
      <c r="Z8" s="89" t="str">
        <f>HYPERLINK("https://twitter.com/#!/jerrybuchko/status/1596249630286544898")</f>
        <v>https://twitter.com/#!/jerrybuchko/status/1596249630286544898</v>
      </c>
      <c r="AA8" s="85"/>
      <c r="AB8" s="85"/>
      <c r="AC8" s="90" t="s">
        <v>250</v>
      </c>
      <c r="AD8" s="85"/>
      <c r="AE8" s="85" t="b">
        <v>0</v>
      </c>
      <c r="AF8" s="85">
        <v>0</v>
      </c>
      <c r="AG8" s="90" t="s">
        <v>256</v>
      </c>
      <c r="AH8" s="85" t="b">
        <v>1</v>
      </c>
      <c r="AI8" s="85" t="s">
        <v>258</v>
      </c>
      <c r="AJ8" s="85"/>
      <c r="AK8" s="90" t="s">
        <v>260</v>
      </c>
      <c r="AL8" s="85" t="b">
        <v>0</v>
      </c>
      <c r="AM8" s="85">
        <v>1</v>
      </c>
      <c r="AN8" s="90" t="s">
        <v>248</v>
      </c>
      <c r="AO8" s="90" t="s">
        <v>262</v>
      </c>
      <c r="AP8" s="85" t="b">
        <v>0</v>
      </c>
      <c r="AQ8" s="90" t="s">
        <v>248</v>
      </c>
      <c r="AR8" s="85" t="s">
        <v>176</v>
      </c>
      <c r="AS8" s="85">
        <v>0</v>
      </c>
      <c r="AT8" s="85">
        <v>0</v>
      </c>
      <c r="AU8" s="85"/>
      <c r="AV8" s="85"/>
      <c r="AW8" s="85"/>
      <c r="AX8" s="85"/>
      <c r="AY8" s="85"/>
      <c r="AZ8" s="85"/>
      <c r="BA8" s="85"/>
      <c r="BB8" s="85"/>
      <c r="BC8">
        <v>4</v>
      </c>
      <c r="BD8" s="84" t="str">
        <f>REPLACE(INDEX(GroupVertices[Group],MATCH(Edges[[#This Row],[Vertex 1]],GroupVertices[Vertex],0)),1,1,"")</f>
        <v>3</v>
      </c>
      <c r="BE8" s="84" t="str">
        <f>REPLACE(INDEX(GroupVertices[Group],MATCH(Edges[[#This Row],[Vertex 2]],GroupVertices[Vertex],0)),1,1,"")</f>
        <v>3</v>
      </c>
    </row>
    <row r="9" spans="1:57" ht="15">
      <c r="A9" s="83" t="s">
        <v>215</v>
      </c>
      <c r="B9" s="83" t="s">
        <v>215</v>
      </c>
      <c r="C9" s="54" t="s">
        <v>408</v>
      </c>
      <c r="D9" s="55">
        <v>3</v>
      </c>
      <c r="E9" s="67" t="s">
        <v>132</v>
      </c>
      <c r="F9" s="56">
        <v>35</v>
      </c>
      <c r="G9" s="54"/>
      <c r="H9" s="58"/>
      <c r="I9" s="57"/>
      <c r="J9" s="57"/>
      <c r="K9" s="36" t="s">
        <v>65</v>
      </c>
      <c r="L9" s="82">
        <v>9</v>
      </c>
      <c r="M9" s="82"/>
      <c r="N9" s="64"/>
      <c r="O9" s="85" t="s">
        <v>229</v>
      </c>
      <c r="P9" s="87">
        <v>44893.74534722222</v>
      </c>
      <c r="Q9" s="85" t="s">
        <v>234</v>
      </c>
      <c r="R9" s="85"/>
      <c r="S9" s="85"/>
      <c r="T9" s="85"/>
      <c r="U9" s="85"/>
      <c r="V9" s="89" t="str">
        <f>HYPERLINK("http://pbs.twimg.com/profile_images/1520106437430562816/_5wH6vDw_normal.png")</f>
        <v>http://pbs.twimg.com/profile_images/1520106437430562816/_5wH6vDw_normal.png</v>
      </c>
      <c r="W9" s="87">
        <v>44893.74534722222</v>
      </c>
      <c r="X9" s="92">
        <v>44893</v>
      </c>
      <c r="Y9" s="90" t="s">
        <v>243</v>
      </c>
      <c r="Z9" s="89" t="str">
        <f>HYPERLINK("https://twitter.com/#!/jerrybuchko/status/1597287530243981312")</f>
        <v>https://twitter.com/#!/jerrybuchko/status/1597287530243981312</v>
      </c>
      <c r="AA9" s="85"/>
      <c r="AB9" s="85"/>
      <c r="AC9" s="90" t="s">
        <v>251</v>
      </c>
      <c r="AD9" s="85"/>
      <c r="AE9" s="85" t="b">
        <v>0</v>
      </c>
      <c r="AF9" s="85">
        <v>0</v>
      </c>
      <c r="AG9" s="90" t="s">
        <v>256</v>
      </c>
      <c r="AH9" s="85" t="b">
        <v>1</v>
      </c>
      <c r="AI9" s="85" t="s">
        <v>258</v>
      </c>
      <c r="AJ9" s="85"/>
      <c r="AK9" s="90" t="s">
        <v>260</v>
      </c>
      <c r="AL9" s="85" t="b">
        <v>0</v>
      </c>
      <c r="AM9" s="85">
        <v>1</v>
      </c>
      <c r="AN9" s="90" t="s">
        <v>248</v>
      </c>
      <c r="AO9" s="90" t="s">
        <v>262</v>
      </c>
      <c r="AP9" s="85" t="b">
        <v>0</v>
      </c>
      <c r="AQ9" s="90" t="s">
        <v>248</v>
      </c>
      <c r="AR9" s="85" t="s">
        <v>176</v>
      </c>
      <c r="AS9" s="85">
        <v>0</v>
      </c>
      <c r="AT9" s="85">
        <v>0</v>
      </c>
      <c r="AU9" s="85"/>
      <c r="AV9" s="85"/>
      <c r="AW9" s="85"/>
      <c r="AX9" s="85"/>
      <c r="AY9" s="85"/>
      <c r="AZ9" s="85"/>
      <c r="BA9" s="85"/>
      <c r="BB9" s="85"/>
      <c r="BC9">
        <v>4</v>
      </c>
      <c r="BD9" s="84" t="str">
        <f>REPLACE(INDEX(GroupVertices[Group],MATCH(Edges[[#This Row],[Vertex 1]],GroupVertices[Vertex],0)),1,1,"")</f>
        <v>3</v>
      </c>
      <c r="BE9" s="84" t="str">
        <f>REPLACE(INDEX(GroupVertices[Group],MATCH(Edges[[#This Row],[Vertex 2]],GroupVertices[Vertex],0)),1,1,"")</f>
        <v>3</v>
      </c>
    </row>
    <row r="10" spans="1:57" ht="15">
      <c r="A10" s="83" t="s">
        <v>215</v>
      </c>
      <c r="B10" s="83" t="s">
        <v>215</v>
      </c>
      <c r="C10" s="54" t="s">
        <v>408</v>
      </c>
      <c r="D10" s="55">
        <v>3</v>
      </c>
      <c r="E10" s="67" t="s">
        <v>132</v>
      </c>
      <c r="F10" s="56">
        <v>35</v>
      </c>
      <c r="G10" s="54"/>
      <c r="H10" s="58"/>
      <c r="I10" s="57"/>
      <c r="J10" s="57"/>
      <c r="K10" s="36" t="s">
        <v>65</v>
      </c>
      <c r="L10" s="82">
        <v>10</v>
      </c>
      <c r="M10" s="82"/>
      <c r="N10" s="64"/>
      <c r="O10" s="85" t="s">
        <v>229</v>
      </c>
      <c r="P10" s="87">
        <v>44894.79189814815</v>
      </c>
      <c r="Q10" s="85" t="s">
        <v>234</v>
      </c>
      <c r="R10" s="85"/>
      <c r="S10" s="85"/>
      <c r="T10" s="85"/>
      <c r="U10" s="85"/>
      <c r="V10" s="89" t="str">
        <f>HYPERLINK("http://pbs.twimg.com/profile_images/1520106437430562816/_5wH6vDw_normal.png")</f>
        <v>http://pbs.twimg.com/profile_images/1520106437430562816/_5wH6vDw_normal.png</v>
      </c>
      <c r="W10" s="87">
        <v>44894.79189814815</v>
      </c>
      <c r="X10" s="92">
        <v>44894</v>
      </c>
      <c r="Y10" s="90" t="s">
        <v>244</v>
      </c>
      <c r="Z10" s="89" t="str">
        <f>HYPERLINK("https://twitter.com/#!/jerrybuchko/status/1597666788632059904")</f>
        <v>https://twitter.com/#!/jerrybuchko/status/1597666788632059904</v>
      </c>
      <c r="AA10" s="85"/>
      <c r="AB10" s="85"/>
      <c r="AC10" s="90" t="s">
        <v>252</v>
      </c>
      <c r="AD10" s="85"/>
      <c r="AE10" s="85" t="b">
        <v>0</v>
      </c>
      <c r="AF10" s="85">
        <v>0</v>
      </c>
      <c r="AG10" s="90" t="s">
        <v>256</v>
      </c>
      <c r="AH10" s="85" t="b">
        <v>1</v>
      </c>
      <c r="AI10" s="85" t="s">
        <v>258</v>
      </c>
      <c r="AJ10" s="85"/>
      <c r="AK10" s="90" t="s">
        <v>260</v>
      </c>
      <c r="AL10" s="85" t="b">
        <v>0</v>
      </c>
      <c r="AM10" s="85">
        <v>1</v>
      </c>
      <c r="AN10" s="90" t="s">
        <v>248</v>
      </c>
      <c r="AO10" s="90" t="s">
        <v>262</v>
      </c>
      <c r="AP10" s="85" t="b">
        <v>0</v>
      </c>
      <c r="AQ10" s="90" t="s">
        <v>248</v>
      </c>
      <c r="AR10" s="85" t="s">
        <v>176</v>
      </c>
      <c r="AS10" s="85">
        <v>0</v>
      </c>
      <c r="AT10" s="85">
        <v>0</v>
      </c>
      <c r="AU10" s="85"/>
      <c r="AV10" s="85"/>
      <c r="AW10" s="85"/>
      <c r="AX10" s="85"/>
      <c r="AY10" s="85"/>
      <c r="AZ10" s="85"/>
      <c r="BA10" s="85"/>
      <c r="BB10" s="85"/>
      <c r="BC10">
        <v>4</v>
      </c>
      <c r="BD10" s="84" t="str">
        <f>REPLACE(INDEX(GroupVertices[Group],MATCH(Edges[[#This Row],[Vertex 1]],GroupVertices[Vertex],0)),1,1,"")</f>
        <v>3</v>
      </c>
      <c r="BE10" s="84" t="str">
        <f>REPLACE(INDEX(GroupVertices[Group],MATCH(Edges[[#This Row],[Vertex 2]],GroupVertices[Vertex],0)),1,1,"")</f>
        <v>3</v>
      </c>
    </row>
    <row r="11" spans="1:57" ht="45">
      <c r="A11" s="83" t="s">
        <v>216</v>
      </c>
      <c r="B11" s="83" t="s">
        <v>218</v>
      </c>
      <c r="C11" s="54" t="s">
        <v>407</v>
      </c>
      <c r="D11" s="55">
        <v>3</v>
      </c>
      <c r="E11" s="67" t="s">
        <v>132</v>
      </c>
      <c r="F11" s="56">
        <v>35</v>
      </c>
      <c r="G11" s="54"/>
      <c r="H11" s="58"/>
      <c r="I11" s="57"/>
      <c r="J11" s="57"/>
      <c r="K11" s="36" t="s">
        <v>65</v>
      </c>
      <c r="L11" s="82">
        <v>11</v>
      </c>
      <c r="M11" s="82"/>
      <c r="N11" s="64"/>
      <c r="O11" s="85" t="s">
        <v>230</v>
      </c>
      <c r="P11" s="87">
        <v>44894.7959375</v>
      </c>
      <c r="Q11" s="85" t="s">
        <v>235</v>
      </c>
      <c r="R11" s="85"/>
      <c r="S11" s="85"/>
      <c r="T11" s="85"/>
      <c r="U11" s="85"/>
      <c r="V11" s="89" t="str">
        <f aca="true" t="shared" si="0" ref="V11:V20">HYPERLINK("http://pbs.twimg.com/profile_images/1551909067568087040/hE019265_normal.jpg")</f>
        <v>http://pbs.twimg.com/profile_images/1551909067568087040/hE019265_normal.jpg</v>
      </c>
      <c r="W11" s="87">
        <v>44894.7959375</v>
      </c>
      <c r="X11" s="92">
        <v>44894</v>
      </c>
      <c r="Y11" s="90" t="s">
        <v>245</v>
      </c>
      <c r="Z11" s="89" t="str">
        <f aca="true" t="shared" si="1" ref="Z11:Z20">HYPERLINK("https://twitter.com/#!/ema_dm06/status/1597668251286183936")</f>
        <v>https://twitter.com/#!/ema_dm06/status/1597668251286183936</v>
      </c>
      <c r="AA11" s="85"/>
      <c r="AB11" s="85"/>
      <c r="AC11" s="90" t="s">
        <v>253</v>
      </c>
      <c r="AD11" s="90" t="s">
        <v>255</v>
      </c>
      <c r="AE11" s="85" t="b">
        <v>0</v>
      </c>
      <c r="AF11" s="85">
        <v>0</v>
      </c>
      <c r="AG11" s="90" t="s">
        <v>257</v>
      </c>
      <c r="AH11" s="85" t="b">
        <v>0</v>
      </c>
      <c r="AI11" s="85" t="s">
        <v>258</v>
      </c>
      <c r="AJ11" s="85"/>
      <c r="AK11" s="90" t="s">
        <v>256</v>
      </c>
      <c r="AL11" s="85" t="b">
        <v>0</v>
      </c>
      <c r="AM11" s="85">
        <v>0</v>
      </c>
      <c r="AN11" s="90" t="s">
        <v>256</v>
      </c>
      <c r="AO11" s="90" t="s">
        <v>261</v>
      </c>
      <c r="AP11" s="85" t="b">
        <v>0</v>
      </c>
      <c r="AQ11" s="90" t="s">
        <v>255</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12" spans="1:57" ht="45">
      <c r="A12" s="83" t="s">
        <v>216</v>
      </c>
      <c r="B12" s="83" t="s">
        <v>219</v>
      </c>
      <c r="C12" s="54" t="s">
        <v>407</v>
      </c>
      <c r="D12" s="55">
        <v>3</v>
      </c>
      <c r="E12" s="67" t="s">
        <v>132</v>
      </c>
      <c r="F12" s="56">
        <v>35</v>
      </c>
      <c r="G12" s="54"/>
      <c r="H12" s="58"/>
      <c r="I12" s="57"/>
      <c r="J12" s="57"/>
      <c r="K12" s="36" t="s">
        <v>65</v>
      </c>
      <c r="L12" s="82">
        <v>12</v>
      </c>
      <c r="M12" s="82"/>
      <c r="N12" s="64"/>
      <c r="O12" s="85" t="s">
        <v>230</v>
      </c>
      <c r="P12" s="87">
        <v>44894.7959375</v>
      </c>
      <c r="Q12" s="85" t="s">
        <v>235</v>
      </c>
      <c r="R12" s="85"/>
      <c r="S12" s="85"/>
      <c r="T12" s="85"/>
      <c r="U12" s="85"/>
      <c r="V12" s="89" t="str">
        <f t="shared" si="0"/>
        <v>http://pbs.twimg.com/profile_images/1551909067568087040/hE019265_normal.jpg</v>
      </c>
      <c r="W12" s="87">
        <v>44894.7959375</v>
      </c>
      <c r="X12" s="92">
        <v>44894</v>
      </c>
      <c r="Y12" s="90" t="s">
        <v>245</v>
      </c>
      <c r="Z12" s="89" t="str">
        <f t="shared" si="1"/>
        <v>https://twitter.com/#!/ema_dm06/status/1597668251286183936</v>
      </c>
      <c r="AA12" s="85"/>
      <c r="AB12" s="85"/>
      <c r="AC12" s="90" t="s">
        <v>253</v>
      </c>
      <c r="AD12" s="90" t="s">
        <v>255</v>
      </c>
      <c r="AE12" s="85" t="b">
        <v>0</v>
      </c>
      <c r="AF12" s="85">
        <v>0</v>
      </c>
      <c r="AG12" s="90" t="s">
        <v>257</v>
      </c>
      <c r="AH12" s="85" t="b">
        <v>0</v>
      </c>
      <c r="AI12" s="85" t="s">
        <v>258</v>
      </c>
      <c r="AJ12" s="85"/>
      <c r="AK12" s="90" t="s">
        <v>256</v>
      </c>
      <c r="AL12" s="85" t="b">
        <v>0</v>
      </c>
      <c r="AM12" s="85">
        <v>0</v>
      </c>
      <c r="AN12" s="90" t="s">
        <v>256</v>
      </c>
      <c r="AO12" s="90" t="s">
        <v>261</v>
      </c>
      <c r="AP12" s="85" t="b">
        <v>0</v>
      </c>
      <c r="AQ12" s="90" t="s">
        <v>255</v>
      </c>
      <c r="AR12" s="85" t="s">
        <v>176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row>
    <row r="13" spans="1:57" ht="45">
      <c r="A13" s="83" t="s">
        <v>216</v>
      </c>
      <c r="B13" s="83" t="s">
        <v>220</v>
      </c>
      <c r="C13" s="54" t="s">
        <v>407</v>
      </c>
      <c r="D13" s="55">
        <v>3</v>
      </c>
      <c r="E13" s="67" t="s">
        <v>132</v>
      </c>
      <c r="F13" s="56">
        <v>35</v>
      </c>
      <c r="G13" s="54"/>
      <c r="H13" s="58"/>
      <c r="I13" s="57"/>
      <c r="J13" s="57"/>
      <c r="K13" s="36" t="s">
        <v>65</v>
      </c>
      <c r="L13" s="82">
        <v>13</v>
      </c>
      <c r="M13" s="82"/>
      <c r="N13" s="64"/>
      <c r="O13" s="85" t="s">
        <v>230</v>
      </c>
      <c r="P13" s="87">
        <v>44894.7959375</v>
      </c>
      <c r="Q13" s="85" t="s">
        <v>235</v>
      </c>
      <c r="R13" s="85"/>
      <c r="S13" s="85"/>
      <c r="T13" s="85"/>
      <c r="U13" s="85"/>
      <c r="V13" s="89" t="str">
        <f t="shared" si="0"/>
        <v>http://pbs.twimg.com/profile_images/1551909067568087040/hE019265_normal.jpg</v>
      </c>
      <c r="W13" s="87">
        <v>44894.7959375</v>
      </c>
      <c r="X13" s="92">
        <v>44894</v>
      </c>
      <c r="Y13" s="90" t="s">
        <v>245</v>
      </c>
      <c r="Z13" s="89" t="str">
        <f t="shared" si="1"/>
        <v>https://twitter.com/#!/ema_dm06/status/1597668251286183936</v>
      </c>
      <c r="AA13" s="85"/>
      <c r="AB13" s="85"/>
      <c r="AC13" s="90" t="s">
        <v>253</v>
      </c>
      <c r="AD13" s="90" t="s">
        <v>255</v>
      </c>
      <c r="AE13" s="85" t="b">
        <v>0</v>
      </c>
      <c r="AF13" s="85">
        <v>0</v>
      </c>
      <c r="AG13" s="90" t="s">
        <v>257</v>
      </c>
      <c r="AH13" s="85" t="b">
        <v>0</v>
      </c>
      <c r="AI13" s="85" t="s">
        <v>258</v>
      </c>
      <c r="AJ13" s="85"/>
      <c r="AK13" s="90" t="s">
        <v>256</v>
      </c>
      <c r="AL13" s="85" t="b">
        <v>0</v>
      </c>
      <c r="AM13" s="85">
        <v>0</v>
      </c>
      <c r="AN13" s="90" t="s">
        <v>256</v>
      </c>
      <c r="AO13" s="90" t="s">
        <v>261</v>
      </c>
      <c r="AP13" s="85" t="b">
        <v>0</v>
      </c>
      <c r="AQ13" s="90" t="s">
        <v>255</v>
      </c>
      <c r="AR13" s="85" t="s">
        <v>176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row>
    <row r="14" spans="1:57" ht="45">
      <c r="A14" s="83" t="s">
        <v>216</v>
      </c>
      <c r="B14" s="83" t="s">
        <v>221</v>
      </c>
      <c r="C14" s="54" t="s">
        <v>407</v>
      </c>
      <c r="D14" s="55">
        <v>3</v>
      </c>
      <c r="E14" s="67" t="s">
        <v>132</v>
      </c>
      <c r="F14" s="56">
        <v>35</v>
      </c>
      <c r="G14" s="54"/>
      <c r="H14" s="58"/>
      <c r="I14" s="57"/>
      <c r="J14" s="57"/>
      <c r="K14" s="36" t="s">
        <v>65</v>
      </c>
      <c r="L14" s="82">
        <v>14</v>
      </c>
      <c r="M14" s="82"/>
      <c r="N14" s="64"/>
      <c r="O14" s="85" t="s">
        <v>230</v>
      </c>
      <c r="P14" s="87">
        <v>44894.7959375</v>
      </c>
      <c r="Q14" s="85" t="s">
        <v>235</v>
      </c>
      <c r="R14" s="85"/>
      <c r="S14" s="85"/>
      <c r="T14" s="85"/>
      <c r="U14" s="85"/>
      <c r="V14" s="89" t="str">
        <f t="shared" si="0"/>
        <v>http://pbs.twimg.com/profile_images/1551909067568087040/hE019265_normal.jpg</v>
      </c>
      <c r="W14" s="87">
        <v>44894.7959375</v>
      </c>
      <c r="X14" s="92">
        <v>44894</v>
      </c>
      <c r="Y14" s="90" t="s">
        <v>245</v>
      </c>
      <c r="Z14" s="89" t="str">
        <f t="shared" si="1"/>
        <v>https://twitter.com/#!/ema_dm06/status/1597668251286183936</v>
      </c>
      <c r="AA14" s="85"/>
      <c r="AB14" s="85"/>
      <c r="AC14" s="90" t="s">
        <v>253</v>
      </c>
      <c r="AD14" s="90" t="s">
        <v>255</v>
      </c>
      <c r="AE14" s="85" t="b">
        <v>0</v>
      </c>
      <c r="AF14" s="85">
        <v>0</v>
      </c>
      <c r="AG14" s="90" t="s">
        <v>257</v>
      </c>
      <c r="AH14" s="85" t="b">
        <v>0</v>
      </c>
      <c r="AI14" s="85" t="s">
        <v>258</v>
      </c>
      <c r="AJ14" s="85"/>
      <c r="AK14" s="90" t="s">
        <v>256</v>
      </c>
      <c r="AL14" s="85" t="b">
        <v>0</v>
      </c>
      <c r="AM14" s="85">
        <v>0</v>
      </c>
      <c r="AN14" s="90" t="s">
        <v>256</v>
      </c>
      <c r="AO14" s="90" t="s">
        <v>261</v>
      </c>
      <c r="AP14" s="85" t="b">
        <v>0</v>
      </c>
      <c r="AQ14" s="90" t="s">
        <v>255</v>
      </c>
      <c r="AR14" s="85" t="s">
        <v>176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row>
    <row r="15" spans="1:57" ht="45">
      <c r="A15" s="83" t="s">
        <v>216</v>
      </c>
      <c r="B15" s="83" t="s">
        <v>222</v>
      </c>
      <c r="C15" s="54" t="s">
        <v>407</v>
      </c>
      <c r="D15" s="55">
        <v>3</v>
      </c>
      <c r="E15" s="67" t="s">
        <v>132</v>
      </c>
      <c r="F15" s="56">
        <v>35</v>
      </c>
      <c r="G15" s="54"/>
      <c r="H15" s="58"/>
      <c r="I15" s="57"/>
      <c r="J15" s="57"/>
      <c r="K15" s="36" t="s">
        <v>65</v>
      </c>
      <c r="L15" s="82">
        <v>15</v>
      </c>
      <c r="M15" s="82"/>
      <c r="N15" s="64"/>
      <c r="O15" s="85" t="s">
        <v>230</v>
      </c>
      <c r="P15" s="87">
        <v>44894.7959375</v>
      </c>
      <c r="Q15" s="85" t="s">
        <v>235</v>
      </c>
      <c r="R15" s="85"/>
      <c r="S15" s="85"/>
      <c r="T15" s="85"/>
      <c r="U15" s="85"/>
      <c r="V15" s="89" t="str">
        <f t="shared" si="0"/>
        <v>http://pbs.twimg.com/profile_images/1551909067568087040/hE019265_normal.jpg</v>
      </c>
      <c r="W15" s="87">
        <v>44894.7959375</v>
      </c>
      <c r="X15" s="92">
        <v>44894</v>
      </c>
      <c r="Y15" s="90" t="s">
        <v>245</v>
      </c>
      <c r="Z15" s="89" t="str">
        <f t="shared" si="1"/>
        <v>https://twitter.com/#!/ema_dm06/status/1597668251286183936</v>
      </c>
      <c r="AA15" s="85"/>
      <c r="AB15" s="85"/>
      <c r="AC15" s="90" t="s">
        <v>253</v>
      </c>
      <c r="AD15" s="90" t="s">
        <v>255</v>
      </c>
      <c r="AE15" s="85" t="b">
        <v>0</v>
      </c>
      <c r="AF15" s="85">
        <v>0</v>
      </c>
      <c r="AG15" s="90" t="s">
        <v>257</v>
      </c>
      <c r="AH15" s="85" t="b">
        <v>0</v>
      </c>
      <c r="AI15" s="85" t="s">
        <v>258</v>
      </c>
      <c r="AJ15" s="85"/>
      <c r="AK15" s="90" t="s">
        <v>256</v>
      </c>
      <c r="AL15" s="85" t="b">
        <v>0</v>
      </c>
      <c r="AM15" s="85">
        <v>0</v>
      </c>
      <c r="AN15" s="90" t="s">
        <v>256</v>
      </c>
      <c r="AO15" s="90" t="s">
        <v>261</v>
      </c>
      <c r="AP15" s="85" t="b">
        <v>0</v>
      </c>
      <c r="AQ15" s="90" t="s">
        <v>255</v>
      </c>
      <c r="AR15" s="85" t="s">
        <v>176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row>
    <row r="16" spans="1:57" ht="45">
      <c r="A16" s="83" t="s">
        <v>216</v>
      </c>
      <c r="B16" s="83" t="s">
        <v>223</v>
      </c>
      <c r="C16" s="54" t="s">
        <v>407</v>
      </c>
      <c r="D16" s="55">
        <v>3</v>
      </c>
      <c r="E16" s="67" t="s">
        <v>132</v>
      </c>
      <c r="F16" s="56">
        <v>35</v>
      </c>
      <c r="G16" s="54"/>
      <c r="H16" s="58"/>
      <c r="I16" s="57"/>
      <c r="J16" s="57"/>
      <c r="K16" s="36" t="s">
        <v>65</v>
      </c>
      <c r="L16" s="82">
        <v>16</v>
      </c>
      <c r="M16" s="82"/>
      <c r="N16" s="64"/>
      <c r="O16" s="85" t="s">
        <v>230</v>
      </c>
      <c r="P16" s="87">
        <v>44894.7959375</v>
      </c>
      <c r="Q16" s="85" t="s">
        <v>235</v>
      </c>
      <c r="R16" s="85"/>
      <c r="S16" s="85"/>
      <c r="T16" s="85"/>
      <c r="U16" s="85"/>
      <c r="V16" s="89" t="str">
        <f t="shared" si="0"/>
        <v>http://pbs.twimg.com/profile_images/1551909067568087040/hE019265_normal.jpg</v>
      </c>
      <c r="W16" s="87">
        <v>44894.7959375</v>
      </c>
      <c r="X16" s="92">
        <v>44894</v>
      </c>
      <c r="Y16" s="90" t="s">
        <v>245</v>
      </c>
      <c r="Z16" s="89" t="str">
        <f t="shared" si="1"/>
        <v>https://twitter.com/#!/ema_dm06/status/1597668251286183936</v>
      </c>
      <c r="AA16" s="85"/>
      <c r="AB16" s="85"/>
      <c r="AC16" s="90" t="s">
        <v>253</v>
      </c>
      <c r="AD16" s="90" t="s">
        <v>255</v>
      </c>
      <c r="AE16" s="85" t="b">
        <v>0</v>
      </c>
      <c r="AF16" s="85">
        <v>0</v>
      </c>
      <c r="AG16" s="90" t="s">
        <v>257</v>
      </c>
      <c r="AH16" s="85" t="b">
        <v>0</v>
      </c>
      <c r="AI16" s="85" t="s">
        <v>258</v>
      </c>
      <c r="AJ16" s="85"/>
      <c r="AK16" s="90" t="s">
        <v>256</v>
      </c>
      <c r="AL16" s="85" t="b">
        <v>0</v>
      </c>
      <c r="AM16" s="85">
        <v>0</v>
      </c>
      <c r="AN16" s="90" t="s">
        <v>256</v>
      </c>
      <c r="AO16" s="90" t="s">
        <v>261</v>
      </c>
      <c r="AP16" s="85" t="b">
        <v>0</v>
      </c>
      <c r="AQ16" s="90" t="s">
        <v>255</v>
      </c>
      <c r="AR16" s="85" t="s">
        <v>176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row>
    <row r="17" spans="1:57" ht="45">
      <c r="A17" s="83" t="s">
        <v>216</v>
      </c>
      <c r="B17" s="83" t="s">
        <v>224</v>
      </c>
      <c r="C17" s="54" t="s">
        <v>407</v>
      </c>
      <c r="D17" s="55">
        <v>3</v>
      </c>
      <c r="E17" s="67" t="s">
        <v>132</v>
      </c>
      <c r="F17" s="56">
        <v>35</v>
      </c>
      <c r="G17" s="54"/>
      <c r="H17" s="58"/>
      <c r="I17" s="57"/>
      <c r="J17" s="57"/>
      <c r="K17" s="36" t="s">
        <v>65</v>
      </c>
      <c r="L17" s="82">
        <v>17</v>
      </c>
      <c r="M17" s="82"/>
      <c r="N17" s="64"/>
      <c r="O17" s="85" t="s">
        <v>230</v>
      </c>
      <c r="P17" s="87">
        <v>44894.7959375</v>
      </c>
      <c r="Q17" s="85" t="s">
        <v>235</v>
      </c>
      <c r="R17" s="85"/>
      <c r="S17" s="85"/>
      <c r="T17" s="85"/>
      <c r="U17" s="85"/>
      <c r="V17" s="89" t="str">
        <f t="shared" si="0"/>
        <v>http://pbs.twimg.com/profile_images/1551909067568087040/hE019265_normal.jpg</v>
      </c>
      <c r="W17" s="87">
        <v>44894.7959375</v>
      </c>
      <c r="X17" s="92">
        <v>44894</v>
      </c>
      <c r="Y17" s="90" t="s">
        <v>245</v>
      </c>
      <c r="Z17" s="89" t="str">
        <f t="shared" si="1"/>
        <v>https://twitter.com/#!/ema_dm06/status/1597668251286183936</v>
      </c>
      <c r="AA17" s="85"/>
      <c r="AB17" s="85"/>
      <c r="AC17" s="90" t="s">
        <v>253</v>
      </c>
      <c r="AD17" s="90" t="s">
        <v>255</v>
      </c>
      <c r="AE17" s="85" t="b">
        <v>0</v>
      </c>
      <c r="AF17" s="85">
        <v>0</v>
      </c>
      <c r="AG17" s="90" t="s">
        <v>257</v>
      </c>
      <c r="AH17" s="85" t="b">
        <v>0</v>
      </c>
      <c r="AI17" s="85" t="s">
        <v>258</v>
      </c>
      <c r="AJ17" s="85"/>
      <c r="AK17" s="90" t="s">
        <v>256</v>
      </c>
      <c r="AL17" s="85" t="b">
        <v>0</v>
      </c>
      <c r="AM17" s="85">
        <v>0</v>
      </c>
      <c r="AN17" s="90" t="s">
        <v>256</v>
      </c>
      <c r="AO17" s="90" t="s">
        <v>261</v>
      </c>
      <c r="AP17" s="85" t="b">
        <v>0</v>
      </c>
      <c r="AQ17" s="90" t="s">
        <v>255</v>
      </c>
      <c r="AR17" s="85" t="s">
        <v>176</v>
      </c>
      <c r="AS17" s="85">
        <v>0</v>
      </c>
      <c r="AT17" s="85">
        <v>0</v>
      </c>
      <c r="AU17" s="85"/>
      <c r="AV17" s="85"/>
      <c r="AW17" s="85"/>
      <c r="AX17" s="85"/>
      <c r="AY17" s="85"/>
      <c r="AZ17" s="85"/>
      <c r="BA17" s="85"/>
      <c r="BB17" s="85"/>
      <c r="BC17">
        <v>1</v>
      </c>
      <c r="BD17" s="84" t="str">
        <f>REPLACE(INDEX(GroupVertices[Group],MATCH(Edges[[#This Row],[Vertex 1]],GroupVertices[Vertex],0)),1,1,"")</f>
        <v>1</v>
      </c>
      <c r="BE17" s="84" t="str">
        <f>REPLACE(INDEX(GroupVertices[Group],MATCH(Edges[[#This Row],[Vertex 2]],GroupVertices[Vertex],0)),1,1,"")</f>
        <v>1</v>
      </c>
    </row>
    <row r="18" spans="1:57" ht="45">
      <c r="A18" s="83" t="s">
        <v>216</v>
      </c>
      <c r="B18" s="83" t="s">
        <v>225</v>
      </c>
      <c r="C18" s="54" t="s">
        <v>407</v>
      </c>
      <c r="D18" s="55">
        <v>3</v>
      </c>
      <c r="E18" s="67" t="s">
        <v>132</v>
      </c>
      <c r="F18" s="56">
        <v>35</v>
      </c>
      <c r="G18" s="54"/>
      <c r="H18" s="58"/>
      <c r="I18" s="57"/>
      <c r="J18" s="57"/>
      <c r="K18" s="36" t="s">
        <v>65</v>
      </c>
      <c r="L18" s="82">
        <v>18</v>
      </c>
      <c r="M18" s="82"/>
      <c r="N18" s="64"/>
      <c r="O18" s="85" t="s">
        <v>230</v>
      </c>
      <c r="P18" s="87">
        <v>44894.7959375</v>
      </c>
      <c r="Q18" s="85" t="s">
        <v>235</v>
      </c>
      <c r="R18" s="85"/>
      <c r="S18" s="85"/>
      <c r="T18" s="85"/>
      <c r="U18" s="85"/>
      <c r="V18" s="89" t="str">
        <f t="shared" si="0"/>
        <v>http://pbs.twimg.com/profile_images/1551909067568087040/hE019265_normal.jpg</v>
      </c>
      <c r="W18" s="87">
        <v>44894.7959375</v>
      </c>
      <c r="X18" s="92">
        <v>44894</v>
      </c>
      <c r="Y18" s="90" t="s">
        <v>245</v>
      </c>
      <c r="Z18" s="89" t="str">
        <f t="shared" si="1"/>
        <v>https://twitter.com/#!/ema_dm06/status/1597668251286183936</v>
      </c>
      <c r="AA18" s="85"/>
      <c r="AB18" s="85"/>
      <c r="AC18" s="90" t="s">
        <v>253</v>
      </c>
      <c r="AD18" s="90" t="s">
        <v>255</v>
      </c>
      <c r="AE18" s="85" t="b">
        <v>0</v>
      </c>
      <c r="AF18" s="85">
        <v>0</v>
      </c>
      <c r="AG18" s="90" t="s">
        <v>257</v>
      </c>
      <c r="AH18" s="85" t="b">
        <v>0</v>
      </c>
      <c r="AI18" s="85" t="s">
        <v>258</v>
      </c>
      <c r="AJ18" s="85"/>
      <c r="AK18" s="90" t="s">
        <v>256</v>
      </c>
      <c r="AL18" s="85" t="b">
        <v>0</v>
      </c>
      <c r="AM18" s="85">
        <v>0</v>
      </c>
      <c r="AN18" s="90" t="s">
        <v>256</v>
      </c>
      <c r="AO18" s="90" t="s">
        <v>261</v>
      </c>
      <c r="AP18" s="85" t="b">
        <v>0</v>
      </c>
      <c r="AQ18" s="90" t="s">
        <v>255</v>
      </c>
      <c r="AR18" s="85" t="s">
        <v>176</v>
      </c>
      <c r="AS18" s="85">
        <v>0</v>
      </c>
      <c r="AT18" s="85">
        <v>0</v>
      </c>
      <c r="AU18" s="85"/>
      <c r="AV18" s="85"/>
      <c r="AW18" s="85"/>
      <c r="AX18" s="85"/>
      <c r="AY18" s="85"/>
      <c r="AZ18" s="85"/>
      <c r="BA18" s="85"/>
      <c r="BB18" s="85"/>
      <c r="BC18">
        <v>1</v>
      </c>
      <c r="BD18" s="84" t="str">
        <f>REPLACE(INDEX(GroupVertices[Group],MATCH(Edges[[#This Row],[Vertex 1]],GroupVertices[Vertex],0)),1,1,"")</f>
        <v>1</v>
      </c>
      <c r="BE18" s="84" t="str">
        <f>REPLACE(INDEX(GroupVertices[Group],MATCH(Edges[[#This Row],[Vertex 2]],GroupVertices[Vertex],0)),1,1,"")</f>
        <v>1</v>
      </c>
    </row>
    <row r="19" spans="1:57" ht="45">
      <c r="A19" s="83" t="s">
        <v>216</v>
      </c>
      <c r="B19" s="83" t="s">
        <v>226</v>
      </c>
      <c r="C19" s="54" t="s">
        <v>407</v>
      </c>
      <c r="D19" s="55">
        <v>3</v>
      </c>
      <c r="E19" s="67" t="s">
        <v>132</v>
      </c>
      <c r="F19" s="56">
        <v>35</v>
      </c>
      <c r="G19" s="54"/>
      <c r="H19" s="58"/>
      <c r="I19" s="57"/>
      <c r="J19" s="57"/>
      <c r="K19" s="36" t="s">
        <v>65</v>
      </c>
      <c r="L19" s="82">
        <v>19</v>
      </c>
      <c r="M19" s="82"/>
      <c r="N19" s="64"/>
      <c r="O19" s="85" t="s">
        <v>230</v>
      </c>
      <c r="P19" s="87">
        <v>44894.7959375</v>
      </c>
      <c r="Q19" s="85" t="s">
        <v>235</v>
      </c>
      <c r="R19" s="85"/>
      <c r="S19" s="85"/>
      <c r="T19" s="85"/>
      <c r="U19" s="85"/>
      <c r="V19" s="89" t="str">
        <f t="shared" si="0"/>
        <v>http://pbs.twimg.com/profile_images/1551909067568087040/hE019265_normal.jpg</v>
      </c>
      <c r="W19" s="87">
        <v>44894.7959375</v>
      </c>
      <c r="X19" s="92">
        <v>44894</v>
      </c>
      <c r="Y19" s="90" t="s">
        <v>245</v>
      </c>
      <c r="Z19" s="89" t="str">
        <f t="shared" si="1"/>
        <v>https://twitter.com/#!/ema_dm06/status/1597668251286183936</v>
      </c>
      <c r="AA19" s="85"/>
      <c r="AB19" s="85"/>
      <c r="AC19" s="90" t="s">
        <v>253</v>
      </c>
      <c r="AD19" s="90" t="s">
        <v>255</v>
      </c>
      <c r="AE19" s="85" t="b">
        <v>0</v>
      </c>
      <c r="AF19" s="85">
        <v>0</v>
      </c>
      <c r="AG19" s="90" t="s">
        <v>257</v>
      </c>
      <c r="AH19" s="85" t="b">
        <v>0</v>
      </c>
      <c r="AI19" s="85" t="s">
        <v>258</v>
      </c>
      <c r="AJ19" s="85"/>
      <c r="AK19" s="90" t="s">
        <v>256</v>
      </c>
      <c r="AL19" s="85" t="b">
        <v>0</v>
      </c>
      <c r="AM19" s="85">
        <v>0</v>
      </c>
      <c r="AN19" s="90" t="s">
        <v>256</v>
      </c>
      <c r="AO19" s="90" t="s">
        <v>261</v>
      </c>
      <c r="AP19" s="85" t="b">
        <v>0</v>
      </c>
      <c r="AQ19" s="90" t="s">
        <v>255</v>
      </c>
      <c r="AR19" s="85" t="s">
        <v>176</v>
      </c>
      <c r="AS19" s="85">
        <v>0</v>
      </c>
      <c r="AT19" s="85">
        <v>0</v>
      </c>
      <c r="AU19" s="85"/>
      <c r="AV19" s="85"/>
      <c r="AW19" s="85"/>
      <c r="AX19" s="85"/>
      <c r="AY19" s="85"/>
      <c r="AZ19" s="85"/>
      <c r="BA19" s="85"/>
      <c r="BB19" s="85"/>
      <c r="BC19">
        <v>1</v>
      </c>
      <c r="BD19" s="84" t="str">
        <f>REPLACE(INDEX(GroupVertices[Group],MATCH(Edges[[#This Row],[Vertex 1]],GroupVertices[Vertex],0)),1,1,"")</f>
        <v>1</v>
      </c>
      <c r="BE19" s="84" t="str">
        <f>REPLACE(INDEX(GroupVertices[Group],MATCH(Edges[[#This Row],[Vertex 2]],GroupVertices[Vertex],0)),1,1,"")</f>
        <v>1</v>
      </c>
    </row>
    <row r="20" spans="1:57" ht="45">
      <c r="A20" s="83" t="s">
        <v>216</v>
      </c>
      <c r="B20" s="83" t="s">
        <v>227</v>
      </c>
      <c r="C20" s="54" t="s">
        <v>407</v>
      </c>
      <c r="D20" s="55">
        <v>3</v>
      </c>
      <c r="E20" s="67" t="s">
        <v>132</v>
      </c>
      <c r="F20" s="56">
        <v>35</v>
      </c>
      <c r="G20" s="54"/>
      <c r="H20" s="58"/>
      <c r="I20" s="57"/>
      <c r="J20" s="57"/>
      <c r="K20" s="36" t="s">
        <v>65</v>
      </c>
      <c r="L20" s="82">
        <v>20</v>
      </c>
      <c r="M20" s="82"/>
      <c r="N20" s="64"/>
      <c r="O20" s="85" t="s">
        <v>231</v>
      </c>
      <c r="P20" s="87">
        <v>44894.7959375</v>
      </c>
      <c r="Q20" s="85" t="s">
        <v>235</v>
      </c>
      <c r="R20" s="85"/>
      <c r="S20" s="85"/>
      <c r="T20" s="85"/>
      <c r="U20" s="85"/>
      <c r="V20" s="89" t="str">
        <f t="shared" si="0"/>
        <v>http://pbs.twimg.com/profile_images/1551909067568087040/hE019265_normal.jpg</v>
      </c>
      <c r="W20" s="87">
        <v>44894.7959375</v>
      </c>
      <c r="X20" s="92">
        <v>44894</v>
      </c>
      <c r="Y20" s="90" t="s">
        <v>245</v>
      </c>
      <c r="Z20" s="89" t="str">
        <f t="shared" si="1"/>
        <v>https://twitter.com/#!/ema_dm06/status/1597668251286183936</v>
      </c>
      <c r="AA20" s="85"/>
      <c r="AB20" s="85"/>
      <c r="AC20" s="90" t="s">
        <v>253</v>
      </c>
      <c r="AD20" s="90" t="s">
        <v>255</v>
      </c>
      <c r="AE20" s="85" t="b">
        <v>0</v>
      </c>
      <c r="AF20" s="85">
        <v>0</v>
      </c>
      <c r="AG20" s="90" t="s">
        <v>257</v>
      </c>
      <c r="AH20" s="85" t="b">
        <v>0</v>
      </c>
      <c r="AI20" s="85" t="s">
        <v>258</v>
      </c>
      <c r="AJ20" s="85"/>
      <c r="AK20" s="90" t="s">
        <v>256</v>
      </c>
      <c r="AL20" s="85" t="b">
        <v>0</v>
      </c>
      <c r="AM20" s="85">
        <v>0</v>
      </c>
      <c r="AN20" s="90" t="s">
        <v>256</v>
      </c>
      <c r="AO20" s="90" t="s">
        <v>261</v>
      </c>
      <c r="AP20" s="85" t="b">
        <v>0</v>
      </c>
      <c r="AQ20" s="90" t="s">
        <v>255</v>
      </c>
      <c r="AR20" s="85" t="s">
        <v>176</v>
      </c>
      <c r="AS20" s="85">
        <v>0</v>
      </c>
      <c r="AT20" s="85">
        <v>0</v>
      </c>
      <c r="AU20" s="85"/>
      <c r="AV20" s="85"/>
      <c r="AW20" s="85"/>
      <c r="AX20" s="85"/>
      <c r="AY20" s="85"/>
      <c r="AZ20" s="85"/>
      <c r="BA20" s="85"/>
      <c r="BB20" s="85"/>
      <c r="BC20">
        <v>1</v>
      </c>
      <c r="BD20" s="84" t="str">
        <f>REPLACE(INDEX(GroupVertices[Group],MATCH(Edges[[#This Row],[Vertex 1]],GroupVertices[Vertex],0)),1,1,"")</f>
        <v>1</v>
      </c>
      <c r="BE20"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194</v>
      </c>
      <c r="AU2" s="13" t="s">
        <v>280</v>
      </c>
      <c r="AV2" s="13" t="s">
        <v>281</v>
      </c>
      <c r="AW2" s="13" t="s">
        <v>282</v>
      </c>
      <c r="AX2" s="13" t="s">
        <v>283</v>
      </c>
      <c r="AY2" s="13" t="s">
        <v>284</v>
      </c>
      <c r="AZ2" s="13" t="s">
        <v>285</v>
      </c>
      <c r="BA2" s="13" t="s">
        <v>397</v>
      </c>
      <c r="BB2" s="3"/>
      <c r="BC2" s="3"/>
    </row>
    <row r="3" spans="1:55" ht="15" customHeight="1">
      <c r="A3" s="50" t="s">
        <v>217</v>
      </c>
      <c r="B3" s="54"/>
      <c r="C3" s="54"/>
      <c r="D3" s="55"/>
      <c r="E3" s="56"/>
      <c r="F3" s="115" t="str">
        <f>HYPERLINK("http://pbs.twimg.com/profile_images/1313229721854005248/VwoVU4Tj_normal.jpg")</f>
        <v>http://pbs.twimg.com/profile_images/1313229721854005248/VwoVU4Tj_normal.jpg</v>
      </c>
      <c r="G3" s="54"/>
      <c r="H3" s="58" t="s">
        <v>217</v>
      </c>
      <c r="I3" s="57"/>
      <c r="J3" s="57"/>
      <c r="K3" s="117" t="s">
        <v>352</v>
      </c>
      <c r="L3" s="60"/>
      <c r="M3" s="61">
        <v>8880.919921875</v>
      </c>
      <c r="N3" s="61">
        <v>5036.5029296875</v>
      </c>
      <c r="O3" s="59"/>
      <c r="P3" s="62"/>
      <c r="Q3" s="62"/>
      <c r="R3" s="51"/>
      <c r="S3" s="51"/>
      <c r="T3" s="51"/>
      <c r="U3" s="51"/>
      <c r="V3" s="52"/>
      <c r="W3" s="52"/>
      <c r="X3" s="53"/>
      <c r="Y3" s="52"/>
      <c r="Z3" s="52"/>
      <c r="AA3" s="63">
        <v>3</v>
      </c>
      <c r="AB3" s="63"/>
      <c r="AC3" s="64"/>
      <c r="AD3" s="84" t="s">
        <v>298</v>
      </c>
      <c r="AE3" s="93" t="s">
        <v>311</v>
      </c>
      <c r="AF3" s="84">
        <v>0</v>
      </c>
      <c r="AG3" s="84">
        <v>74777</v>
      </c>
      <c r="AH3" s="84">
        <v>6805</v>
      </c>
      <c r="AI3" s="84">
        <v>4022</v>
      </c>
      <c r="AJ3" s="84"/>
      <c r="AK3" s="84" t="s">
        <v>325</v>
      </c>
      <c r="AL3" s="84"/>
      <c r="AM3" s="88" t="str">
        <f>HYPERLINK("https://t.co/iswSzkABxQ")</f>
        <v>https://t.co/iswSzkABxQ</v>
      </c>
      <c r="AN3" s="84"/>
      <c r="AO3" s="86">
        <v>42296.130590277775</v>
      </c>
      <c r="AP3" s="88" t="str">
        <f>HYPERLINK("https://pbs.twimg.com/profile_banners/3942597494/1604263139")</f>
        <v>https://pbs.twimg.com/profile_banners/3942597494/1604263139</v>
      </c>
      <c r="AQ3" s="84" t="b">
        <v>1</v>
      </c>
      <c r="AR3" s="84" t="b">
        <v>0</v>
      </c>
      <c r="AS3" s="84" t="b">
        <v>1</v>
      </c>
      <c r="AT3" s="84"/>
      <c r="AU3" s="84">
        <v>926</v>
      </c>
      <c r="AV3" s="88" t="str">
        <f>HYPERLINK("http://abs.twimg.com/images/themes/theme1/bg.png")</f>
        <v>http://abs.twimg.com/images/themes/theme1/bg.png</v>
      </c>
      <c r="AW3" s="84" t="b">
        <v>0</v>
      </c>
      <c r="AX3" s="84" t="s">
        <v>338</v>
      </c>
      <c r="AY3" s="88" t="str">
        <f>HYPERLINK("https://twitter.com/pessimistsarc")</f>
        <v>https://twitter.com/pessimistsarc</v>
      </c>
      <c r="AZ3" s="84" t="s">
        <v>66</v>
      </c>
      <c r="BA3" s="84" t="str">
        <f>REPLACE(INDEX(GroupVertices[Group],MATCH(Vertices[[#This Row],[Vertex]],GroupVertices[Vertex],0)),1,1,"")</f>
        <v>2</v>
      </c>
      <c r="BB3" s="3"/>
      <c r="BC3" s="3"/>
    </row>
    <row r="4" spans="1:58" ht="15">
      <c r="A4" s="14" t="s">
        <v>214</v>
      </c>
      <c r="B4" s="15"/>
      <c r="C4" s="15"/>
      <c r="D4" s="94"/>
      <c r="E4" s="80"/>
      <c r="F4" s="115" t="str">
        <f>HYPERLINK("http://pbs.twimg.com/profile_images/1073224988617043968/X6BFcBBq_normal.jpg")</f>
        <v>http://pbs.twimg.com/profile_images/1073224988617043968/X6BFcBBq_normal.jpg</v>
      </c>
      <c r="G4" s="15"/>
      <c r="H4" s="16" t="s">
        <v>214</v>
      </c>
      <c r="I4" s="68"/>
      <c r="J4" s="68"/>
      <c r="K4" s="117" t="s">
        <v>339</v>
      </c>
      <c r="L4" s="95"/>
      <c r="M4" s="96">
        <v>8880.919921875</v>
      </c>
      <c r="N4" s="96">
        <v>8235.1953125</v>
      </c>
      <c r="O4" s="78"/>
      <c r="P4" s="97"/>
      <c r="Q4" s="97"/>
      <c r="R4" s="98"/>
      <c r="S4" s="98"/>
      <c r="T4" s="98"/>
      <c r="U4" s="98"/>
      <c r="V4" s="53"/>
      <c r="W4" s="53"/>
      <c r="X4" s="53"/>
      <c r="Y4" s="53"/>
      <c r="Z4" s="52"/>
      <c r="AA4" s="81">
        <v>4</v>
      </c>
      <c r="AB4" s="81"/>
      <c r="AC4" s="99"/>
      <c r="AD4" s="84" t="s">
        <v>286</v>
      </c>
      <c r="AE4" s="93" t="s">
        <v>299</v>
      </c>
      <c r="AF4" s="84">
        <v>376</v>
      </c>
      <c r="AG4" s="84">
        <v>196</v>
      </c>
      <c r="AH4" s="84">
        <v>570</v>
      </c>
      <c r="AI4" s="84">
        <v>2476</v>
      </c>
      <c r="AJ4" s="84"/>
      <c r="AK4" s="84" t="s">
        <v>312</v>
      </c>
      <c r="AL4" s="84" t="s">
        <v>326</v>
      </c>
      <c r="AM4" s="84"/>
      <c r="AN4" s="84"/>
      <c r="AO4" s="86">
        <v>43447.603113425925</v>
      </c>
      <c r="AP4" s="84"/>
      <c r="AQ4" s="84" t="b">
        <v>1</v>
      </c>
      <c r="AR4" s="84" t="b">
        <v>0</v>
      </c>
      <c r="AS4" s="84" t="b">
        <v>1</v>
      </c>
      <c r="AT4" s="84"/>
      <c r="AU4" s="84">
        <v>5</v>
      </c>
      <c r="AV4" s="84"/>
      <c r="AW4" s="84" t="b">
        <v>0</v>
      </c>
      <c r="AX4" s="84" t="s">
        <v>338</v>
      </c>
      <c r="AY4" s="88" t="str">
        <f>HYPERLINK("https://twitter.com/mdicesi")</f>
        <v>https://twitter.com/mdicesi</v>
      </c>
      <c r="AZ4" s="84" t="s">
        <v>66</v>
      </c>
      <c r="BA4" s="84" t="str">
        <f>REPLACE(INDEX(GroupVertices[Group],MATCH(Vertices[[#This Row],[Vertex]],GroupVertices[Vertex],0)),1,1,"")</f>
        <v>2</v>
      </c>
      <c r="BB4" s="2"/>
      <c r="BC4" s="3"/>
      <c r="BD4" s="3"/>
      <c r="BE4" s="3"/>
      <c r="BF4" s="3"/>
    </row>
    <row r="5" spans="1:58" ht="15">
      <c r="A5" s="14" t="s">
        <v>215</v>
      </c>
      <c r="B5" s="15"/>
      <c r="C5" s="15"/>
      <c r="D5" s="94"/>
      <c r="E5" s="80"/>
      <c r="F5" s="115" t="str">
        <f>HYPERLINK("http://pbs.twimg.com/profile_images/1520106437430562816/_5wH6vDw_normal.png")</f>
        <v>http://pbs.twimg.com/profile_images/1520106437430562816/_5wH6vDw_normal.png</v>
      </c>
      <c r="G5" s="15"/>
      <c r="H5" s="16" t="s">
        <v>215</v>
      </c>
      <c r="I5" s="68"/>
      <c r="J5" s="68"/>
      <c r="K5" s="117" t="s">
        <v>340</v>
      </c>
      <c r="L5" s="95"/>
      <c r="M5" s="96">
        <v>8880.919921875</v>
      </c>
      <c r="N5" s="96">
        <v>1718.578125</v>
      </c>
      <c r="O5" s="78"/>
      <c r="P5" s="97"/>
      <c r="Q5" s="97"/>
      <c r="R5" s="98"/>
      <c r="S5" s="98"/>
      <c r="T5" s="98"/>
      <c r="U5" s="98"/>
      <c r="V5" s="53"/>
      <c r="W5" s="53"/>
      <c r="X5" s="53"/>
      <c r="Y5" s="53"/>
      <c r="Z5" s="52"/>
      <c r="AA5" s="81">
        <v>5</v>
      </c>
      <c r="AB5" s="81"/>
      <c r="AC5" s="99"/>
      <c r="AD5" s="84" t="s">
        <v>287</v>
      </c>
      <c r="AE5" s="93" t="s">
        <v>300</v>
      </c>
      <c r="AF5" s="84">
        <v>2380</v>
      </c>
      <c r="AG5" s="84">
        <v>1210</v>
      </c>
      <c r="AH5" s="84">
        <v>105960</v>
      </c>
      <c r="AI5" s="84">
        <v>273278</v>
      </c>
      <c r="AJ5" s="84"/>
      <c r="AK5" s="84" t="s">
        <v>313</v>
      </c>
      <c r="AL5" s="84" t="s">
        <v>327</v>
      </c>
      <c r="AM5" s="88" t="str">
        <f>HYPERLINK("http://sites.google.com/view/jerrybuchko")</f>
        <v>http://sites.google.com/view/jerrybuchko</v>
      </c>
      <c r="AN5" s="84"/>
      <c r="AO5" s="86">
        <v>40313.08190972222</v>
      </c>
      <c r="AP5" s="88" t="str">
        <f>HYPERLINK("https://pbs.twimg.com/profile_banners/144010158/1649101571")</f>
        <v>https://pbs.twimg.com/profile_banners/144010158/1649101571</v>
      </c>
      <c r="AQ5" s="84" t="b">
        <v>0</v>
      </c>
      <c r="AR5" s="84" t="b">
        <v>0</v>
      </c>
      <c r="AS5" s="84" t="b">
        <v>0</v>
      </c>
      <c r="AT5" s="84"/>
      <c r="AU5" s="84">
        <v>70</v>
      </c>
      <c r="AV5" s="88" t="str">
        <f>HYPERLINK("http://abs.twimg.com/images/themes/theme13/bg.gif")</f>
        <v>http://abs.twimg.com/images/themes/theme13/bg.gif</v>
      </c>
      <c r="AW5" s="84" t="b">
        <v>0</v>
      </c>
      <c r="AX5" s="84" t="s">
        <v>338</v>
      </c>
      <c r="AY5" s="88" t="str">
        <f>HYPERLINK("https://twitter.com/jerrybuchko")</f>
        <v>https://twitter.com/jerrybuchko</v>
      </c>
      <c r="AZ5" s="84" t="s">
        <v>66</v>
      </c>
      <c r="BA5" s="84" t="str">
        <f>REPLACE(INDEX(GroupVertices[Group],MATCH(Vertices[[#This Row],[Vertex]],GroupVertices[Vertex],0)),1,1,"")</f>
        <v>3</v>
      </c>
      <c r="BB5" s="2"/>
      <c r="BC5" s="3"/>
      <c r="BD5" s="3"/>
      <c r="BE5" s="3"/>
      <c r="BF5" s="3"/>
    </row>
    <row r="6" spans="1:58" ht="15">
      <c r="A6" s="14" t="s">
        <v>216</v>
      </c>
      <c r="B6" s="15"/>
      <c r="C6" s="15"/>
      <c r="D6" s="94"/>
      <c r="E6" s="80"/>
      <c r="F6" s="115" t="str">
        <f>HYPERLINK("http://pbs.twimg.com/profile_images/1551909067568087040/hE019265_normal.jpg")</f>
        <v>http://pbs.twimg.com/profile_images/1551909067568087040/hE019265_normal.jpg</v>
      </c>
      <c r="G6" s="15"/>
      <c r="H6" s="16" t="s">
        <v>216</v>
      </c>
      <c r="I6" s="68"/>
      <c r="J6" s="68"/>
      <c r="K6" s="117" t="s">
        <v>341</v>
      </c>
      <c r="L6" s="95"/>
      <c r="M6" s="96">
        <v>3939.35693359375</v>
      </c>
      <c r="N6" s="96">
        <v>4999.5771484375</v>
      </c>
      <c r="O6" s="78"/>
      <c r="P6" s="97"/>
      <c r="Q6" s="97"/>
      <c r="R6" s="98"/>
      <c r="S6" s="98"/>
      <c r="T6" s="98"/>
      <c r="U6" s="98"/>
      <c r="V6" s="53"/>
      <c r="W6" s="53"/>
      <c r="X6" s="53"/>
      <c r="Y6" s="53"/>
      <c r="Z6" s="52"/>
      <c r="AA6" s="81">
        <v>6</v>
      </c>
      <c r="AB6" s="81"/>
      <c r="AC6" s="99"/>
      <c r="AD6" s="84" t="s">
        <v>288</v>
      </c>
      <c r="AE6" s="93" t="s">
        <v>301</v>
      </c>
      <c r="AF6" s="84">
        <v>307</v>
      </c>
      <c r="AG6" s="84">
        <v>53</v>
      </c>
      <c r="AH6" s="84">
        <v>175</v>
      </c>
      <c r="AI6" s="84">
        <v>222</v>
      </c>
      <c r="AJ6" s="84"/>
      <c r="AK6" s="84" t="s">
        <v>314</v>
      </c>
      <c r="AL6" s="84"/>
      <c r="AM6" s="84"/>
      <c r="AN6" s="84"/>
      <c r="AO6" s="86">
        <v>44768.5243287037</v>
      </c>
      <c r="AP6" s="88" t="str">
        <f>HYPERLINK("https://pbs.twimg.com/profile_banners/1551908861506093056/1658839142")</f>
        <v>https://pbs.twimg.com/profile_banners/1551908861506093056/1658839142</v>
      </c>
      <c r="AQ6" s="84" t="b">
        <v>1</v>
      </c>
      <c r="AR6" s="84" t="b">
        <v>0</v>
      </c>
      <c r="AS6" s="84" t="b">
        <v>0</v>
      </c>
      <c r="AT6" s="84"/>
      <c r="AU6" s="84">
        <v>0</v>
      </c>
      <c r="AV6" s="84"/>
      <c r="AW6" s="84" t="b">
        <v>0</v>
      </c>
      <c r="AX6" s="84" t="s">
        <v>338</v>
      </c>
      <c r="AY6" s="88" t="str">
        <f>HYPERLINK("https://twitter.com/ema_dm06")</f>
        <v>https://twitter.com/ema_dm06</v>
      </c>
      <c r="AZ6" s="84" t="s">
        <v>66</v>
      </c>
      <c r="BA6" s="84" t="str">
        <f>REPLACE(INDEX(GroupVertices[Group],MATCH(Vertices[[#This Row],[Vertex]],GroupVertices[Vertex],0)),1,1,"")</f>
        <v>1</v>
      </c>
      <c r="BB6" s="2"/>
      <c r="BC6" s="3"/>
      <c r="BD6" s="3"/>
      <c r="BE6" s="3"/>
      <c r="BF6" s="3"/>
    </row>
    <row r="7" spans="1:58" ht="15">
      <c r="A7" s="14" t="s">
        <v>218</v>
      </c>
      <c r="B7" s="15"/>
      <c r="C7" s="15"/>
      <c r="D7" s="94"/>
      <c r="E7" s="80"/>
      <c r="F7" s="115" t="str">
        <f>HYPERLINK("http://pbs.twimg.com/profile_images/1103273093273931776/Mzg5ufrp_normal.jpg")</f>
        <v>http://pbs.twimg.com/profile_images/1103273093273931776/Mzg5ufrp_normal.jpg</v>
      </c>
      <c r="G7" s="15"/>
      <c r="H7" s="16" t="s">
        <v>218</v>
      </c>
      <c r="I7" s="68"/>
      <c r="J7" s="68"/>
      <c r="K7" s="117" t="s">
        <v>342</v>
      </c>
      <c r="L7" s="95"/>
      <c r="M7" s="96">
        <v>4818.41259765625</v>
      </c>
      <c r="N7" s="96">
        <v>9834.54296875</v>
      </c>
      <c r="O7" s="78"/>
      <c r="P7" s="97"/>
      <c r="Q7" s="97"/>
      <c r="R7" s="98"/>
      <c r="S7" s="98"/>
      <c r="T7" s="98"/>
      <c r="U7" s="98"/>
      <c r="V7" s="53"/>
      <c r="W7" s="53"/>
      <c r="X7" s="53"/>
      <c r="Y7" s="53"/>
      <c r="Z7" s="52"/>
      <c r="AA7" s="81">
        <v>7</v>
      </c>
      <c r="AB7" s="81"/>
      <c r="AC7" s="99"/>
      <c r="AD7" s="84" t="s">
        <v>289</v>
      </c>
      <c r="AE7" s="93" t="s">
        <v>302</v>
      </c>
      <c r="AF7" s="84">
        <v>474</v>
      </c>
      <c r="AG7" s="84">
        <v>29572</v>
      </c>
      <c r="AH7" s="84">
        <v>21686</v>
      </c>
      <c r="AI7" s="84">
        <v>17866</v>
      </c>
      <c r="AJ7" s="84"/>
      <c r="AK7" s="84" t="s">
        <v>315</v>
      </c>
      <c r="AL7" s="84" t="s">
        <v>328</v>
      </c>
      <c r="AM7" s="88" t="str">
        <f>HYPERLINK("http://www.elon.edu/")</f>
        <v>http://www.elon.edu/</v>
      </c>
      <c r="AN7" s="84"/>
      <c r="AO7" s="86">
        <v>39674.883888888886</v>
      </c>
      <c r="AP7" s="88" t="str">
        <f>HYPERLINK("https://pbs.twimg.com/profile_banners/15855913/1614801631")</f>
        <v>https://pbs.twimg.com/profile_banners/15855913/1614801631</v>
      </c>
      <c r="AQ7" s="84" t="b">
        <v>0</v>
      </c>
      <c r="AR7" s="84" t="b">
        <v>0</v>
      </c>
      <c r="AS7" s="84" t="b">
        <v>1</v>
      </c>
      <c r="AT7" s="84"/>
      <c r="AU7" s="84">
        <v>327</v>
      </c>
      <c r="AV7" s="88" t="str">
        <f>HYPERLINK("http://abs.twimg.com/images/themes/theme1/bg.png")</f>
        <v>http://abs.twimg.com/images/themes/theme1/bg.png</v>
      </c>
      <c r="AW7" s="84" t="b">
        <v>1</v>
      </c>
      <c r="AX7" s="84" t="s">
        <v>338</v>
      </c>
      <c r="AY7" s="88" t="str">
        <f>HYPERLINK("https://twitter.com/elonuniversity")</f>
        <v>https://twitter.com/elonuniversity</v>
      </c>
      <c r="AZ7" s="84" t="s">
        <v>65</v>
      </c>
      <c r="BA7" s="84" t="str">
        <f>REPLACE(INDEX(GroupVertices[Group],MATCH(Vertices[[#This Row],[Vertex]],GroupVertices[Vertex],0)),1,1,"")</f>
        <v>1</v>
      </c>
      <c r="BB7" s="2"/>
      <c r="BC7" s="3"/>
      <c r="BD7" s="3"/>
      <c r="BE7" s="3"/>
      <c r="BF7" s="3"/>
    </row>
    <row r="8" spans="1:58" ht="15">
      <c r="A8" s="14" t="s">
        <v>219</v>
      </c>
      <c r="B8" s="15"/>
      <c r="C8" s="15"/>
      <c r="D8" s="94"/>
      <c r="E8" s="80"/>
      <c r="F8" s="115" t="str">
        <f>HYPERLINK("http://pbs.twimg.com/profile_images/879728447026868228/U4Uzpdp6_normal.jpg")</f>
        <v>http://pbs.twimg.com/profile_images/879728447026868228/U4Uzpdp6_normal.jpg</v>
      </c>
      <c r="G8" s="15"/>
      <c r="H8" s="16" t="s">
        <v>219</v>
      </c>
      <c r="I8" s="68"/>
      <c r="J8" s="68"/>
      <c r="K8" s="117" t="s">
        <v>343</v>
      </c>
      <c r="L8" s="95"/>
      <c r="M8" s="96">
        <v>7219.88427734375</v>
      </c>
      <c r="N8" s="96">
        <v>2422.914794921875</v>
      </c>
      <c r="O8" s="78"/>
      <c r="P8" s="97"/>
      <c r="Q8" s="97"/>
      <c r="R8" s="98"/>
      <c r="S8" s="98"/>
      <c r="T8" s="98"/>
      <c r="U8" s="98"/>
      <c r="V8" s="53"/>
      <c r="W8" s="53"/>
      <c r="X8" s="53"/>
      <c r="Y8" s="53"/>
      <c r="Z8" s="52"/>
      <c r="AA8" s="81">
        <v>8</v>
      </c>
      <c r="AB8" s="81"/>
      <c r="AC8" s="99"/>
      <c r="AD8" s="84" t="s">
        <v>290</v>
      </c>
      <c r="AE8" s="93" t="s">
        <v>303</v>
      </c>
      <c r="AF8" s="84">
        <v>93</v>
      </c>
      <c r="AG8" s="84">
        <v>445444</v>
      </c>
      <c r="AH8" s="84">
        <v>97361</v>
      </c>
      <c r="AI8" s="84">
        <v>1207</v>
      </c>
      <c r="AJ8" s="84"/>
      <c r="AK8" s="84" t="s">
        <v>316</v>
      </c>
      <c r="AL8" s="84" t="s">
        <v>329</v>
      </c>
      <c r="AM8" s="88" t="str">
        <f>HYPERLINK("https://t.co/MXOqG3wFdJ")</f>
        <v>https://t.co/MXOqG3wFdJ</v>
      </c>
      <c r="AN8" s="84"/>
      <c r="AO8" s="86">
        <v>39875.69420138889</v>
      </c>
      <c r="AP8" s="88" t="str">
        <f>HYPERLINK("https://pbs.twimg.com/profile_banners/22642788/1494338667")</f>
        <v>https://pbs.twimg.com/profile_banners/22642788/1494338667</v>
      </c>
      <c r="AQ8" s="84" t="b">
        <v>0</v>
      </c>
      <c r="AR8" s="84" t="b">
        <v>0</v>
      </c>
      <c r="AS8" s="84" t="b">
        <v>1</v>
      </c>
      <c r="AT8" s="84"/>
      <c r="AU8" s="84">
        <v>12988</v>
      </c>
      <c r="AV8" s="88" t="str">
        <f>HYPERLINK("http://abs.twimg.com/images/themes/theme1/bg.png")</f>
        <v>http://abs.twimg.com/images/themes/theme1/bg.png</v>
      </c>
      <c r="AW8" s="84" t="b">
        <v>1</v>
      </c>
      <c r="AX8" s="84" t="s">
        <v>338</v>
      </c>
      <c r="AY8" s="88" t="str">
        <f>HYPERLINK("https://twitter.com/pewresearch")</f>
        <v>https://twitter.com/pewresearch</v>
      </c>
      <c r="AZ8" s="84" t="s">
        <v>65</v>
      </c>
      <c r="BA8" s="84" t="str">
        <f>REPLACE(INDEX(GroupVertices[Group],MATCH(Vertices[[#This Row],[Vertex]],GroupVertices[Vertex],0)),1,1,"")</f>
        <v>1</v>
      </c>
      <c r="BB8" s="2"/>
      <c r="BC8" s="3"/>
      <c r="BD8" s="3"/>
      <c r="BE8" s="3"/>
      <c r="BF8" s="3"/>
    </row>
    <row r="9" spans="1:58" ht="15">
      <c r="A9" s="14" t="s">
        <v>220</v>
      </c>
      <c r="B9" s="15"/>
      <c r="C9" s="15"/>
      <c r="D9" s="94"/>
      <c r="E9" s="80"/>
      <c r="F9" s="115" t="str">
        <f>HYPERLINK("http://pbs.twimg.com/profile_images/472147385578041344/udqNGwDZ_normal.jpeg")</f>
        <v>http://pbs.twimg.com/profile_images/472147385578041344/udqNGwDZ_normal.jpeg</v>
      </c>
      <c r="G9" s="15"/>
      <c r="H9" s="16" t="s">
        <v>220</v>
      </c>
      <c r="I9" s="68"/>
      <c r="J9" s="68"/>
      <c r="K9" s="117" t="s">
        <v>344</v>
      </c>
      <c r="L9" s="95"/>
      <c r="M9" s="96">
        <v>658.7516479492188</v>
      </c>
      <c r="N9" s="96">
        <v>7576.2177734375</v>
      </c>
      <c r="O9" s="78"/>
      <c r="P9" s="97"/>
      <c r="Q9" s="97"/>
      <c r="R9" s="98"/>
      <c r="S9" s="98"/>
      <c r="T9" s="98"/>
      <c r="U9" s="98"/>
      <c r="V9" s="53"/>
      <c r="W9" s="53"/>
      <c r="X9" s="53"/>
      <c r="Y9" s="53"/>
      <c r="Z9" s="52"/>
      <c r="AA9" s="81">
        <v>9</v>
      </c>
      <c r="AB9" s="81"/>
      <c r="AC9" s="99"/>
      <c r="AD9" s="84" t="s">
        <v>291</v>
      </c>
      <c r="AE9" s="93" t="s">
        <v>304</v>
      </c>
      <c r="AF9" s="84">
        <v>814</v>
      </c>
      <c r="AG9" s="84">
        <v>2261</v>
      </c>
      <c r="AH9" s="84">
        <v>7008</v>
      </c>
      <c r="AI9" s="84">
        <v>1921</v>
      </c>
      <c r="AJ9" s="84"/>
      <c r="AK9" s="84" t="s">
        <v>317</v>
      </c>
      <c r="AL9" s="84" t="s">
        <v>330</v>
      </c>
      <c r="AM9" s="88" t="str">
        <f>HYPERLINK("http://t.co/SEvac8biUW")</f>
        <v>http://t.co/SEvac8biUW</v>
      </c>
      <c r="AN9" s="84"/>
      <c r="AO9" s="86">
        <v>39757.060636574075</v>
      </c>
      <c r="AP9" s="88" t="str">
        <f>HYPERLINK("https://pbs.twimg.com/profile_banners/17175973/1401404583")</f>
        <v>https://pbs.twimg.com/profile_banners/17175973/1401404583</v>
      </c>
      <c r="AQ9" s="84" t="b">
        <v>0</v>
      </c>
      <c r="AR9" s="84" t="b">
        <v>0</v>
      </c>
      <c r="AS9" s="84" t="b">
        <v>0</v>
      </c>
      <c r="AT9" s="84"/>
      <c r="AU9" s="84">
        <v>222</v>
      </c>
      <c r="AV9" s="88" t="str">
        <f>HYPERLINK("http://abs.twimg.com/images/themes/theme6/bg.gif")</f>
        <v>http://abs.twimg.com/images/themes/theme6/bg.gif</v>
      </c>
      <c r="AW9" s="84" t="b">
        <v>0</v>
      </c>
      <c r="AX9" s="84" t="s">
        <v>338</v>
      </c>
      <c r="AY9" s="88" t="str">
        <f>HYPERLINK("https://twitter.com/jannaq")</f>
        <v>https://twitter.com/jannaq</v>
      </c>
      <c r="AZ9" s="84" t="s">
        <v>65</v>
      </c>
      <c r="BA9" s="84" t="str">
        <f>REPLACE(INDEX(GroupVertices[Group],MATCH(Vertices[[#This Row],[Vertex]],GroupVertices[Vertex],0)),1,1,"")</f>
        <v>1</v>
      </c>
      <c r="BB9" s="2"/>
      <c r="BC9" s="3"/>
      <c r="BD9" s="3"/>
      <c r="BE9" s="3"/>
      <c r="BF9" s="3"/>
    </row>
    <row r="10" spans="1:58" ht="15">
      <c r="A10" s="14" t="s">
        <v>221</v>
      </c>
      <c r="B10" s="15"/>
      <c r="C10" s="15"/>
      <c r="D10" s="94"/>
      <c r="E10" s="80"/>
      <c r="F10" s="115" t="str">
        <f>HYPERLINK("http://pbs.twimg.com/profile_images/785925373/lee_ahead_of_the_curve_normal.png")</f>
        <v>http://pbs.twimg.com/profile_images/785925373/lee_ahead_of_the_curve_normal.png</v>
      </c>
      <c r="G10" s="15"/>
      <c r="H10" s="16" t="s">
        <v>221</v>
      </c>
      <c r="I10" s="68"/>
      <c r="J10" s="68"/>
      <c r="K10" s="117" t="s">
        <v>345</v>
      </c>
      <c r="L10" s="95"/>
      <c r="M10" s="96">
        <v>5423.50390625</v>
      </c>
      <c r="N10" s="96">
        <v>418.5478820800781</v>
      </c>
      <c r="O10" s="78"/>
      <c r="P10" s="97"/>
      <c r="Q10" s="97"/>
      <c r="R10" s="98"/>
      <c r="S10" s="98"/>
      <c r="T10" s="98"/>
      <c r="U10" s="98"/>
      <c r="V10" s="53"/>
      <c r="W10" s="53"/>
      <c r="X10" s="53"/>
      <c r="Y10" s="53"/>
      <c r="Z10" s="52"/>
      <c r="AA10" s="81">
        <v>10</v>
      </c>
      <c r="AB10" s="81"/>
      <c r="AC10" s="99"/>
      <c r="AD10" s="84" t="s">
        <v>292</v>
      </c>
      <c r="AE10" s="93" t="s">
        <v>305</v>
      </c>
      <c r="AF10" s="84">
        <v>1811</v>
      </c>
      <c r="AG10" s="84">
        <v>16948</v>
      </c>
      <c r="AH10" s="84">
        <v>15127</v>
      </c>
      <c r="AI10" s="84">
        <v>3865</v>
      </c>
      <c r="AJ10" s="84"/>
      <c r="AK10" s="84" t="s">
        <v>318</v>
      </c>
      <c r="AL10" s="84" t="s">
        <v>331</v>
      </c>
      <c r="AM10" s="88" t="str">
        <f>HYPERLINK("https://t.co/7nhYTL7C3i")</f>
        <v>https://t.co/7nhYTL7C3i</v>
      </c>
      <c r="AN10" s="84"/>
      <c r="AO10" s="86">
        <v>39695.60766203704</v>
      </c>
      <c r="AP10" s="88" t="str">
        <f>HYPERLINK("https://pbs.twimg.com/profile_banners/16129526/1639491399")</f>
        <v>https://pbs.twimg.com/profile_banners/16129526/1639491399</v>
      </c>
      <c r="AQ10" s="84" t="b">
        <v>1</v>
      </c>
      <c r="AR10" s="84" t="b">
        <v>0</v>
      </c>
      <c r="AS10" s="84" t="b">
        <v>0</v>
      </c>
      <c r="AT10" s="84"/>
      <c r="AU10" s="84">
        <v>1144</v>
      </c>
      <c r="AV10" s="88" t="str">
        <f>HYPERLINK("http://abs.twimg.com/images/themes/theme1/bg.png")</f>
        <v>http://abs.twimg.com/images/themes/theme1/bg.png</v>
      </c>
      <c r="AW10" s="84" t="b">
        <v>1</v>
      </c>
      <c r="AX10" s="84" t="s">
        <v>338</v>
      </c>
      <c r="AY10" s="88" t="str">
        <f>HYPERLINK("https://twitter.com/lrainie")</f>
        <v>https://twitter.com/lrainie</v>
      </c>
      <c r="AZ10" s="84" t="s">
        <v>65</v>
      </c>
      <c r="BA10" s="84" t="str">
        <f>REPLACE(INDEX(GroupVertices[Group],MATCH(Vertices[[#This Row],[Vertex]],GroupVertices[Vertex],0)),1,1,"")</f>
        <v>1</v>
      </c>
      <c r="BB10" s="2"/>
      <c r="BC10" s="3"/>
      <c r="BD10" s="3"/>
      <c r="BE10" s="3"/>
      <c r="BF10" s="3"/>
    </row>
    <row r="11" spans="1:58" ht="15">
      <c r="A11" s="14" t="s">
        <v>222</v>
      </c>
      <c r="B11" s="15"/>
      <c r="C11" s="15"/>
      <c r="D11" s="94"/>
      <c r="E11" s="80"/>
      <c r="F11" s="115" t="str">
        <f>HYPERLINK("http://pbs.twimg.com/profile_images/1482421555850137600/sALCqhpq_normal.jpg")</f>
        <v>http://pbs.twimg.com/profile_images/1482421555850137600/sALCqhpq_normal.jpg</v>
      </c>
      <c r="G11" s="15"/>
      <c r="H11" s="16" t="s">
        <v>222</v>
      </c>
      <c r="I11" s="68"/>
      <c r="J11" s="68"/>
      <c r="K11" s="117" t="s">
        <v>346</v>
      </c>
      <c r="L11" s="95"/>
      <c r="M11" s="96">
        <v>3060.3056640625</v>
      </c>
      <c r="N11" s="96">
        <v>164.4572296142578</v>
      </c>
      <c r="O11" s="78"/>
      <c r="P11" s="97"/>
      <c r="Q11" s="97"/>
      <c r="R11" s="98"/>
      <c r="S11" s="98"/>
      <c r="T11" s="98"/>
      <c r="U11" s="98"/>
      <c r="V11" s="53"/>
      <c r="W11" s="53"/>
      <c r="X11" s="53"/>
      <c r="Y11" s="53"/>
      <c r="Z11" s="52"/>
      <c r="AA11" s="81">
        <v>11</v>
      </c>
      <c r="AB11" s="81"/>
      <c r="AC11" s="99"/>
      <c r="AD11" s="84" t="s">
        <v>293</v>
      </c>
      <c r="AE11" s="93" t="s">
        <v>306</v>
      </c>
      <c r="AF11" s="84">
        <v>793</v>
      </c>
      <c r="AG11" s="84">
        <v>261</v>
      </c>
      <c r="AH11" s="84">
        <v>903</v>
      </c>
      <c r="AI11" s="84">
        <v>3296</v>
      </c>
      <c r="AJ11" s="84"/>
      <c r="AK11" s="84" t="s">
        <v>319</v>
      </c>
      <c r="AL11" s="84" t="s">
        <v>332</v>
      </c>
      <c r="AM11" s="88" t="str">
        <f>HYPERLINK("https://t.co/aAc6ufSaKQ")</f>
        <v>https://t.co/aAc6ufSaKQ</v>
      </c>
      <c r="AN11" s="84"/>
      <c r="AO11" s="86">
        <v>39521.77446759259</v>
      </c>
      <c r="AP11" s="88" t="str">
        <f>HYPERLINK("https://pbs.twimg.com/profile_banners/14148487/1642271817")</f>
        <v>https://pbs.twimg.com/profile_banners/14148487/1642271817</v>
      </c>
      <c r="AQ11" s="84" t="b">
        <v>0</v>
      </c>
      <c r="AR11" s="84" t="b">
        <v>0</v>
      </c>
      <c r="AS11" s="84" t="b">
        <v>0</v>
      </c>
      <c r="AT11" s="84"/>
      <c r="AU11" s="84">
        <v>5</v>
      </c>
      <c r="AV11" s="88" t="str">
        <f>HYPERLINK("http://abs.twimg.com/images/themes/theme5/bg.gif")</f>
        <v>http://abs.twimg.com/images/themes/theme5/bg.gif</v>
      </c>
      <c r="AW11" s="84" t="b">
        <v>0</v>
      </c>
      <c r="AX11" s="84" t="s">
        <v>338</v>
      </c>
      <c r="AY11" s="88" t="str">
        <f>HYPERLINK("https://twitter.com/tobysworks")</f>
        <v>https://twitter.com/tobysworks</v>
      </c>
      <c r="AZ11" s="84" t="s">
        <v>65</v>
      </c>
      <c r="BA11" s="84" t="str">
        <f>REPLACE(INDEX(GroupVertices[Group],MATCH(Vertices[[#This Row],[Vertex]],GroupVertices[Vertex],0)),1,1,"")</f>
        <v>1</v>
      </c>
      <c r="BB11" s="2"/>
      <c r="BC11" s="3"/>
      <c r="BD11" s="3"/>
      <c r="BE11" s="3"/>
      <c r="BF11" s="3"/>
    </row>
    <row r="12" spans="1:58" ht="15">
      <c r="A12" s="14" t="s">
        <v>223</v>
      </c>
      <c r="B12" s="15"/>
      <c r="C12" s="15"/>
      <c r="D12" s="94"/>
      <c r="E12" s="80"/>
      <c r="F12" s="115" t="str">
        <f>HYPERLINK("http://pbs.twimg.com/profile_images/190552093/SSL23511_normal.jpg")</f>
        <v>http://pbs.twimg.com/profile_images/190552093/SSL23511_normal.jpg</v>
      </c>
      <c r="G12" s="15"/>
      <c r="H12" s="16" t="s">
        <v>223</v>
      </c>
      <c r="I12" s="68"/>
      <c r="J12" s="68"/>
      <c r="K12" s="117" t="s">
        <v>347</v>
      </c>
      <c r="L12" s="95"/>
      <c r="M12" s="96">
        <v>7762.8388671875</v>
      </c>
      <c r="N12" s="96">
        <v>5411.28466796875</v>
      </c>
      <c r="O12" s="78"/>
      <c r="P12" s="97"/>
      <c r="Q12" s="97"/>
      <c r="R12" s="98"/>
      <c r="S12" s="98"/>
      <c r="T12" s="98"/>
      <c r="U12" s="98"/>
      <c r="V12" s="53"/>
      <c r="W12" s="53"/>
      <c r="X12" s="53"/>
      <c r="Y12" s="53"/>
      <c r="Z12" s="52"/>
      <c r="AA12" s="81">
        <v>12</v>
      </c>
      <c r="AB12" s="81"/>
      <c r="AC12" s="99"/>
      <c r="AD12" s="84" t="s">
        <v>223</v>
      </c>
      <c r="AE12" s="93" t="s">
        <v>307</v>
      </c>
      <c r="AF12" s="84">
        <v>385</v>
      </c>
      <c r="AG12" s="84">
        <v>512</v>
      </c>
      <c r="AH12" s="84">
        <v>2615</v>
      </c>
      <c r="AI12" s="84">
        <v>267</v>
      </c>
      <c r="AJ12" s="84"/>
      <c r="AK12" s="84" t="s">
        <v>320</v>
      </c>
      <c r="AL12" s="84" t="s">
        <v>333</v>
      </c>
      <c r="AM12" s="88" t="str">
        <f>HYPERLINK("https://t.co/vrNLMiflsQ")</f>
        <v>https://t.co/vrNLMiflsQ</v>
      </c>
      <c r="AN12" s="84"/>
      <c r="AO12" s="86">
        <v>39783.938113425924</v>
      </c>
      <c r="AP12" s="88" t="str">
        <f>HYPERLINK("https://pbs.twimg.com/profile_banners/17791447/1425574689")</f>
        <v>https://pbs.twimg.com/profile_banners/17791447/1425574689</v>
      </c>
      <c r="AQ12" s="84" t="b">
        <v>0</v>
      </c>
      <c r="AR12" s="84" t="b">
        <v>0</v>
      </c>
      <c r="AS12" s="84" t="b">
        <v>0</v>
      </c>
      <c r="AT12" s="84" t="s">
        <v>258</v>
      </c>
      <c r="AU12" s="84">
        <v>25</v>
      </c>
      <c r="AV12" s="88" t="str">
        <f>HYPERLINK("http://abs.twimg.com/images/themes/theme15/bg.png")</f>
        <v>http://abs.twimg.com/images/themes/theme15/bg.png</v>
      </c>
      <c r="AW12" s="84" t="b">
        <v>0</v>
      </c>
      <c r="AX12" s="84" t="s">
        <v>338</v>
      </c>
      <c r="AY12" s="88" t="str">
        <f>HYPERLINK("https://twitter.com/lazygate")</f>
        <v>https://twitter.com/lazygate</v>
      </c>
      <c r="AZ12" s="84" t="s">
        <v>65</v>
      </c>
      <c r="BA12" s="84" t="str">
        <f>REPLACE(INDEX(GroupVertices[Group],MATCH(Vertices[[#This Row],[Vertex]],GroupVertices[Vertex],0)),1,1,"")</f>
        <v>1</v>
      </c>
      <c r="BB12" s="2"/>
      <c r="BC12" s="3"/>
      <c r="BD12" s="3"/>
      <c r="BE12" s="3"/>
      <c r="BF12" s="3"/>
    </row>
    <row r="13" spans="1:58" ht="15">
      <c r="A13" s="14" t="s">
        <v>224</v>
      </c>
      <c r="B13" s="15"/>
      <c r="C13" s="15"/>
      <c r="D13" s="94"/>
      <c r="E13" s="80"/>
      <c r="F13" s="115" t="str">
        <f>HYPERLINK("http://pbs.twimg.com/profile_images/1508882059623911429/xn70brph_normal.jpg")</f>
        <v>http://pbs.twimg.com/profile_images/1508882059623911429/xn70brph_normal.jpg</v>
      </c>
      <c r="G13" s="15"/>
      <c r="H13" s="16" t="s">
        <v>224</v>
      </c>
      <c r="I13" s="68"/>
      <c r="J13" s="68"/>
      <c r="K13" s="117" t="s">
        <v>348</v>
      </c>
      <c r="L13" s="95"/>
      <c r="M13" s="96">
        <v>6846.03857421875</v>
      </c>
      <c r="N13" s="96">
        <v>8242.6025390625</v>
      </c>
      <c r="O13" s="78"/>
      <c r="P13" s="97"/>
      <c r="Q13" s="97"/>
      <c r="R13" s="98"/>
      <c r="S13" s="98"/>
      <c r="T13" s="98"/>
      <c r="U13" s="98"/>
      <c r="V13" s="53"/>
      <c r="W13" s="53"/>
      <c r="X13" s="53"/>
      <c r="Y13" s="53"/>
      <c r="Z13" s="52"/>
      <c r="AA13" s="81">
        <v>13</v>
      </c>
      <c r="AB13" s="81"/>
      <c r="AC13" s="99"/>
      <c r="AD13" s="84" t="s">
        <v>294</v>
      </c>
      <c r="AE13" s="93" t="s">
        <v>308</v>
      </c>
      <c r="AF13" s="84">
        <v>6652</v>
      </c>
      <c r="AG13" s="84">
        <v>21382</v>
      </c>
      <c r="AH13" s="84">
        <v>202072</v>
      </c>
      <c r="AI13" s="84">
        <v>334999</v>
      </c>
      <c r="AJ13" s="84"/>
      <c r="AK13" s="84" t="s">
        <v>321</v>
      </c>
      <c r="AL13" s="84" t="s">
        <v>334</v>
      </c>
      <c r="AM13" s="88" t="str">
        <f>HYPERLINK("https://t.co/prDmfVb69U")</f>
        <v>https://t.co/prDmfVb69U</v>
      </c>
      <c r="AN13" s="84"/>
      <c r="AO13" s="86">
        <v>39517.932962962965</v>
      </c>
      <c r="AP13" s="88" t="str">
        <f>HYPERLINK("https://pbs.twimg.com/profile_banners/14118112/1629739659")</f>
        <v>https://pbs.twimg.com/profile_banners/14118112/1629739659</v>
      </c>
      <c r="AQ13" s="84" t="b">
        <v>0</v>
      </c>
      <c r="AR13" s="84" t="b">
        <v>0</v>
      </c>
      <c r="AS13" s="84" t="b">
        <v>0</v>
      </c>
      <c r="AT13" s="84"/>
      <c r="AU13" s="84">
        <v>276</v>
      </c>
      <c r="AV13" s="88" t="str">
        <f>HYPERLINK("http://abs.twimg.com/images/themes/theme15/bg.png")</f>
        <v>http://abs.twimg.com/images/themes/theme15/bg.png</v>
      </c>
      <c r="AW13" s="84" t="b">
        <v>1</v>
      </c>
      <c r="AX13" s="84" t="s">
        <v>338</v>
      </c>
      <c r="AY13" s="88" t="str">
        <f>HYPERLINK("https://twitter.com/docdre")</f>
        <v>https://twitter.com/docdre</v>
      </c>
      <c r="AZ13" s="84" t="s">
        <v>65</v>
      </c>
      <c r="BA13" s="84" t="str">
        <f>REPLACE(INDEX(GroupVertices[Group],MATCH(Vertices[[#This Row],[Vertex]],GroupVertices[Vertex],0)),1,1,"")</f>
        <v>1</v>
      </c>
      <c r="BB13" s="2"/>
      <c r="BC13" s="3"/>
      <c r="BD13" s="3"/>
      <c r="BE13" s="3"/>
      <c r="BF13" s="3"/>
    </row>
    <row r="14" spans="1:58" ht="15">
      <c r="A14" s="14" t="s">
        <v>225</v>
      </c>
      <c r="B14" s="15"/>
      <c r="C14" s="15"/>
      <c r="D14" s="94"/>
      <c r="E14" s="80"/>
      <c r="F14" s="115" t="str">
        <f>HYPERLINK("http://pbs.twimg.com/profile_images/1591174155873181696/MGaUgv8j_normal.jpg")</f>
        <v>http://pbs.twimg.com/profile_images/1591174155873181696/MGaUgv8j_normal.jpg</v>
      </c>
      <c r="G14" s="15"/>
      <c r="H14" s="16" t="s">
        <v>225</v>
      </c>
      <c r="I14" s="68"/>
      <c r="J14" s="68"/>
      <c r="K14" s="117" t="s">
        <v>349</v>
      </c>
      <c r="L14" s="95"/>
      <c r="M14" s="96">
        <v>1032.6318359375</v>
      </c>
      <c r="N14" s="96">
        <v>1756.3875732421875</v>
      </c>
      <c r="O14" s="78"/>
      <c r="P14" s="97"/>
      <c r="Q14" s="97"/>
      <c r="R14" s="98"/>
      <c r="S14" s="98"/>
      <c r="T14" s="98"/>
      <c r="U14" s="98"/>
      <c r="V14" s="53"/>
      <c r="W14" s="53"/>
      <c r="X14" s="53"/>
      <c r="Y14" s="53"/>
      <c r="Z14" s="52"/>
      <c r="AA14" s="81">
        <v>14</v>
      </c>
      <c r="AB14" s="81"/>
      <c r="AC14" s="99"/>
      <c r="AD14" s="84" t="s">
        <v>295</v>
      </c>
      <c r="AE14" s="93" t="s">
        <v>309</v>
      </c>
      <c r="AF14" s="84">
        <v>156</v>
      </c>
      <c r="AG14" s="84">
        <v>731</v>
      </c>
      <c r="AH14" s="84">
        <v>77</v>
      </c>
      <c r="AI14" s="84">
        <v>15164</v>
      </c>
      <c r="AJ14" s="84"/>
      <c r="AK14" s="84" t="s">
        <v>322</v>
      </c>
      <c r="AL14" s="84" t="s">
        <v>335</v>
      </c>
      <c r="AM14" s="88" t="str">
        <f>HYPERLINK("https://t.co/G7RScoIyLj")</f>
        <v>https://t.co/G7RScoIyLj</v>
      </c>
      <c r="AN14" s="84"/>
      <c r="AO14" s="86">
        <v>42457.58893518519</v>
      </c>
      <c r="AP14" s="88" t="str">
        <f>HYPERLINK("https://pbs.twimg.com/profile_banners/714454007813541888/1644236660")</f>
        <v>https://pbs.twimg.com/profile_banners/714454007813541888/1644236660</v>
      </c>
      <c r="AQ14" s="84" t="b">
        <v>1</v>
      </c>
      <c r="AR14" s="84" t="b">
        <v>0</v>
      </c>
      <c r="AS14" s="84" t="b">
        <v>0</v>
      </c>
      <c r="AT14" s="84"/>
      <c r="AU14" s="84">
        <v>27</v>
      </c>
      <c r="AV14" s="84"/>
      <c r="AW14" s="84" t="b">
        <v>0</v>
      </c>
      <c r="AX14" s="84" t="s">
        <v>338</v>
      </c>
      <c r="AY14" s="88" t="str">
        <f>HYPERLINK("https://twitter.com/louisbrosenberg")</f>
        <v>https://twitter.com/louisbrosenberg</v>
      </c>
      <c r="AZ14" s="84" t="s">
        <v>65</v>
      </c>
      <c r="BA14" s="84" t="str">
        <f>REPLACE(INDEX(GroupVertices[Group],MATCH(Vertices[[#This Row],[Vertex]],GroupVertices[Vertex],0)),1,1,"")</f>
        <v>1</v>
      </c>
      <c r="BB14" s="2"/>
      <c r="BC14" s="3"/>
      <c r="BD14" s="3"/>
      <c r="BE14" s="3"/>
      <c r="BF14" s="3"/>
    </row>
    <row r="15" spans="1:58" ht="15">
      <c r="A15" s="14" t="s">
        <v>226</v>
      </c>
      <c r="B15" s="15"/>
      <c r="C15" s="15"/>
      <c r="D15" s="94"/>
      <c r="E15" s="80"/>
      <c r="F15" s="115" t="str">
        <f>HYPERLINK("http://pbs.twimg.com/profile_images/1585727039256301568/rcCg5TnG_normal.jpg")</f>
        <v>http://pbs.twimg.com/profile_images/1585727039256301568/rcCg5TnG_normal.jpg</v>
      </c>
      <c r="G15" s="15"/>
      <c r="H15" s="16" t="s">
        <v>226</v>
      </c>
      <c r="I15" s="68"/>
      <c r="J15" s="68"/>
      <c r="K15" s="117" t="s">
        <v>350</v>
      </c>
      <c r="L15" s="95"/>
      <c r="M15" s="96">
        <v>2455.221435546875</v>
      </c>
      <c r="N15" s="96">
        <v>9580.5341796875</v>
      </c>
      <c r="O15" s="78"/>
      <c r="P15" s="97"/>
      <c r="Q15" s="97"/>
      <c r="R15" s="98"/>
      <c r="S15" s="98"/>
      <c r="T15" s="98"/>
      <c r="U15" s="98"/>
      <c r="V15" s="53"/>
      <c r="W15" s="53"/>
      <c r="X15" s="53"/>
      <c r="Y15" s="53"/>
      <c r="Z15" s="52"/>
      <c r="AA15" s="81">
        <v>15</v>
      </c>
      <c r="AB15" s="81"/>
      <c r="AC15" s="99"/>
      <c r="AD15" s="84" t="s">
        <v>296</v>
      </c>
      <c r="AE15" s="93" t="s">
        <v>310</v>
      </c>
      <c r="AF15" s="84">
        <v>4064</v>
      </c>
      <c r="AG15" s="84">
        <v>6016</v>
      </c>
      <c r="AH15" s="84">
        <v>7414</v>
      </c>
      <c r="AI15" s="84">
        <v>70813</v>
      </c>
      <c r="AJ15" s="84"/>
      <c r="AK15" s="84" t="s">
        <v>323</v>
      </c>
      <c r="AL15" s="84" t="s">
        <v>336</v>
      </c>
      <c r="AM15" s="88" t="str">
        <f>HYPERLINK("https://t.co/Kh0ZvWc4eS")</f>
        <v>https://t.co/Kh0ZvWc4eS</v>
      </c>
      <c r="AN15" s="84"/>
      <c r="AO15" s="86">
        <v>39928.90658564815</v>
      </c>
      <c r="AP15" s="84"/>
      <c r="AQ15" s="84" t="b">
        <v>0</v>
      </c>
      <c r="AR15" s="84" t="b">
        <v>0</v>
      </c>
      <c r="AS15" s="84" t="b">
        <v>0</v>
      </c>
      <c r="AT15" s="84"/>
      <c r="AU15" s="84">
        <v>161</v>
      </c>
      <c r="AV15" s="88" t="str">
        <f>HYPERLINK("http://abs.twimg.com/images/themes/theme1/bg.png")</f>
        <v>http://abs.twimg.com/images/themes/theme1/bg.png</v>
      </c>
      <c r="AW15" s="84" t="b">
        <v>0</v>
      </c>
      <c r="AX15" s="84" t="s">
        <v>338</v>
      </c>
      <c r="AY15" s="88" t="str">
        <f>HYPERLINK("https://twitter.com/avibarzeev")</f>
        <v>https://twitter.com/avibarzeev</v>
      </c>
      <c r="AZ15" s="84" t="s">
        <v>65</v>
      </c>
      <c r="BA15" s="84" t="str">
        <f>REPLACE(INDEX(GroupVertices[Group],MATCH(Vertices[[#This Row],[Vertex]],GroupVertices[Vertex],0)),1,1,"")</f>
        <v>1</v>
      </c>
      <c r="BB15" s="2"/>
      <c r="BC15" s="3"/>
      <c r="BD15" s="3"/>
      <c r="BE15" s="3"/>
      <c r="BF15" s="3"/>
    </row>
    <row r="16" spans="1:58" ht="15">
      <c r="A16" s="100" t="s">
        <v>227</v>
      </c>
      <c r="B16" s="101"/>
      <c r="C16" s="101"/>
      <c r="D16" s="102"/>
      <c r="E16" s="103"/>
      <c r="F16" s="116" t="str">
        <f>HYPERLINK("http://pbs.twimg.com/profile_images/1939142832/twitter_imagining_internet_logo_normal.jpg")</f>
        <v>http://pbs.twimg.com/profile_images/1939142832/twitter_imagining_internet_logo_normal.jpg</v>
      </c>
      <c r="G16" s="101"/>
      <c r="H16" s="104" t="s">
        <v>227</v>
      </c>
      <c r="I16" s="105"/>
      <c r="J16" s="105"/>
      <c r="K16" s="118" t="s">
        <v>351</v>
      </c>
      <c r="L16" s="106"/>
      <c r="M16" s="107">
        <v>115.86326599121094</v>
      </c>
      <c r="N16" s="107">
        <v>4587.7998046875</v>
      </c>
      <c r="O16" s="108"/>
      <c r="P16" s="109"/>
      <c r="Q16" s="109"/>
      <c r="R16" s="110"/>
      <c r="S16" s="110"/>
      <c r="T16" s="110"/>
      <c r="U16" s="110"/>
      <c r="V16" s="111"/>
      <c r="W16" s="111"/>
      <c r="X16" s="111"/>
      <c r="Y16" s="111"/>
      <c r="Z16" s="112"/>
      <c r="AA16" s="113">
        <v>16</v>
      </c>
      <c r="AB16" s="113"/>
      <c r="AC16" s="114"/>
      <c r="AD16" s="84" t="s">
        <v>297</v>
      </c>
      <c r="AE16" s="93" t="s">
        <v>257</v>
      </c>
      <c r="AF16" s="84">
        <v>537</v>
      </c>
      <c r="AG16" s="84">
        <v>1362</v>
      </c>
      <c r="AH16" s="84">
        <v>3355</v>
      </c>
      <c r="AI16" s="84">
        <v>1080</v>
      </c>
      <c r="AJ16" s="84"/>
      <c r="AK16" s="84" t="s">
        <v>324</v>
      </c>
      <c r="AL16" s="84" t="s">
        <v>337</v>
      </c>
      <c r="AM16" s="88" t="str">
        <f>HYPERLINK("http://t.co/OmPqlARGkX")</f>
        <v>http://t.co/OmPqlARGkX</v>
      </c>
      <c r="AN16" s="84"/>
      <c r="AO16" s="86">
        <v>39930.590775462966</v>
      </c>
      <c r="AP16" s="88" t="str">
        <f>HYPERLINK("https://pbs.twimg.com/profile_banners/35749835/1404424586")</f>
        <v>https://pbs.twimg.com/profile_banners/35749835/1404424586</v>
      </c>
      <c r="AQ16" s="84" t="b">
        <v>1</v>
      </c>
      <c r="AR16" s="84" t="b">
        <v>0</v>
      </c>
      <c r="AS16" s="84" t="b">
        <v>1</v>
      </c>
      <c r="AT16" s="84"/>
      <c r="AU16" s="84">
        <v>108</v>
      </c>
      <c r="AV16" s="88" t="str">
        <f>HYPERLINK("http://abs.twimg.com/images/themes/theme1/bg.png")</f>
        <v>http://abs.twimg.com/images/themes/theme1/bg.png</v>
      </c>
      <c r="AW16" s="84" t="b">
        <v>0</v>
      </c>
      <c r="AX16" s="84" t="s">
        <v>338</v>
      </c>
      <c r="AY16" s="88" t="str">
        <f>HYPERLINK("https://twitter.com/imagineinternet")</f>
        <v>https://twitter.com/imagineinternet</v>
      </c>
      <c r="AZ16" s="84" t="s">
        <v>65</v>
      </c>
      <c r="BA16" s="84" t="str">
        <f>REPLACE(INDEX(GroupVertices[Group],MATCH(Vertices[[#This Row],[Vertex]],GroupVertices[Vertex],0)),1,1,"")</f>
        <v>1</v>
      </c>
      <c r="BB16" s="2"/>
      <c r="BC16" s="3"/>
      <c r="BD16" s="3"/>
      <c r="BE16" s="3"/>
      <c r="BF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401</v>
      </c>
    </row>
    <row r="3" spans="1:25" ht="15">
      <c r="A3" s="83" t="s">
        <v>391</v>
      </c>
      <c r="B3" s="121" t="s">
        <v>394</v>
      </c>
      <c r="C3" s="121" t="s">
        <v>56</v>
      </c>
      <c r="D3" s="119"/>
      <c r="E3" s="15"/>
      <c r="F3" s="16" t="s">
        <v>391</v>
      </c>
      <c r="G3" s="78"/>
      <c r="H3" s="78"/>
      <c r="I3" s="120">
        <v>3</v>
      </c>
      <c r="J3" s="65"/>
      <c r="K3" s="51">
        <v>11</v>
      </c>
      <c r="L3" s="51">
        <v>10</v>
      </c>
      <c r="M3" s="51">
        <v>0</v>
      </c>
      <c r="N3" s="51">
        <v>10</v>
      </c>
      <c r="O3" s="51">
        <v>0</v>
      </c>
      <c r="P3" s="52">
        <v>0</v>
      </c>
      <c r="Q3" s="52">
        <v>0</v>
      </c>
      <c r="R3" s="51">
        <v>1</v>
      </c>
      <c r="S3" s="51">
        <v>0</v>
      </c>
      <c r="T3" s="51">
        <v>11</v>
      </c>
      <c r="U3" s="51">
        <v>10</v>
      </c>
      <c r="V3" s="51">
        <v>2</v>
      </c>
      <c r="W3" s="52">
        <v>1.652893</v>
      </c>
      <c r="X3" s="52">
        <v>0.09090909090909091</v>
      </c>
      <c r="Y3" s="84"/>
    </row>
    <row r="4" spans="1:25" ht="15">
      <c r="A4" s="83" t="s">
        <v>392</v>
      </c>
      <c r="B4" s="121" t="s">
        <v>395</v>
      </c>
      <c r="C4" s="121" t="s">
        <v>56</v>
      </c>
      <c r="D4" s="119"/>
      <c r="E4" s="15"/>
      <c r="F4" s="16" t="s">
        <v>392</v>
      </c>
      <c r="G4" s="78"/>
      <c r="H4" s="78"/>
      <c r="I4" s="120">
        <v>4</v>
      </c>
      <c r="J4" s="81"/>
      <c r="K4" s="51">
        <v>2</v>
      </c>
      <c r="L4" s="51">
        <v>1</v>
      </c>
      <c r="M4" s="51">
        <v>2</v>
      </c>
      <c r="N4" s="51">
        <v>3</v>
      </c>
      <c r="O4" s="51">
        <v>1</v>
      </c>
      <c r="P4" s="52">
        <v>0</v>
      </c>
      <c r="Q4" s="52">
        <v>0</v>
      </c>
      <c r="R4" s="51">
        <v>1</v>
      </c>
      <c r="S4" s="51">
        <v>0</v>
      </c>
      <c r="T4" s="51">
        <v>2</v>
      </c>
      <c r="U4" s="51">
        <v>3</v>
      </c>
      <c r="V4" s="51">
        <v>1</v>
      </c>
      <c r="W4" s="52">
        <v>0.5</v>
      </c>
      <c r="X4" s="52">
        <v>0.5</v>
      </c>
      <c r="Y4" s="84" t="s">
        <v>402</v>
      </c>
    </row>
    <row r="5" spans="1:25" ht="15">
      <c r="A5" s="83" t="s">
        <v>393</v>
      </c>
      <c r="B5" s="121" t="s">
        <v>396</v>
      </c>
      <c r="C5" s="121" t="s">
        <v>56</v>
      </c>
      <c r="D5" s="119"/>
      <c r="E5" s="15"/>
      <c r="F5" s="16" t="s">
        <v>393</v>
      </c>
      <c r="G5" s="78"/>
      <c r="H5" s="78"/>
      <c r="I5" s="120">
        <v>5</v>
      </c>
      <c r="J5" s="81"/>
      <c r="K5" s="51">
        <v>1</v>
      </c>
      <c r="L5" s="51">
        <v>0</v>
      </c>
      <c r="M5" s="51">
        <v>5</v>
      </c>
      <c r="N5" s="51">
        <v>5</v>
      </c>
      <c r="O5" s="51">
        <v>5</v>
      </c>
      <c r="P5" s="52" t="s">
        <v>400</v>
      </c>
      <c r="Q5" s="52" t="s">
        <v>400</v>
      </c>
      <c r="R5" s="51">
        <v>1</v>
      </c>
      <c r="S5" s="51">
        <v>1</v>
      </c>
      <c r="T5" s="51">
        <v>1</v>
      </c>
      <c r="U5" s="51">
        <v>5</v>
      </c>
      <c r="V5" s="51">
        <v>0</v>
      </c>
      <c r="W5" s="52">
        <v>0</v>
      </c>
      <c r="X5" s="52" t="s">
        <v>400</v>
      </c>
      <c r="Y5" s="84" t="s">
        <v>403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391</v>
      </c>
      <c r="B2" s="93" t="s">
        <v>216</v>
      </c>
      <c r="C2" s="84">
        <f>VLOOKUP(GroupVertices[[#This Row],[Vertex]],Vertices[],MATCH("ID",Vertices[[#Headers],[Vertex]:[Vertex Group]],0),FALSE)</f>
        <v>6</v>
      </c>
    </row>
    <row r="3" spans="1:3" ht="15">
      <c r="A3" s="85" t="s">
        <v>391</v>
      </c>
      <c r="B3" s="93" t="s">
        <v>227</v>
      </c>
      <c r="C3" s="84">
        <f>VLOOKUP(GroupVertices[[#This Row],[Vertex]],Vertices[],MATCH("ID",Vertices[[#Headers],[Vertex]:[Vertex Group]],0),FALSE)</f>
        <v>16</v>
      </c>
    </row>
    <row r="4" spans="1:3" ht="15">
      <c r="A4" s="85" t="s">
        <v>391</v>
      </c>
      <c r="B4" s="93" t="s">
        <v>226</v>
      </c>
      <c r="C4" s="84">
        <f>VLOOKUP(GroupVertices[[#This Row],[Vertex]],Vertices[],MATCH("ID",Vertices[[#Headers],[Vertex]:[Vertex Group]],0),FALSE)</f>
        <v>15</v>
      </c>
    </row>
    <row r="5" spans="1:3" ht="15">
      <c r="A5" s="85" t="s">
        <v>391</v>
      </c>
      <c r="B5" s="93" t="s">
        <v>225</v>
      </c>
      <c r="C5" s="84">
        <f>VLOOKUP(GroupVertices[[#This Row],[Vertex]],Vertices[],MATCH("ID",Vertices[[#Headers],[Vertex]:[Vertex Group]],0),FALSE)</f>
        <v>14</v>
      </c>
    </row>
    <row r="6" spans="1:3" ht="15">
      <c r="A6" s="85" t="s">
        <v>391</v>
      </c>
      <c r="B6" s="93" t="s">
        <v>224</v>
      </c>
      <c r="C6" s="84">
        <f>VLOOKUP(GroupVertices[[#This Row],[Vertex]],Vertices[],MATCH("ID",Vertices[[#Headers],[Vertex]:[Vertex Group]],0),FALSE)</f>
        <v>13</v>
      </c>
    </row>
    <row r="7" spans="1:3" ht="15">
      <c r="A7" s="85" t="s">
        <v>391</v>
      </c>
      <c r="B7" s="93" t="s">
        <v>223</v>
      </c>
      <c r="C7" s="84">
        <f>VLOOKUP(GroupVertices[[#This Row],[Vertex]],Vertices[],MATCH("ID",Vertices[[#Headers],[Vertex]:[Vertex Group]],0),FALSE)</f>
        <v>12</v>
      </c>
    </row>
    <row r="8" spans="1:3" ht="15">
      <c r="A8" s="85" t="s">
        <v>391</v>
      </c>
      <c r="B8" s="93" t="s">
        <v>222</v>
      </c>
      <c r="C8" s="84">
        <f>VLOOKUP(GroupVertices[[#This Row],[Vertex]],Vertices[],MATCH("ID",Vertices[[#Headers],[Vertex]:[Vertex Group]],0),FALSE)</f>
        <v>11</v>
      </c>
    </row>
    <row r="9" spans="1:3" ht="15">
      <c r="A9" s="85" t="s">
        <v>391</v>
      </c>
      <c r="B9" s="93" t="s">
        <v>221</v>
      </c>
      <c r="C9" s="84">
        <f>VLOOKUP(GroupVertices[[#This Row],[Vertex]],Vertices[],MATCH("ID",Vertices[[#Headers],[Vertex]:[Vertex Group]],0),FALSE)</f>
        <v>10</v>
      </c>
    </row>
    <row r="10" spans="1:3" ht="15">
      <c r="A10" s="85" t="s">
        <v>391</v>
      </c>
      <c r="B10" s="93" t="s">
        <v>220</v>
      </c>
      <c r="C10" s="84">
        <f>VLOOKUP(GroupVertices[[#This Row],[Vertex]],Vertices[],MATCH("ID",Vertices[[#Headers],[Vertex]:[Vertex Group]],0),FALSE)</f>
        <v>9</v>
      </c>
    </row>
    <row r="11" spans="1:3" ht="15">
      <c r="A11" s="85" t="s">
        <v>391</v>
      </c>
      <c r="B11" s="93" t="s">
        <v>219</v>
      </c>
      <c r="C11" s="84">
        <f>VLOOKUP(GroupVertices[[#This Row],[Vertex]],Vertices[],MATCH("ID",Vertices[[#Headers],[Vertex]:[Vertex Group]],0),FALSE)</f>
        <v>8</v>
      </c>
    </row>
    <row r="12" spans="1:3" ht="15">
      <c r="A12" s="85" t="s">
        <v>391</v>
      </c>
      <c r="B12" s="93" t="s">
        <v>218</v>
      </c>
      <c r="C12" s="84">
        <f>VLOOKUP(GroupVertices[[#This Row],[Vertex]],Vertices[],MATCH("ID",Vertices[[#Headers],[Vertex]:[Vertex Group]],0),FALSE)</f>
        <v>7</v>
      </c>
    </row>
    <row r="13" spans="1:3" ht="15">
      <c r="A13" s="85" t="s">
        <v>392</v>
      </c>
      <c r="B13" s="93" t="s">
        <v>214</v>
      </c>
      <c r="C13" s="84">
        <f>VLOOKUP(GroupVertices[[#This Row],[Vertex]],Vertices[],MATCH("ID",Vertices[[#Headers],[Vertex]:[Vertex Group]],0),FALSE)</f>
        <v>4</v>
      </c>
    </row>
    <row r="14" spans="1:3" ht="15">
      <c r="A14" s="85" t="s">
        <v>392</v>
      </c>
      <c r="B14" s="93" t="s">
        <v>217</v>
      </c>
      <c r="C14" s="84">
        <f>VLOOKUP(GroupVertices[[#This Row],[Vertex]],Vertices[],MATCH("ID",Vertices[[#Headers],[Vertex]:[Vertex Group]],0),FALSE)</f>
        <v>3</v>
      </c>
    </row>
    <row r="15" spans="1:3" ht="15">
      <c r="A15" s="85" t="s">
        <v>393</v>
      </c>
      <c r="B15" s="93" t="s">
        <v>215</v>
      </c>
      <c r="C15" s="84">
        <f>VLOOKUP(GroupVertices[[#This Row],[Vertex]],Vertices[],MATCH("ID",Vertices[[#Headers],[Vertex]:[Vertex Group]],0),FALSE)</f>
        <v>5</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390</v>
      </c>
      <c r="BD2" s="13" t="s">
        <v>398</v>
      </c>
      <c r="BE2" s="13" t="s">
        <v>399</v>
      </c>
    </row>
    <row r="3" spans="1:57" ht="15" customHeight="1">
      <c r="A3" s="83" t="s">
        <v>217</v>
      </c>
      <c r="B3" s="83" t="s">
        <v>217</v>
      </c>
      <c r="C3" s="54"/>
      <c r="D3" s="55"/>
      <c r="E3" s="67"/>
      <c r="F3" s="56"/>
      <c r="G3" s="54"/>
      <c r="H3" s="58"/>
      <c r="I3" s="57"/>
      <c r="J3" s="57"/>
      <c r="K3" s="36" t="s">
        <v>65</v>
      </c>
      <c r="L3" s="63">
        <v>3</v>
      </c>
      <c r="M3" s="63"/>
      <c r="N3" s="64"/>
      <c r="O3" s="84" t="s">
        <v>176</v>
      </c>
      <c r="P3" s="86">
        <v>44881.69225694444</v>
      </c>
      <c r="Q3" s="84" t="s">
        <v>236</v>
      </c>
      <c r="R3" s="88" t="str">
        <f>HYPERLINK("https://twitter.com/lrainie/status/1592914879614423041")</f>
        <v>https://twitter.com/lrainie/status/1592914879614423041</v>
      </c>
      <c r="S3" s="84" t="s">
        <v>237</v>
      </c>
      <c r="T3" s="84"/>
      <c r="U3" s="88" t="str">
        <f>HYPERLINK("https://pbs.twimg.com/media/Fhsv9sJWIAA2cfe.jpg")</f>
        <v>https://pbs.twimg.com/media/Fhsv9sJWIAA2cfe.jpg</v>
      </c>
      <c r="V3" s="88" t="str">
        <f>HYPERLINK("https://pbs.twimg.com/media/Fhsv9sJWIAA2cfe.jpg")</f>
        <v>https://pbs.twimg.com/media/Fhsv9sJWIAA2cfe.jpg</v>
      </c>
      <c r="W3" s="86">
        <v>44881.69225694444</v>
      </c>
      <c r="X3" s="91">
        <v>44881</v>
      </c>
      <c r="Y3" s="93" t="s">
        <v>246</v>
      </c>
      <c r="Z3" s="88" t="str">
        <f>HYPERLINK("https://twitter.com/#!/pessimistsarc/status/1592919637712605186")</f>
        <v>https://twitter.com/#!/pessimistsarc/status/1592919637712605186</v>
      </c>
      <c r="AA3" s="84"/>
      <c r="AB3" s="84"/>
      <c r="AC3" s="93" t="s">
        <v>254</v>
      </c>
      <c r="AD3" s="84"/>
      <c r="AE3" s="84" t="b">
        <v>0</v>
      </c>
      <c r="AF3" s="84">
        <v>114</v>
      </c>
      <c r="AG3" s="93" t="s">
        <v>256</v>
      </c>
      <c r="AH3" s="84" t="b">
        <v>1</v>
      </c>
      <c r="AI3" s="84" t="s">
        <v>258</v>
      </c>
      <c r="AJ3" s="84"/>
      <c r="AK3" s="93" t="s">
        <v>259</v>
      </c>
      <c r="AL3" s="84" t="b">
        <v>0</v>
      </c>
      <c r="AM3" s="84">
        <v>29</v>
      </c>
      <c r="AN3" s="93" t="s">
        <v>256</v>
      </c>
      <c r="AO3" s="93" t="s">
        <v>263</v>
      </c>
      <c r="AP3" s="84" t="b">
        <v>0</v>
      </c>
      <c r="AQ3" s="93" t="s">
        <v>254</v>
      </c>
      <c r="AR3" s="84" t="s">
        <v>229</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217</v>
      </c>
      <c r="C4" s="54"/>
      <c r="D4" s="55"/>
      <c r="E4" s="67"/>
      <c r="F4" s="56"/>
      <c r="G4" s="54"/>
      <c r="H4" s="58"/>
      <c r="I4" s="57"/>
      <c r="J4" s="57"/>
      <c r="K4" s="36" t="s">
        <v>65</v>
      </c>
      <c r="L4" s="82">
        <v>4</v>
      </c>
      <c r="M4" s="82"/>
      <c r="N4" s="64"/>
      <c r="O4" s="85" t="s">
        <v>228</v>
      </c>
      <c r="P4" s="87">
        <v>44891.372407407405</v>
      </c>
      <c r="Q4" s="85" t="s">
        <v>232</v>
      </c>
      <c r="R4" s="85"/>
      <c r="S4" s="85"/>
      <c r="T4" s="85"/>
      <c r="U4" s="85"/>
      <c r="V4" s="89" t="str">
        <f>HYPERLINK("http://pbs.twimg.com/profile_images/1073224988617043968/X6BFcBBq_normal.jpg")</f>
        <v>http://pbs.twimg.com/profile_images/1073224988617043968/X6BFcBBq_normal.jpg</v>
      </c>
      <c r="W4" s="87">
        <v>44891.372407407405</v>
      </c>
      <c r="X4" s="92">
        <v>44891</v>
      </c>
      <c r="Y4" s="90" t="s">
        <v>239</v>
      </c>
      <c r="Z4" s="89" t="str">
        <f>HYPERLINK("https://twitter.com/#!/mdicesi/status/1596427607121465346")</f>
        <v>https://twitter.com/#!/mdicesi/status/1596427607121465346</v>
      </c>
      <c r="AA4" s="85"/>
      <c r="AB4" s="85"/>
      <c r="AC4" s="90" t="s">
        <v>247</v>
      </c>
      <c r="AD4" s="85"/>
      <c r="AE4" s="85" t="b">
        <v>0</v>
      </c>
      <c r="AF4" s="85">
        <v>0</v>
      </c>
      <c r="AG4" s="90" t="s">
        <v>256</v>
      </c>
      <c r="AH4" s="85" t="b">
        <v>1</v>
      </c>
      <c r="AI4" s="85" t="s">
        <v>258</v>
      </c>
      <c r="AJ4" s="85"/>
      <c r="AK4" s="90" t="s">
        <v>259</v>
      </c>
      <c r="AL4" s="85" t="b">
        <v>0</v>
      </c>
      <c r="AM4" s="85">
        <v>29</v>
      </c>
      <c r="AN4" s="90" t="s">
        <v>254</v>
      </c>
      <c r="AO4" s="90" t="s">
        <v>261</v>
      </c>
      <c r="AP4" s="85" t="b">
        <v>0</v>
      </c>
      <c r="AQ4" s="90" t="s">
        <v>254</v>
      </c>
      <c r="AR4" s="85" t="s">
        <v>176</v>
      </c>
      <c r="AS4" s="85">
        <v>0</v>
      </c>
      <c r="AT4" s="85">
        <v>0</v>
      </c>
      <c r="AU4" s="85"/>
      <c r="AV4" s="85"/>
      <c r="AW4" s="85"/>
      <c r="AX4" s="85"/>
      <c r="AY4" s="85"/>
      <c r="AZ4" s="85"/>
      <c r="BA4" s="85"/>
      <c r="BB4" s="85"/>
      <c r="BC4">
        <v>1</v>
      </c>
      <c r="BD4" s="84" t="str">
        <f>REPLACE(INDEX(GroupVertices[Group],MATCH(Edges11[[#This Row],[Vertex 1]],GroupVertices[Vertex],0)),1,1,"")</f>
        <v>2</v>
      </c>
      <c r="BE4" s="84" t="str">
        <f>REPLACE(INDEX(GroupVertices[Group],MATCH(Edges11[[#This Row],[Vertex 2]],GroupVertices[Vertex],0)),1,1,"")</f>
        <v>2</v>
      </c>
    </row>
    <row r="5" spans="1:57" ht="15">
      <c r="A5" s="83" t="s">
        <v>214</v>
      </c>
      <c r="B5" s="83" t="s">
        <v>217</v>
      </c>
      <c r="C5" s="54"/>
      <c r="D5" s="55"/>
      <c r="E5" s="67"/>
      <c r="F5" s="56"/>
      <c r="G5" s="54"/>
      <c r="H5" s="58"/>
      <c r="I5" s="57"/>
      <c r="J5" s="57"/>
      <c r="K5" s="36" t="s">
        <v>65</v>
      </c>
      <c r="L5" s="82">
        <v>5</v>
      </c>
      <c r="M5" s="82"/>
      <c r="N5" s="64"/>
      <c r="O5" s="85" t="s">
        <v>229</v>
      </c>
      <c r="P5" s="87">
        <v>44891.372407407405</v>
      </c>
      <c r="Q5" s="85" t="s">
        <v>232</v>
      </c>
      <c r="R5" s="85"/>
      <c r="S5" s="85"/>
      <c r="T5" s="85"/>
      <c r="U5" s="85"/>
      <c r="V5" s="89" t="str">
        <f>HYPERLINK("http://pbs.twimg.com/profile_images/1073224988617043968/X6BFcBBq_normal.jpg")</f>
        <v>http://pbs.twimg.com/profile_images/1073224988617043968/X6BFcBBq_normal.jpg</v>
      </c>
      <c r="W5" s="87">
        <v>44891.372407407405</v>
      </c>
      <c r="X5" s="92">
        <v>44891</v>
      </c>
      <c r="Y5" s="90" t="s">
        <v>239</v>
      </c>
      <c r="Z5" s="89" t="str">
        <f>HYPERLINK("https://twitter.com/#!/mdicesi/status/1596427607121465346")</f>
        <v>https://twitter.com/#!/mdicesi/status/1596427607121465346</v>
      </c>
      <c r="AA5" s="85"/>
      <c r="AB5" s="85"/>
      <c r="AC5" s="90" t="s">
        <v>247</v>
      </c>
      <c r="AD5" s="85"/>
      <c r="AE5" s="85" t="b">
        <v>0</v>
      </c>
      <c r="AF5" s="85">
        <v>0</v>
      </c>
      <c r="AG5" s="90" t="s">
        <v>256</v>
      </c>
      <c r="AH5" s="85" t="b">
        <v>1</v>
      </c>
      <c r="AI5" s="85" t="s">
        <v>258</v>
      </c>
      <c r="AJ5" s="85"/>
      <c r="AK5" s="90" t="s">
        <v>259</v>
      </c>
      <c r="AL5" s="85" t="b">
        <v>0</v>
      </c>
      <c r="AM5" s="85">
        <v>29</v>
      </c>
      <c r="AN5" s="90" t="s">
        <v>254</v>
      </c>
      <c r="AO5" s="90" t="s">
        <v>261</v>
      </c>
      <c r="AP5" s="85" t="b">
        <v>0</v>
      </c>
      <c r="AQ5" s="90" t="s">
        <v>254</v>
      </c>
      <c r="AR5" s="85" t="s">
        <v>176</v>
      </c>
      <c r="AS5" s="85">
        <v>0</v>
      </c>
      <c r="AT5" s="85">
        <v>0</v>
      </c>
      <c r="AU5" s="85"/>
      <c r="AV5" s="85"/>
      <c r="AW5" s="85"/>
      <c r="AX5" s="85"/>
      <c r="AY5" s="85"/>
      <c r="AZ5" s="85"/>
      <c r="BA5" s="85"/>
      <c r="BB5" s="85"/>
      <c r="BC5">
        <v>1</v>
      </c>
      <c r="BD5" s="84" t="str">
        <f>REPLACE(INDEX(GroupVertices[Group],MATCH(Edges11[[#This Row],[Vertex 1]],GroupVertices[Vertex],0)),1,1,"")</f>
        <v>2</v>
      </c>
      <c r="BE5" s="84" t="str">
        <f>REPLACE(INDEX(GroupVertices[Group],MATCH(Edges11[[#This Row],[Vertex 2]],GroupVertices[Vertex],0)),1,1,"")</f>
        <v>2</v>
      </c>
    </row>
    <row r="6" spans="1:57" ht="15">
      <c r="A6" s="83" t="s">
        <v>215</v>
      </c>
      <c r="B6" s="83" t="s">
        <v>215</v>
      </c>
      <c r="C6" s="54"/>
      <c r="D6" s="55"/>
      <c r="E6" s="67"/>
      <c r="F6" s="56"/>
      <c r="G6" s="54"/>
      <c r="H6" s="58"/>
      <c r="I6" s="57"/>
      <c r="J6" s="57"/>
      <c r="K6" s="36" t="s">
        <v>65</v>
      </c>
      <c r="L6" s="82">
        <v>6</v>
      </c>
      <c r="M6" s="82"/>
      <c r="N6" s="64"/>
      <c r="O6" s="85" t="s">
        <v>176</v>
      </c>
      <c r="P6" s="87">
        <v>44887.860138888886</v>
      </c>
      <c r="Q6" s="85" t="s">
        <v>233</v>
      </c>
      <c r="R6" s="89" t="str">
        <f>HYPERLINK("https://twitter.com/lrainie/status/1594760836089790479")</f>
        <v>https://twitter.com/lrainie/status/1594760836089790479</v>
      </c>
      <c r="S6" s="85" t="s">
        <v>237</v>
      </c>
      <c r="T6" s="90" t="s">
        <v>238</v>
      </c>
      <c r="U6" s="89" t="str">
        <f>HYPERLINK("https://pbs.twimg.com/media/FiMg1foUYAA-b2S.jpg")</f>
        <v>https://pbs.twimg.com/media/FiMg1foUYAA-b2S.jpg</v>
      </c>
      <c r="V6" s="89" t="str">
        <f>HYPERLINK("https://pbs.twimg.com/media/FiMg1foUYAA-b2S.jpg")</f>
        <v>https://pbs.twimg.com/media/FiMg1foUYAA-b2S.jpg</v>
      </c>
      <c r="W6" s="87">
        <v>44887.860138888886</v>
      </c>
      <c r="X6" s="92">
        <v>44887</v>
      </c>
      <c r="Y6" s="90" t="s">
        <v>240</v>
      </c>
      <c r="Z6" s="89" t="str">
        <f>HYPERLINK("https://twitter.com/#!/jerrybuchko/status/1595154805663506432")</f>
        <v>https://twitter.com/#!/jerrybuchko/status/1595154805663506432</v>
      </c>
      <c r="AA6" s="85"/>
      <c r="AB6" s="85"/>
      <c r="AC6" s="90" t="s">
        <v>248</v>
      </c>
      <c r="AD6" s="85"/>
      <c r="AE6" s="85" t="b">
        <v>0</v>
      </c>
      <c r="AF6" s="85">
        <v>1</v>
      </c>
      <c r="AG6" s="90" t="s">
        <v>256</v>
      </c>
      <c r="AH6" s="85" t="b">
        <v>1</v>
      </c>
      <c r="AI6" s="85" t="s">
        <v>258</v>
      </c>
      <c r="AJ6" s="85"/>
      <c r="AK6" s="90" t="s">
        <v>260</v>
      </c>
      <c r="AL6" s="85" t="b">
        <v>0</v>
      </c>
      <c r="AM6" s="85">
        <v>1</v>
      </c>
      <c r="AN6" s="90" t="s">
        <v>256</v>
      </c>
      <c r="AO6" s="90" t="s">
        <v>262</v>
      </c>
      <c r="AP6" s="85" t="b">
        <v>0</v>
      </c>
      <c r="AQ6" s="90" t="s">
        <v>248</v>
      </c>
      <c r="AR6" s="85" t="s">
        <v>229</v>
      </c>
      <c r="AS6" s="85">
        <v>0</v>
      </c>
      <c r="AT6" s="85">
        <v>0</v>
      </c>
      <c r="AU6" s="85"/>
      <c r="AV6" s="85"/>
      <c r="AW6" s="85"/>
      <c r="AX6" s="85"/>
      <c r="AY6" s="85"/>
      <c r="AZ6" s="85"/>
      <c r="BA6" s="85"/>
      <c r="BB6" s="85"/>
      <c r="BC6">
        <v>1</v>
      </c>
      <c r="BD6" s="84" t="str">
        <f>REPLACE(INDEX(GroupVertices[Group],MATCH(Edges11[[#This Row],[Vertex 1]],GroupVertices[Vertex],0)),1,1,"")</f>
        <v>3</v>
      </c>
      <c r="BE6" s="84" t="str">
        <f>REPLACE(INDEX(GroupVertices[Group],MATCH(Edges11[[#This Row],[Vertex 2]],GroupVertices[Vertex],0)),1,1,"")</f>
        <v>3</v>
      </c>
    </row>
    <row r="7" spans="1:57" ht="15">
      <c r="A7" s="83" t="s">
        <v>215</v>
      </c>
      <c r="B7" s="83" t="s">
        <v>215</v>
      </c>
      <c r="C7" s="54"/>
      <c r="D7" s="55"/>
      <c r="E7" s="67"/>
      <c r="F7" s="56"/>
      <c r="G7" s="54"/>
      <c r="H7" s="58"/>
      <c r="I7" s="57"/>
      <c r="J7" s="57"/>
      <c r="K7" s="36" t="s">
        <v>65</v>
      </c>
      <c r="L7" s="82">
        <v>7</v>
      </c>
      <c r="M7" s="82"/>
      <c r="N7" s="64"/>
      <c r="O7" s="85" t="s">
        <v>229</v>
      </c>
      <c r="P7" s="87">
        <v>44889.12449074074</v>
      </c>
      <c r="Q7" s="85" t="s">
        <v>234</v>
      </c>
      <c r="R7" s="85"/>
      <c r="S7" s="85"/>
      <c r="T7" s="85"/>
      <c r="U7" s="85"/>
      <c r="V7" s="89" t="str">
        <f>HYPERLINK("http://pbs.twimg.com/profile_images/1520106437430562816/_5wH6vDw_normal.png")</f>
        <v>http://pbs.twimg.com/profile_images/1520106437430562816/_5wH6vDw_normal.png</v>
      </c>
      <c r="W7" s="87">
        <v>44889.12449074074</v>
      </c>
      <c r="X7" s="92">
        <v>44889</v>
      </c>
      <c r="Y7" s="90" t="s">
        <v>241</v>
      </c>
      <c r="Z7" s="89" t="str">
        <f>HYPERLINK("https://twitter.com/#!/jerrybuchko/status/1595612991722082304")</f>
        <v>https://twitter.com/#!/jerrybuchko/status/1595612991722082304</v>
      </c>
      <c r="AA7" s="85"/>
      <c r="AB7" s="85"/>
      <c r="AC7" s="90" t="s">
        <v>249</v>
      </c>
      <c r="AD7" s="85"/>
      <c r="AE7" s="85" t="b">
        <v>0</v>
      </c>
      <c r="AF7" s="85">
        <v>0</v>
      </c>
      <c r="AG7" s="90" t="s">
        <v>256</v>
      </c>
      <c r="AH7" s="85" t="b">
        <v>1</v>
      </c>
      <c r="AI7" s="85" t="s">
        <v>258</v>
      </c>
      <c r="AJ7" s="85"/>
      <c r="AK7" s="90" t="s">
        <v>260</v>
      </c>
      <c r="AL7" s="85" t="b">
        <v>0</v>
      </c>
      <c r="AM7" s="85">
        <v>1</v>
      </c>
      <c r="AN7" s="90" t="s">
        <v>248</v>
      </c>
      <c r="AO7" s="90" t="s">
        <v>261</v>
      </c>
      <c r="AP7" s="85" t="b">
        <v>0</v>
      </c>
      <c r="AQ7" s="90" t="s">
        <v>248</v>
      </c>
      <c r="AR7" s="85" t="s">
        <v>176</v>
      </c>
      <c r="AS7" s="85">
        <v>0</v>
      </c>
      <c r="AT7" s="85">
        <v>0</v>
      </c>
      <c r="AU7" s="85"/>
      <c r="AV7" s="85"/>
      <c r="AW7" s="85"/>
      <c r="AX7" s="85"/>
      <c r="AY7" s="85"/>
      <c r="AZ7" s="85"/>
      <c r="BA7" s="85"/>
      <c r="BB7" s="85"/>
      <c r="BC7">
        <v>4</v>
      </c>
      <c r="BD7" s="84" t="str">
        <f>REPLACE(INDEX(GroupVertices[Group],MATCH(Edges11[[#This Row],[Vertex 1]],GroupVertices[Vertex],0)),1,1,"")</f>
        <v>3</v>
      </c>
      <c r="BE7" s="84" t="str">
        <f>REPLACE(INDEX(GroupVertices[Group],MATCH(Edges11[[#This Row],[Vertex 2]],GroupVertices[Vertex],0)),1,1,"")</f>
        <v>3</v>
      </c>
    </row>
    <row r="8" spans="1:57" ht="15">
      <c r="A8" s="83" t="s">
        <v>215</v>
      </c>
      <c r="B8" s="83" t="s">
        <v>215</v>
      </c>
      <c r="C8" s="54"/>
      <c r="D8" s="55"/>
      <c r="E8" s="67"/>
      <c r="F8" s="56"/>
      <c r="G8" s="54"/>
      <c r="H8" s="58"/>
      <c r="I8" s="57"/>
      <c r="J8" s="57"/>
      <c r="K8" s="36" t="s">
        <v>65</v>
      </c>
      <c r="L8" s="82">
        <v>8</v>
      </c>
      <c r="M8" s="82"/>
      <c r="N8" s="64"/>
      <c r="O8" s="85" t="s">
        <v>229</v>
      </c>
      <c r="P8" s="87">
        <v>44890.88128472222</v>
      </c>
      <c r="Q8" s="85" t="s">
        <v>234</v>
      </c>
      <c r="R8" s="85"/>
      <c r="S8" s="85"/>
      <c r="T8" s="85"/>
      <c r="U8" s="85"/>
      <c r="V8" s="89" t="str">
        <f>HYPERLINK("http://pbs.twimg.com/profile_images/1520106437430562816/_5wH6vDw_normal.png")</f>
        <v>http://pbs.twimg.com/profile_images/1520106437430562816/_5wH6vDw_normal.png</v>
      </c>
      <c r="W8" s="87">
        <v>44890.88128472222</v>
      </c>
      <c r="X8" s="92">
        <v>44890</v>
      </c>
      <c r="Y8" s="90" t="s">
        <v>242</v>
      </c>
      <c r="Z8" s="89" t="str">
        <f>HYPERLINK("https://twitter.com/#!/jerrybuchko/status/1596249630286544898")</f>
        <v>https://twitter.com/#!/jerrybuchko/status/1596249630286544898</v>
      </c>
      <c r="AA8" s="85"/>
      <c r="AB8" s="85"/>
      <c r="AC8" s="90" t="s">
        <v>250</v>
      </c>
      <c r="AD8" s="85"/>
      <c r="AE8" s="85" t="b">
        <v>0</v>
      </c>
      <c r="AF8" s="85">
        <v>0</v>
      </c>
      <c r="AG8" s="90" t="s">
        <v>256</v>
      </c>
      <c r="AH8" s="85" t="b">
        <v>1</v>
      </c>
      <c r="AI8" s="85" t="s">
        <v>258</v>
      </c>
      <c r="AJ8" s="85"/>
      <c r="AK8" s="90" t="s">
        <v>260</v>
      </c>
      <c r="AL8" s="85" t="b">
        <v>0</v>
      </c>
      <c r="AM8" s="85">
        <v>1</v>
      </c>
      <c r="AN8" s="90" t="s">
        <v>248</v>
      </c>
      <c r="AO8" s="90" t="s">
        <v>262</v>
      </c>
      <c r="AP8" s="85" t="b">
        <v>0</v>
      </c>
      <c r="AQ8" s="90" t="s">
        <v>248</v>
      </c>
      <c r="AR8" s="85" t="s">
        <v>176</v>
      </c>
      <c r="AS8" s="85">
        <v>0</v>
      </c>
      <c r="AT8" s="85">
        <v>0</v>
      </c>
      <c r="AU8" s="85"/>
      <c r="AV8" s="85"/>
      <c r="AW8" s="85"/>
      <c r="AX8" s="85"/>
      <c r="AY8" s="85"/>
      <c r="AZ8" s="85"/>
      <c r="BA8" s="85"/>
      <c r="BB8" s="85"/>
      <c r="BC8">
        <v>4</v>
      </c>
      <c r="BD8" s="84" t="str">
        <f>REPLACE(INDEX(GroupVertices[Group],MATCH(Edges11[[#This Row],[Vertex 1]],GroupVertices[Vertex],0)),1,1,"")</f>
        <v>3</v>
      </c>
      <c r="BE8" s="84" t="str">
        <f>REPLACE(INDEX(GroupVertices[Group],MATCH(Edges11[[#This Row],[Vertex 2]],GroupVertices[Vertex],0)),1,1,"")</f>
        <v>3</v>
      </c>
    </row>
    <row r="9" spans="1:57" ht="15">
      <c r="A9" s="83" t="s">
        <v>215</v>
      </c>
      <c r="B9" s="83" t="s">
        <v>215</v>
      </c>
      <c r="C9" s="54"/>
      <c r="D9" s="55"/>
      <c r="E9" s="67"/>
      <c r="F9" s="56"/>
      <c r="G9" s="54"/>
      <c r="H9" s="58"/>
      <c r="I9" s="57"/>
      <c r="J9" s="57"/>
      <c r="K9" s="36" t="s">
        <v>65</v>
      </c>
      <c r="L9" s="82">
        <v>9</v>
      </c>
      <c r="M9" s="82"/>
      <c r="N9" s="64"/>
      <c r="O9" s="85" t="s">
        <v>229</v>
      </c>
      <c r="P9" s="87">
        <v>44893.74534722222</v>
      </c>
      <c r="Q9" s="85" t="s">
        <v>234</v>
      </c>
      <c r="R9" s="85"/>
      <c r="S9" s="85"/>
      <c r="T9" s="85"/>
      <c r="U9" s="85"/>
      <c r="V9" s="89" t="str">
        <f>HYPERLINK("http://pbs.twimg.com/profile_images/1520106437430562816/_5wH6vDw_normal.png")</f>
        <v>http://pbs.twimg.com/profile_images/1520106437430562816/_5wH6vDw_normal.png</v>
      </c>
      <c r="W9" s="87">
        <v>44893.74534722222</v>
      </c>
      <c r="X9" s="92">
        <v>44893</v>
      </c>
      <c r="Y9" s="90" t="s">
        <v>243</v>
      </c>
      <c r="Z9" s="89" t="str">
        <f>HYPERLINK("https://twitter.com/#!/jerrybuchko/status/1597287530243981312")</f>
        <v>https://twitter.com/#!/jerrybuchko/status/1597287530243981312</v>
      </c>
      <c r="AA9" s="85"/>
      <c r="AB9" s="85"/>
      <c r="AC9" s="90" t="s">
        <v>251</v>
      </c>
      <c r="AD9" s="85"/>
      <c r="AE9" s="85" t="b">
        <v>0</v>
      </c>
      <c r="AF9" s="85">
        <v>0</v>
      </c>
      <c r="AG9" s="90" t="s">
        <v>256</v>
      </c>
      <c r="AH9" s="85" t="b">
        <v>1</v>
      </c>
      <c r="AI9" s="85" t="s">
        <v>258</v>
      </c>
      <c r="AJ9" s="85"/>
      <c r="AK9" s="90" t="s">
        <v>260</v>
      </c>
      <c r="AL9" s="85" t="b">
        <v>0</v>
      </c>
      <c r="AM9" s="85">
        <v>1</v>
      </c>
      <c r="AN9" s="90" t="s">
        <v>248</v>
      </c>
      <c r="AO9" s="90" t="s">
        <v>262</v>
      </c>
      <c r="AP9" s="85" t="b">
        <v>0</v>
      </c>
      <c r="AQ9" s="90" t="s">
        <v>248</v>
      </c>
      <c r="AR9" s="85" t="s">
        <v>176</v>
      </c>
      <c r="AS9" s="85">
        <v>0</v>
      </c>
      <c r="AT9" s="85">
        <v>0</v>
      </c>
      <c r="AU9" s="85"/>
      <c r="AV9" s="85"/>
      <c r="AW9" s="85"/>
      <c r="AX9" s="85"/>
      <c r="AY9" s="85"/>
      <c r="AZ9" s="85"/>
      <c r="BA9" s="85"/>
      <c r="BB9" s="85"/>
      <c r="BC9">
        <v>4</v>
      </c>
      <c r="BD9" s="84" t="str">
        <f>REPLACE(INDEX(GroupVertices[Group],MATCH(Edges11[[#This Row],[Vertex 1]],GroupVertices[Vertex],0)),1,1,"")</f>
        <v>3</v>
      </c>
      <c r="BE9" s="84" t="str">
        <f>REPLACE(INDEX(GroupVertices[Group],MATCH(Edges11[[#This Row],[Vertex 2]],GroupVertices[Vertex],0)),1,1,"")</f>
        <v>3</v>
      </c>
    </row>
    <row r="10" spans="1:57" ht="15">
      <c r="A10" s="83" t="s">
        <v>215</v>
      </c>
      <c r="B10" s="83" t="s">
        <v>215</v>
      </c>
      <c r="C10" s="54"/>
      <c r="D10" s="55"/>
      <c r="E10" s="67"/>
      <c r="F10" s="56"/>
      <c r="G10" s="54"/>
      <c r="H10" s="58"/>
      <c r="I10" s="57"/>
      <c r="J10" s="57"/>
      <c r="K10" s="36" t="s">
        <v>65</v>
      </c>
      <c r="L10" s="82">
        <v>10</v>
      </c>
      <c r="M10" s="82"/>
      <c r="N10" s="64"/>
      <c r="O10" s="85" t="s">
        <v>229</v>
      </c>
      <c r="P10" s="87">
        <v>44894.79189814815</v>
      </c>
      <c r="Q10" s="85" t="s">
        <v>234</v>
      </c>
      <c r="R10" s="85"/>
      <c r="S10" s="85"/>
      <c r="T10" s="85"/>
      <c r="U10" s="85"/>
      <c r="V10" s="89" t="str">
        <f>HYPERLINK("http://pbs.twimg.com/profile_images/1520106437430562816/_5wH6vDw_normal.png")</f>
        <v>http://pbs.twimg.com/profile_images/1520106437430562816/_5wH6vDw_normal.png</v>
      </c>
      <c r="W10" s="87">
        <v>44894.79189814815</v>
      </c>
      <c r="X10" s="92">
        <v>44894</v>
      </c>
      <c r="Y10" s="90" t="s">
        <v>244</v>
      </c>
      <c r="Z10" s="89" t="str">
        <f>HYPERLINK("https://twitter.com/#!/jerrybuchko/status/1597666788632059904")</f>
        <v>https://twitter.com/#!/jerrybuchko/status/1597666788632059904</v>
      </c>
      <c r="AA10" s="85"/>
      <c r="AB10" s="85"/>
      <c r="AC10" s="90" t="s">
        <v>252</v>
      </c>
      <c r="AD10" s="85"/>
      <c r="AE10" s="85" t="b">
        <v>0</v>
      </c>
      <c r="AF10" s="85">
        <v>0</v>
      </c>
      <c r="AG10" s="90" t="s">
        <v>256</v>
      </c>
      <c r="AH10" s="85" t="b">
        <v>1</v>
      </c>
      <c r="AI10" s="85" t="s">
        <v>258</v>
      </c>
      <c r="AJ10" s="85"/>
      <c r="AK10" s="90" t="s">
        <v>260</v>
      </c>
      <c r="AL10" s="85" t="b">
        <v>0</v>
      </c>
      <c r="AM10" s="85">
        <v>1</v>
      </c>
      <c r="AN10" s="90" t="s">
        <v>248</v>
      </c>
      <c r="AO10" s="90" t="s">
        <v>262</v>
      </c>
      <c r="AP10" s="85" t="b">
        <v>0</v>
      </c>
      <c r="AQ10" s="90" t="s">
        <v>248</v>
      </c>
      <c r="AR10" s="85" t="s">
        <v>176</v>
      </c>
      <c r="AS10" s="85">
        <v>0</v>
      </c>
      <c r="AT10" s="85">
        <v>0</v>
      </c>
      <c r="AU10" s="85"/>
      <c r="AV10" s="85"/>
      <c r="AW10" s="85"/>
      <c r="AX10" s="85"/>
      <c r="AY10" s="85"/>
      <c r="AZ10" s="85"/>
      <c r="BA10" s="85"/>
      <c r="BB10" s="85"/>
      <c r="BC10">
        <v>4</v>
      </c>
      <c r="BD10" s="84" t="str">
        <f>REPLACE(INDEX(GroupVertices[Group],MATCH(Edges11[[#This Row],[Vertex 1]],GroupVertices[Vertex],0)),1,1,"")</f>
        <v>3</v>
      </c>
      <c r="BE10" s="84" t="str">
        <f>REPLACE(INDEX(GroupVertices[Group],MATCH(Edges11[[#This Row],[Vertex 2]],GroupVertices[Vertex],0)),1,1,"")</f>
        <v>3</v>
      </c>
    </row>
    <row r="11" spans="1:57" ht="15">
      <c r="A11" s="83" t="s">
        <v>216</v>
      </c>
      <c r="B11" s="83" t="s">
        <v>218</v>
      </c>
      <c r="C11" s="54"/>
      <c r="D11" s="55"/>
      <c r="E11" s="67"/>
      <c r="F11" s="56"/>
      <c r="G11" s="54"/>
      <c r="H11" s="58"/>
      <c r="I11" s="57"/>
      <c r="J11" s="57"/>
      <c r="K11" s="36" t="s">
        <v>65</v>
      </c>
      <c r="L11" s="82">
        <v>11</v>
      </c>
      <c r="M11" s="82"/>
      <c r="N11" s="64"/>
      <c r="O11" s="85" t="s">
        <v>230</v>
      </c>
      <c r="P11" s="87">
        <v>44894.7959375</v>
      </c>
      <c r="Q11" s="85" t="s">
        <v>235</v>
      </c>
      <c r="R11" s="85"/>
      <c r="S11" s="85"/>
      <c r="T11" s="85"/>
      <c r="U11" s="85"/>
      <c r="V11" s="89" t="str">
        <f aca="true" t="shared" si="0" ref="V11:V20">HYPERLINK("http://pbs.twimg.com/profile_images/1551909067568087040/hE019265_normal.jpg")</f>
        <v>http://pbs.twimg.com/profile_images/1551909067568087040/hE019265_normal.jpg</v>
      </c>
      <c r="W11" s="87">
        <v>44894.7959375</v>
      </c>
      <c r="X11" s="92">
        <v>44894</v>
      </c>
      <c r="Y11" s="90" t="s">
        <v>245</v>
      </c>
      <c r="Z11" s="89" t="str">
        <f aca="true" t="shared" si="1" ref="Z11:Z20">HYPERLINK("https://twitter.com/#!/ema_dm06/status/1597668251286183936")</f>
        <v>https://twitter.com/#!/ema_dm06/status/1597668251286183936</v>
      </c>
      <c r="AA11" s="85"/>
      <c r="AB11" s="85"/>
      <c r="AC11" s="90" t="s">
        <v>253</v>
      </c>
      <c r="AD11" s="90" t="s">
        <v>255</v>
      </c>
      <c r="AE11" s="85" t="b">
        <v>0</v>
      </c>
      <c r="AF11" s="85">
        <v>0</v>
      </c>
      <c r="AG11" s="90" t="s">
        <v>257</v>
      </c>
      <c r="AH11" s="85" t="b">
        <v>0</v>
      </c>
      <c r="AI11" s="85" t="s">
        <v>258</v>
      </c>
      <c r="AJ11" s="85"/>
      <c r="AK11" s="90" t="s">
        <v>256</v>
      </c>
      <c r="AL11" s="85" t="b">
        <v>0</v>
      </c>
      <c r="AM11" s="85">
        <v>0</v>
      </c>
      <c r="AN11" s="90" t="s">
        <v>256</v>
      </c>
      <c r="AO11" s="90" t="s">
        <v>261</v>
      </c>
      <c r="AP11" s="85" t="b">
        <v>0</v>
      </c>
      <c r="AQ11" s="90" t="s">
        <v>255</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12" spans="1:57" ht="15">
      <c r="A12" s="83" t="s">
        <v>216</v>
      </c>
      <c r="B12" s="83" t="s">
        <v>219</v>
      </c>
      <c r="C12" s="54"/>
      <c r="D12" s="55"/>
      <c r="E12" s="67"/>
      <c r="F12" s="56"/>
      <c r="G12" s="54"/>
      <c r="H12" s="58"/>
      <c r="I12" s="57"/>
      <c r="J12" s="57"/>
      <c r="K12" s="36" t="s">
        <v>65</v>
      </c>
      <c r="L12" s="82">
        <v>12</v>
      </c>
      <c r="M12" s="82"/>
      <c r="N12" s="64"/>
      <c r="O12" s="85" t="s">
        <v>230</v>
      </c>
      <c r="P12" s="87">
        <v>44894.7959375</v>
      </c>
      <c r="Q12" s="85" t="s">
        <v>235</v>
      </c>
      <c r="R12" s="85"/>
      <c r="S12" s="85"/>
      <c r="T12" s="85"/>
      <c r="U12" s="85"/>
      <c r="V12" s="89" t="str">
        <f t="shared" si="0"/>
        <v>http://pbs.twimg.com/profile_images/1551909067568087040/hE019265_normal.jpg</v>
      </c>
      <c r="W12" s="87">
        <v>44894.7959375</v>
      </c>
      <c r="X12" s="92">
        <v>44894</v>
      </c>
      <c r="Y12" s="90" t="s">
        <v>245</v>
      </c>
      <c r="Z12" s="89" t="str">
        <f t="shared" si="1"/>
        <v>https://twitter.com/#!/ema_dm06/status/1597668251286183936</v>
      </c>
      <c r="AA12" s="85"/>
      <c r="AB12" s="85"/>
      <c r="AC12" s="90" t="s">
        <v>253</v>
      </c>
      <c r="AD12" s="90" t="s">
        <v>255</v>
      </c>
      <c r="AE12" s="85" t="b">
        <v>0</v>
      </c>
      <c r="AF12" s="85">
        <v>0</v>
      </c>
      <c r="AG12" s="90" t="s">
        <v>257</v>
      </c>
      <c r="AH12" s="85" t="b">
        <v>0</v>
      </c>
      <c r="AI12" s="85" t="s">
        <v>258</v>
      </c>
      <c r="AJ12" s="85"/>
      <c r="AK12" s="90" t="s">
        <v>256</v>
      </c>
      <c r="AL12" s="85" t="b">
        <v>0</v>
      </c>
      <c r="AM12" s="85">
        <v>0</v>
      </c>
      <c r="AN12" s="90" t="s">
        <v>256</v>
      </c>
      <c r="AO12" s="90" t="s">
        <v>261</v>
      </c>
      <c r="AP12" s="85" t="b">
        <v>0</v>
      </c>
      <c r="AQ12" s="90" t="s">
        <v>255</v>
      </c>
      <c r="AR12" s="85" t="s">
        <v>176</v>
      </c>
      <c r="AS12" s="85">
        <v>0</v>
      </c>
      <c r="AT12" s="85">
        <v>0</v>
      </c>
      <c r="AU12" s="85"/>
      <c r="AV12" s="85"/>
      <c r="AW12" s="85"/>
      <c r="AX12" s="85"/>
      <c r="AY12" s="85"/>
      <c r="AZ12" s="85"/>
      <c r="BA12" s="85"/>
      <c r="BB12" s="85"/>
      <c r="BC12">
        <v>1</v>
      </c>
      <c r="BD12" s="84" t="str">
        <f>REPLACE(INDEX(GroupVertices[Group],MATCH(Edges11[[#This Row],[Vertex 1]],GroupVertices[Vertex],0)),1,1,"")</f>
        <v>1</v>
      </c>
      <c r="BE12" s="84" t="str">
        <f>REPLACE(INDEX(GroupVertices[Group],MATCH(Edges11[[#This Row],[Vertex 2]],GroupVertices[Vertex],0)),1,1,"")</f>
        <v>1</v>
      </c>
    </row>
    <row r="13" spans="1:57" ht="15">
      <c r="A13" s="83" t="s">
        <v>216</v>
      </c>
      <c r="B13" s="83" t="s">
        <v>220</v>
      </c>
      <c r="C13" s="54"/>
      <c r="D13" s="55"/>
      <c r="E13" s="67"/>
      <c r="F13" s="56"/>
      <c r="G13" s="54"/>
      <c r="H13" s="58"/>
      <c r="I13" s="57"/>
      <c r="J13" s="57"/>
      <c r="K13" s="36" t="s">
        <v>65</v>
      </c>
      <c r="L13" s="82">
        <v>13</v>
      </c>
      <c r="M13" s="82"/>
      <c r="N13" s="64"/>
      <c r="O13" s="85" t="s">
        <v>230</v>
      </c>
      <c r="P13" s="87">
        <v>44894.7959375</v>
      </c>
      <c r="Q13" s="85" t="s">
        <v>235</v>
      </c>
      <c r="R13" s="85"/>
      <c r="S13" s="85"/>
      <c r="T13" s="85"/>
      <c r="U13" s="85"/>
      <c r="V13" s="89" t="str">
        <f t="shared" si="0"/>
        <v>http://pbs.twimg.com/profile_images/1551909067568087040/hE019265_normal.jpg</v>
      </c>
      <c r="W13" s="87">
        <v>44894.7959375</v>
      </c>
      <c r="X13" s="92">
        <v>44894</v>
      </c>
      <c r="Y13" s="90" t="s">
        <v>245</v>
      </c>
      <c r="Z13" s="89" t="str">
        <f t="shared" si="1"/>
        <v>https://twitter.com/#!/ema_dm06/status/1597668251286183936</v>
      </c>
      <c r="AA13" s="85"/>
      <c r="AB13" s="85"/>
      <c r="AC13" s="90" t="s">
        <v>253</v>
      </c>
      <c r="AD13" s="90" t="s">
        <v>255</v>
      </c>
      <c r="AE13" s="85" t="b">
        <v>0</v>
      </c>
      <c r="AF13" s="85">
        <v>0</v>
      </c>
      <c r="AG13" s="90" t="s">
        <v>257</v>
      </c>
      <c r="AH13" s="85" t="b">
        <v>0</v>
      </c>
      <c r="AI13" s="85" t="s">
        <v>258</v>
      </c>
      <c r="AJ13" s="85"/>
      <c r="AK13" s="90" t="s">
        <v>256</v>
      </c>
      <c r="AL13" s="85" t="b">
        <v>0</v>
      </c>
      <c r="AM13" s="85">
        <v>0</v>
      </c>
      <c r="AN13" s="90" t="s">
        <v>256</v>
      </c>
      <c r="AO13" s="90" t="s">
        <v>261</v>
      </c>
      <c r="AP13" s="85" t="b">
        <v>0</v>
      </c>
      <c r="AQ13" s="90" t="s">
        <v>255</v>
      </c>
      <c r="AR13" s="85" t="s">
        <v>176</v>
      </c>
      <c r="AS13" s="85">
        <v>0</v>
      </c>
      <c r="AT13" s="85">
        <v>0</v>
      </c>
      <c r="AU13" s="85"/>
      <c r="AV13" s="85"/>
      <c r="AW13" s="85"/>
      <c r="AX13" s="85"/>
      <c r="AY13" s="85"/>
      <c r="AZ13" s="85"/>
      <c r="BA13" s="85"/>
      <c r="BB13" s="85"/>
      <c r="BC13">
        <v>1</v>
      </c>
      <c r="BD13" s="84" t="str">
        <f>REPLACE(INDEX(GroupVertices[Group],MATCH(Edges11[[#This Row],[Vertex 1]],GroupVertices[Vertex],0)),1,1,"")</f>
        <v>1</v>
      </c>
      <c r="BE13" s="84" t="str">
        <f>REPLACE(INDEX(GroupVertices[Group],MATCH(Edges11[[#This Row],[Vertex 2]],GroupVertices[Vertex],0)),1,1,"")</f>
        <v>1</v>
      </c>
    </row>
    <row r="14" spans="1:57" ht="15">
      <c r="A14" s="83" t="s">
        <v>216</v>
      </c>
      <c r="B14" s="83" t="s">
        <v>221</v>
      </c>
      <c r="C14" s="54"/>
      <c r="D14" s="55"/>
      <c r="E14" s="67"/>
      <c r="F14" s="56"/>
      <c r="G14" s="54"/>
      <c r="H14" s="58"/>
      <c r="I14" s="57"/>
      <c r="J14" s="57"/>
      <c r="K14" s="36" t="s">
        <v>65</v>
      </c>
      <c r="L14" s="82">
        <v>14</v>
      </c>
      <c r="M14" s="82"/>
      <c r="N14" s="64"/>
      <c r="O14" s="85" t="s">
        <v>230</v>
      </c>
      <c r="P14" s="87">
        <v>44894.7959375</v>
      </c>
      <c r="Q14" s="85" t="s">
        <v>235</v>
      </c>
      <c r="R14" s="85"/>
      <c r="S14" s="85"/>
      <c r="T14" s="85"/>
      <c r="U14" s="85"/>
      <c r="V14" s="89" t="str">
        <f t="shared" si="0"/>
        <v>http://pbs.twimg.com/profile_images/1551909067568087040/hE019265_normal.jpg</v>
      </c>
      <c r="W14" s="87">
        <v>44894.7959375</v>
      </c>
      <c r="X14" s="92">
        <v>44894</v>
      </c>
      <c r="Y14" s="90" t="s">
        <v>245</v>
      </c>
      <c r="Z14" s="89" t="str">
        <f t="shared" si="1"/>
        <v>https://twitter.com/#!/ema_dm06/status/1597668251286183936</v>
      </c>
      <c r="AA14" s="85"/>
      <c r="AB14" s="85"/>
      <c r="AC14" s="90" t="s">
        <v>253</v>
      </c>
      <c r="AD14" s="90" t="s">
        <v>255</v>
      </c>
      <c r="AE14" s="85" t="b">
        <v>0</v>
      </c>
      <c r="AF14" s="85">
        <v>0</v>
      </c>
      <c r="AG14" s="90" t="s">
        <v>257</v>
      </c>
      <c r="AH14" s="85" t="b">
        <v>0</v>
      </c>
      <c r="AI14" s="85" t="s">
        <v>258</v>
      </c>
      <c r="AJ14" s="85"/>
      <c r="AK14" s="90" t="s">
        <v>256</v>
      </c>
      <c r="AL14" s="85" t="b">
        <v>0</v>
      </c>
      <c r="AM14" s="85">
        <v>0</v>
      </c>
      <c r="AN14" s="90" t="s">
        <v>256</v>
      </c>
      <c r="AO14" s="90" t="s">
        <v>261</v>
      </c>
      <c r="AP14" s="85" t="b">
        <v>0</v>
      </c>
      <c r="AQ14" s="90" t="s">
        <v>255</v>
      </c>
      <c r="AR14" s="85" t="s">
        <v>176</v>
      </c>
      <c r="AS14" s="85">
        <v>0</v>
      </c>
      <c r="AT14" s="85">
        <v>0</v>
      </c>
      <c r="AU14" s="85"/>
      <c r="AV14" s="85"/>
      <c r="AW14" s="85"/>
      <c r="AX14" s="85"/>
      <c r="AY14" s="85"/>
      <c r="AZ14" s="85"/>
      <c r="BA14" s="85"/>
      <c r="BB14" s="85"/>
      <c r="BC14">
        <v>1</v>
      </c>
      <c r="BD14" s="84" t="str">
        <f>REPLACE(INDEX(GroupVertices[Group],MATCH(Edges11[[#This Row],[Vertex 1]],GroupVertices[Vertex],0)),1,1,"")</f>
        <v>1</v>
      </c>
      <c r="BE14" s="84" t="str">
        <f>REPLACE(INDEX(GroupVertices[Group],MATCH(Edges11[[#This Row],[Vertex 2]],GroupVertices[Vertex],0)),1,1,"")</f>
        <v>1</v>
      </c>
    </row>
    <row r="15" spans="1:57" ht="15">
      <c r="A15" s="83" t="s">
        <v>216</v>
      </c>
      <c r="B15" s="83" t="s">
        <v>222</v>
      </c>
      <c r="C15" s="54"/>
      <c r="D15" s="55"/>
      <c r="E15" s="67"/>
      <c r="F15" s="56"/>
      <c r="G15" s="54"/>
      <c r="H15" s="58"/>
      <c r="I15" s="57"/>
      <c r="J15" s="57"/>
      <c r="K15" s="36" t="s">
        <v>65</v>
      </c>
      <c r="L15" s="82">
        <v>15</v>
      </c>
      <c r="M15" s="82"/>
      <c r="N15" s="64"/>
      <c r="O15" s="85" t="s">
        <v>230</v>
      </c>
      <c r="P15" s="87">
        <v>44894.7959375</v>
      </c>
      <c r="Q15" s="85" t="s">
        <v>235</v>
      </c>
      <c r="R15" s="85"/>
      <c r="S15" s="85"/>
      <c r="T15" s="85"/>
      <c r="U15" s="85"/>
      <c r="V15" s="89" t="str">
        <f t="shared" si="0"/>
        <v>http://pbs.twimg.com/profile_images/1551909067568087040/hE019265_normal.jpg</v>
      </c>
      <c r="W15" s="87">
        <v>44894.7959375</v>
      </c>
      <c r="X15" s="92">
        <v>44894</v>
      </c>
      <c r="Y15" s="90" t="s">
        <v>245</v>
      </c>
      <c r="Z15" s="89" t="str">
        <f t="shared" si="1"/>
        <v>https://twitter.com/#!/ema_dm06/status/1597668251286183936</v>
      </c>
      <c r="AA15" s="85"/>
      <c r="AB15" s="85"/>
      <c r="AC15" s="90" t="s">
        <v>253</v>
      </c>
      <c r="AD15" s="90" t="s">
        <v>255</v>
      </c>
      <c r="AE15" s="85" t="b">
        <v>0</v>
      </c>
      <c r="AF15" s="85">
        <v>0</v>
      </c>
      <c r="AG15" s="90" t="s">
        <v>257</v>
      </c>
      <c r="AH15" s="85" t="b">
        <v>0</v>
      </c>
      <c r="AI15" s="85" t="s">
        <v>258</v>
      </c>
      <c r="AJ15" s="85"/>
      <c r="AK15" s="90" t="s">
        <v>256</v>
      </c>
      <c r="AL15" s="85" t="b">
        <v>0</v>
      </c>
      <c r="AM15" s="85">
        <v>0</v>
      </c>
      <c r="AN15" s="90" t="s">
        <v>256</v>
      </c>
      <c r="AO15" s="90" t="s">
        <v>261</v>
      </c>
      <c r="AP15" s="85" t="b">
        <v>0</v>
      </c>
      <c r="AQ15" s="90" t="s">
        <v>255</v>
      </c>
      <c r="AR15" s="85" t="s">
        <v>176</v>
      </c>
      <c r="AS15" s="85">
        <v>0</v>
      </c>
      <c r="AT15" s="85">
        <v>0</v>
      </c>
      <c r="AU15" s="85"/>
      <c r="AV15" s="85"/>
      <c r="AW15" s="85"/>
      <c r="AX15" s="85"/>
      <c r="AY15" s="85"/>
      <c r="AZ15" s="85"/>
      <c r="BA15" s="85"/>
      <c r="BB15" s="85"/>
      <c r="BC15">
        <v>1</v>
      </c>
      <c r="BD15" s="84" t="str">
        <f>REPLACE(INDEX(GroupVertices[Group],MATCH(Edges11[[#This Row],[Vertex 1]],GroupVertices[Vertex],0)),1,1,"")</f>
        <v>1</v>
      </c>
      <c r="BE15" s="84" t="str">
        <f>REPLACE(INDEX(GroupVertices[Group],MATCH(Edges11[[#This Row],[Vertex 2]],GroupVertices[Vertex],0)),1,1,"")</f>
        <v>1</v>
      </c>
    </row>
    <row r="16" spans="1:57" ht="15">
      <c r="A16" s="83" t="s">
        <v>216</v>
      </c>
      <c r="B16" s="83" t="s">
        <v>223</v>
      </c>
      <c r="C16" s="54"/>
      <c r="D16" s="55"/>
      <c r="E16" s="67"/>
      <c r="F16" s="56"/>
      <c r="G16" s="54"/>
      <c r="H16" s="58"/>
      <c r="I16" s="57"/>
      <c r="J16" s="57"/>
      <c r="K16" s="36" t="s">
        <v>65</v>
      </c>
      <c r="L16" s="82">
        <v>16</v>
      </c>
      <c r="M16" s="82"/>
      <c r="N16" s="64"/>
      <c r="O16" s="85" t="s">
        <v>230</v>
      </c>
      <c r="P16" s="87">
        <v>44894.7959375</v>
      </c>
      <c r="Q16" s="85" t="s">
        <v>235</v>
      </c>
      <c r="R16" s="85"/>
      <c r="S16" s="85"/>
      <c r="T16" s="85"/>
      <c r="U16" s="85"/>
      <c r="V16" s="89" t="str">
        <f t="shared" si="0"/>
        <v>http://pbs.twimg.com/profile_images/1551909067568087040/hE019265_normal.jpg</v>
      </c>
      <c r="W16" s="87">
        <v>44894.7959375</v>
      </c>
      <c r="X16" s="92">
        <v>44894</v>
      </c>
      <c r="Y16" s="90" t="s">
        <v>245</v>
      </c>
      <c r="Z16" s="89" t="str">
        <f t="shared" si="1"/>
        <v>https://twitter.com/#!/ema_dm06/status/1597668251286183936</v>
      </c>
      <c r="AA16" s="85"/>
      <c r="AB16" s="85"/>
      <c r="AC16" s="90" t="s">
        <v>253</v>
      </c>
      <c r="AD16" s="90" t="s">
        <v>255</v>
      </c>
      <c r="AE16" s="85" t="b">
        <v>0</v>
      </c>
      <c r="AF16" s="85">
        <v>0</v>
      </c>
      <c r="AG16" s="90" t="s">
        <v>257</v>
      </c>
      <c r="AH16" s="85" t="b">
        <v>0</v>
      </c>
      <c r="AI16" s="85" t="s">
        <v>258</v>
      </c>
      <c r="AJ16" s="85"/>
      <c r="AK16" s="90" t="s">
        <v>256</v>
      </c>
      <c r="AL16" s="85" t="b">
        <v>0</v>
      </c>
      <c r="AM16" s="85">
        <v>0</v>
      </c>
      <c r="AN16" s="90" t="s">
        <v>256</v>
      </c>
      <c r="AO16" s="90" t="s">
        <v>261</v>
      </c>
      <c r="AP16" s="85" t="b">
        <v>0</v>
      </c>
      <c r="AQ16" s="90" t="s">
        <v>255</v>
      </c>
      <c r="AR16" s="85" t="s">
        <v>176</v>
      </c>
      <c r="AS16" s="85">
        <v>0</v>
      </c>
      <c r="AT16" s="85">
        <v>0</v>
      </c>
      <c r="AU16" s="85"/>
      <c r="AV16" s="85"/>
      <c r="AW16" s="85"/>
      <c r="AX16" s="85"/>
      <c r="AY16" s="85"/>
      <c r="AZ16" s="85"/>
      <c r="BA16" s="85"/>
      <c r="BB16" s="85"/>
      <c r="BC16">
        <v>1</v>
      </c>
      <c r="BD16" s="84" t="str">
        <f>REPLACE(INDEX(GroupVertices[Group],MATCH(Edges11[[#This Row],[Vertex 1]],GroupVertices[Vertex],0)),1,1,"")</f>
        <v>1</v>
      </c>
      <c r="BE16" s="84" t="str">
        <f>REPLACE(INDEX(GroupVertices[Group],MATCH(Edges11[[#This Row],[Vertex 2]],GroupVertices[Vertex],0)),1,1,"")</f>
        <v>1</v>
      </c>
    </row>
    <row r="17" spans="1:57" ht="15">
      <c r="A17" s="83" t="s">
        <v>216</v>
      </c>
      <c r="B17" s="83" t="s">
        <v>224</v>
      </c>
      <c r="C17" s="54"/>
      <c r="D17" s="55"/>
      <c r="E17" s="67"/>
      <c r="F17" s="56"/>
      <c r="G17" s="54"/>
      <c r="H17" s="58"/>
      <c r="I17" s="57"/>
      <c r="J17" s="57"/>
      <c r="K17" s="36" t="s">
        <v>65</v>
      </c>
      <c r="L17" s="82">
        <v>17</v>
      </c>
      <c r="M17" s="82"/>
      <c r="N17" s="64"/>
      <c r="O17" s="85" t="s">
        <v>230</v>
      </c>
      <c r="P17" s="87">
        <v>44894.7959375</v>
      </c>
      <c r="Q17" s="85" t="s">
        <v>235</v>
      </c>
      <c r="R17" s="85"/>
      <c r="S17" s="85"/>
      <c r="T17" s="85"/>
      <c r="U17" s="85"/>
      <c r="V17" s="89" t="str">
        <f t="shared" si="0"/>
        <v>http://pbs.twimg.com/profile_images/1551909067568087040/hE019265_normal.jpg</v>
      </c>
      <c r="W17" s="87">
        <v>44894.7959375</v>
      </c>
      <c r="X17" s="92">
        <v>44894</v>
      </c>
      <c r="Y17" s="90" t="s">
        <v>245</v>
      </c>
      <c r="Z17" s="89" t="str">
        <f t="shared" si="1"/>
        <v>https://twitter.com/#!/ema_dm06/status/1597668251286183936</v>
      </c>
      <c r="AA17" s="85"/>
      <c r="AB17" s="85"/>
      <c r="AC17" s="90" t="s">
        <v>253</v>
      </c>
      <c r="AD17" s="90" t="s">
        <v>255</v>
      </c>
      <c r="AE17" s="85" t="b">
        <v>0</v>
      </c>
      <c r="AF17" s="85">
        <v>0</v>
      </c>
      <c r="AG17" s="90" t="s">
        <v>257</v>
      </c>
      <c r="AH17" s="85" t="b">
        <v>0</v>
      </c>
      <c r="AI17" s="85" t="s">
        <v>258</v>
      </c>
      <c r="AJ17" s="85"/>
      <c r="AK17" s="90" t="s">
        <v>256</v>
      </c>
      <c r="AL17" s="85" t="b">
        <v>0</v>
      </c>
      <c r="AM17" s="85">
        <v>0</v>
      </c>
      <c r="AN17" s="90" t="s">
        <v>256</v>
      </c>
      <c r="AO17" s="90" t="s">
        <v>261</v>
      </c>
      <c r="AP17" s="85" t="b">
        <v>0</v>
      </c>
      <c r="AQ17" s="90" t="s">
        <v>255</v>
      </c>
      <c r="AR17" s="85" t="s">
        <v>176</v>
      </c>
      <c r="AS17" s="85">
        <v>0</v>
      </c>
      <c r="AT17" s="85">
        <v>0</v>
      </c>
      <c r="AU17" s="85"/>
      <c r="AV17" s="85"/>
      <c r="AW17" s="85"/>
      <c r="AX17" s="85"/>
      <c r="AY17" s="85"/>
      <c r="AZ17" s="85"/>
      <c r="BA17" s="85"/>
      <c r="BB17" s="85"/>
      <c r="BC17">
        <v>1</v>
      </c>
      <c r="BD17" s="84" t="str">
        <f>REPLACE(INDEX(GroupVertices[Group],MATCH(Edges11[[#This Row],[Vertex 1]],GroupVertices[Vertex],0)),1,1,"")</f>
        <v>1</v>
      </c>
      <c r="BE17" s="84" t="str">
        <f>REPLACE(INDEX(GroupVertices[Group],MATCH(Edges11[[#This Row],[Vertex 2]],GroupVertices[Vertex],0)),1,1,"")</f>
        <v>1</v>
      </c>
    </row>
    <row r="18" spans="1:57" ht="15">
      <c r="A18" s="83" t="s">
        <v>216</v>
      </c>
      <c r="B18" s="83" t="s">
        <v>225</v>
      </c>
      <c r="C18" s="54"/>
      <c r="D18" s="55"/>
      <c r="E18" s="67"/>
      <c r="F18" s="56"/>
      <c r="G18" s="54"/>
      <c r="H18" s="58"/>
      <c r="I18" s="57"/>
      <c r="J18" s="57"/>
      <c r="K18" s="36" t="s">
        <v>65</v>
      </c>
      <c r="L18" s="82">
        <v>18</v>
      </c>
      <c r="M18" s="82"/>
      <c r="N18" s="64"/>
      <c r="O18" s="85" t="s">
        <v>230</v>
      </c>
      <c r="P18" s="87">
        <v>44894.7959375</v>
      </c>
      <c r="Q18" s="85" t="s">
        <v>235</v>
      </c>
      <c r="R18" s="85"/>
      <c r="S18" s="85"/>
      <c r="T18" s="85"/>
      <c r="U18" s="85"/>
      <c r="V18" s="89" t="str">
        <f t="shared" si="0"/>
        <v>http://pbs.twimg.com/profile_images/1551909067568087040/hE019265_normal.jpg</v>
      </c>
      <c r="W18" s="87">
        <v>44894.7959375</v>
      </c>
      <c r="X18" s="92">
        <v>44894</v>
      </c>
      <c r="Y18" s="90" t="s">
        <v>245</v>
      </c>
      <c r="Z18" s="89" t="str">
        <f t="shared" si="1"/>
        <v>https://twitter.com/#!/ema_dm06/status/1597668251286183936</v>
      </c>
      <c r="AA18" s="85"/>
      <c r="AB18" s="85"/>
      <c r="AC18" s="90" t="s">
        <v>253</v>
      </c>
      <c r="AD18" s="90" t="s">
        <v>255</v>
      </c>
      <c r="AE18" s="85" t="b">
        <v>0</v>
      </c>
      <c r="AF18" s="85">
        <v>0</v>
      </c>
      <c r="AG18" s="90" t="s">
        <v>257</v>
      </c>
      <c r="AH18" s="85" t="b">
        <v>0</v>
      </c>
      <c r="AI18" s="85" t="s">
        <v>258</v>
      </c>
      <c r="AJ18" s="85"/>
      <c r="AK18" s="90" t="s">
        <v>256</v>
      </c>
      <c r="AL18" s="85" t="b">
        <v>0</v>
      </c>
      <c r="AM18" s="85">
        <v>0</v>
      </c>
      <c r="AN18" s="90" t="s">
        <v>256</v>
      </c>
      <c r="AO18" s="90" t="s">
        <v>261</v>
      </c>
      <c r="AP18" s="85" t="b">
        <v>0</v>
      </c>
      <c r="AQ18" s="90" t="s">
        <v>255</v>
      </c>
      <c r="AR18" s="85" t="s">
        <v>176</v>
      </c>
      <c r="AS18" s="85">
        <v>0</v>
      </c>
      <c r="AT18" s="85">
        <v>0</v>
      </c>
      <c r="AU18" s="85"/>
      <c r="AV18" s="85"/>
      <c r="AW18" s="85"/>
      <c r="AX18" s="85"/>
      <c r="AY18" s="85"/>
      <c r="AZ18" s="85"/>
      <c r="BA18" s="85"/>
      <c r="BB18" s="85"/>
      <c r="BC18">
        <v>1</v>
      </c>
      <c r="BD18" s="84" t="str">
        <f>REPLACE(INDEX(GroupVertices[Group],MATCH(Edges11[[#This Row],[Vertex 1]],GroupVertices[Vertex],0)),1,1,"")</f>
        <v>1</v>
      </c>
      <c r="BE18" s="84" t="str">
        <f>REPLACE(INDEX(GroupVertices[Group],MATCH(Edges11[[#This Row],[Vertex 2]],GroupVertices[Vertex],0)),1,1,"")</f>
        <v>1</v>
      </c>
    </row>
    <row r="19" spans="1:57" ht="15">
      <c r="A19" s="83" t="s">
        <v>216</v>
      </c>
      <c r="B19" s="83" t="s">
        <v>226</v>
      </c>
      <c r="C19" s="54"/>
      <c r="D19" s="55"/>
      <c r="E19" s="67"/>
      <c r="F19" s="56"/>
      <c r="G19" s="54"/>
      <c r="H19" s="58"/>
      <c r="I19" s="57"/>
      <c r="J19" s="57"/>
      <c r="K19" s="36" t="s">
        <v>65</v>
      </c>
      <c r="L19" s="82">
        <v>19</v>
      </c>
      <c r="M19" s="82"/>
      <c r="N19" s="64"/>
      <c r="O19" s="85" t="s">
        <v>230</v>
      </c>
      <c r="P19" s="87">
        <v>44894.7959375</v>
      </c>
      <c r="Q19" s="85" t="s">
        <v>235</v>
      </c>
      <c r="R19" s="85"/>
      <c r="S19" s="85"/>
      <c r="T19" s="85"/>
      <c r="U19" s="85"/>
      <c r="V19" s="89" t="str">
        <f t="shared" si="0"/>
        <v>http://pbs.twimg.com/profile_images/1551909067568087040/hE019265_normal.jpg</v>
      </c>
      <c r="W19" s="87">
        <v>44894.7959375</v>
      </c>
      <c r="X19" s="92">
        <v>44894</v>
      </c>
      <c r="Y19" s="90" t="s">
        <v>245</v>
      </c>
      <c r="Z19" s="89" t="str">
        <f t="shared" si="1"/>
        <v>https://twitter.com/#!/ema_dm06/status/1597668251286183936</v>
      </c>
      <c r="AA19" s="85"/>
      <c r="AB19" s="85"/>
      <c r="AC19" s="90" t="s">
        <v>253</v>
      </c>
      <c r="AD19" s="90" t="s">
        <v>255</v>
      </c>
      <c r="AE19" s="85" t="b">
        <v>0</v>
      </c>
      <c r="AF19" s="85">
        <v>0</v>
      </c>
      <c r="AG19" s="90" t="s">
        <v>257</v>
      </c>
      <c r="AH19" s="85" t="b">
        <v>0</v>
      </c>
      <c r="AI19" s="85" t="s">
        <v>258</v>
      </c>
      <c r="AJ19" s="85"/>
      <c r="AK19" s="90" t="s">
        <v>256</v>
      </c>
      <c r="AL19" s="85" t="b">
        <v>0</v>
      </c>
      <c r="AM19" s="85">
        <v>0</v>
      </c>
      <c r="AN19" s="90" t="s">
        <v>256</v>
      </c>
      <c r="AO19" s="90" t="s">
        <v>261</v>
      </c>
      <c r="AP19" s="85" t="b">
        <v>0</v>
      </c>
      <c r="AQ19" s="90" t="s">
        <v>255</v>
      </c>
      <c r="AR19" s="85" t="s">
        <v>176</v>
      </c>
      <c r="AS19" s="85">
        <v>0</v>
      </c>
      <c r="AT19" s="85">
        <v>0</v>
      </c>
      <c r="AU19" s="85"/>
      <c r="AV19" s="85"/>
      <c r="AW19" s="85"/>
      <c r="AX19" s="85"/>
      <c r="AY19" s="85"/>
      <c r="AZ19" s="85"/>
      <c r="BA19" s="85"/>
      <c r="BB19" s="85"/>
      <c r="BC19">
        <v>1</v>
      </c>
      <c r="BD19" s="84" t="str">
        <f>REPLACE(INDEX(GroupVertices[Group],MATCH(Edges11[[#This Row],[Vertex 1]],GroupVertices[Vertex],0)),1,1,"")</f>
        <v>1</v>
      </c>
      <c r="BE19" s="84" t="str">
        <f>REPLACE(INDEX(GroupVertices[Group],MATCH(Edges11[[#This Row],[Vertex 2]],GroupVertices[Vertex],0)),1,1,"")</f>
        <v>1</v>
      </c>
    </row>
    <row r="20" spans="1:57" ht="15">
      <c r="A20" s="83" t="s">
        <v>216</v>
      </c>
      <c r="B20" s="83" t="s">
        <v>227</v>
      </c>
      <c r="C20" s="54"/>
      <c r="D20" s="55"/>
      <c r="E20" s="67"/>
      <c r="F20" s="56"/>
      <c r="G20" s="54"/>
      <c r="H20" s="58"/>
      <c r="I20" s="57"/>
      <c r="J20" s="57"/>
      <c r="K20" s="36" t="s">
        <v>65</v>
      </c>
      <c r="L20" s="82">
        <v>20</v>
      </c>
      <c r="M20" s="82"/>
      <c r="N20" s="64"/>
      <c r="O20" s="85" t="s">
        <v>231</v>
      </c>
      <c r="P20" s="87">
        <v>44894.7959375</v>
      </c>
      <c r="Q20" s="85" t="s">
        <v>235</v>
      </c>
      <c r="R20" s="85"/>
      <c r="S20" s="85"/>
      <c r="T20" s="85"/>
      <c r="U20" s="85"/>
      <c r="V20" s="89" t="str">
        <f t="shared" si="0"/>
        <v>http://pbs.twimg.com/profile_images/1551909067568087040/hE019265_normal.jpg</v>
      </c>
      <c r="W20" s="87">
        <v>44894.7959375</v>
      </c>
      <c r="X20" s="92">
        <v>44894</v>
      </c>
      <c r="Y20" s="90" t="s">
        <v>245</v>
      </c>
      <c r="Z20" s="89" t="str">
        <f t="shared" si="1"/>
        <v>https://twitter.com/#!/ema_dm06/status/1597668251286183936</v>
      </c>
      <c r="AA20" s="85"/>
      <c r="AB20" s="85"/>
      <c r="AC20" s="90" t="s">
        <v>253</v>
      </c>
      <c r="AD20" s="90" t="s">
        <v>255</v>
      </c>
      <c r="AE20" s="85" t="b">
        <v>0</v>
      </c>
      <c r="AF20" s="85">
        <v>0</v>
      </c>
      <c r="AG20" s="90" t="s">
        <v>257</v>
      </c>
      <c r="AH20" s="85" t="b">
        <v>0</v>
      </c>
      <c r="AI20" s="85" t="s">
        <v>258</v>
      </c>
      <c r="AJ20" s="85"/>
      <c r="AK20" s="90" t="s">
        <v>256</v>
      </c>
      <c r="AL20" s="85" t="b">
        <v>0</v>
      </c>
      <c r="AM20" s="85">
        <v>0</v>
      </c>
      <c r="AN20" s="90" t="s">
        <v>256</v>
      </c>
      <c r="AO20" s="90" t="s">
        <v>261</v>
      </c>
      <c r="AP20" s="85" t="b">
        <v>0</v>
      </c>
      <c r="AQ20" s="90" t="s">
        <v>255</v>
      </c>
      <c r="AR20" s="85" t="s">
        <v>176</v>
      </c>
      <c r="AS20" s="85">
        <v>0</v>
      </c>
      <c r="AT20" s="85">
        <v>0</v>
      </c>
      <c r="AU20" s="85"/>
      <c r="AV20" s="85"/>
      <c r="AW20" s="85"/>
      <c r="AX20" s="85"/>
      <c r="AY20" s="85"/>
      <c r="AZ20" s="85"/>
      <c r="BA20" s="85"/>
      <c r="BB20" s="85"/>
      <c r="BC20">
        <v>1</v>
      </c>
      <c r="BD20" s="84" t="str">
        <f>REPLACE(INDEX(GroupVertices[Group],MATCH(Edges11[[#This Row],[Vertex 1]],GroupVertices[Vertex],0)),1,1,"")</f>
        <v>1</v>
      </c>
      <c r="BE20"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355</v>
      </c>
      <c r="K7" s="13" t="s">
        <v>356</v>
      </c>
    </row>
    <row r="8" spans="1:11" ht="409.5">
      <c r="A8"/>
      <c r="B8">
        <v>2</v>
      </c>
      <c r="C8">
        <v>2</v>
      </c>
      <c r="D8" t="s">
        <v>61</v>
      </c>
      <c r="E8" t="s">
        <v>61</v>
      </c>
      <c r="H8" t="s">
        <v>73</v>
      </c>
      <c r="J8" t="s">
        <v>357</v>
      </c>
      <c r="K8" s="13" t="s">
        <v>358</v>
      </c>
    </row>
    <row r="9" spans="1:11" ht="409.5">
      <c r="A9"/>
      <c r="B9">
        <v>3</v>
      </c>
      <c r="C9">
        <v>4</v>
      </c>
      <c r="D9" t="s">
        <v>62</v>
      </c>
      <c r="E9" t="s">
        <v>62</v>
      </c>
      <c r="H9" t="s">
        <v>74</v>
      </c>
      <c r="J9" t="s">
        <v>359</v>
      </c>
      <c r="K9" s="13" t="s">
        <v>360</v>
      </c>
    </row>
    <row r="10" spans="1:11" ht="409.5">
      <c r="A10"/>
      <c r="B10">
        <v>4</v>
      </c>
      <c r="D10" t="s">
        <v>63</v>
      </c>
      <c r="E10" t="s">
        <v>63</v>
      </c>
      <c r="H10" t="s">
        <v>75</v>
      </c>
      <c r="J10" t="s">
        <v>361</v>
      </c>
      <c r="K10" s="13" t="s">
        <v>362</v>
      </c>
    </row>
    <row r="11" spans="1:11" ht="15">
      <c r="A11"/>
      <c r="B11">
        <v>5</v>
      </c>
      <c r="D11" t="s">
        <v>46</v>
      </c>
      <c r="E11">
        <v>1</v>
      </c>
      <c r="H11" t="s">
        <v>76</v>
      </c>
      <c r="J11" t="s">
        <v>363</v>
      </c>
      <c r="K11" t="s">
        <v>364</v>
      </c>
    </row>
    <row r="12" spans="1:11" ht="15">
      <c r="A12"/>
      <c r="B12"/>
      <c r="D12" t="s">
        <v>64</v>
      </c>
      <c r="E12">
        <v>2</v>
      </c>
      <c r="H12">
        <v>0</v>
      </c>
      <c r="J12" t="s">
        <v>365</v>
      </c>
      <c r="K12" t="s">
        <v>366</v>
      </c>
    </row>
    <row r="13" spans="1:11" ht="15">
      <c r="A13"/>
      <c r="B13"/>
      <c r="D13">
        <v>1</v>
      </c>
      <c r="E13">
        <v>3</v>
      </c>
      <c r="H13">
        <v>1</v>
      </c>
      <c r="J13" t="s">
        <v>367</v>
      </c>
      <c r="K13" t="s">
        <v>368</v>
      </c>
    </row>
    <row r="14" spans="4:11" ht="15">
      <c r="D14">
        <v>2</v>
      </c>
      <c r="E14">
        <v>4</v>
      </c>
      <c r="H14">
        <v>2</v>
      </c>
      <c r="J14" t="s">
        <v>369</v>
      </c>
      <c r="K14" t="s">
        <v>370</v>
      </c>
    </row>
    <row r="15" spans="4:11" ht="15">
      <c r="D15">
        <v>3</v>
      </c>
      <c r="E15">
        <v>5</v>
      </c>
      <c r="H15">
        <v>3</v>
      </c>
      <c r="J15" t="s">
        <v>371</v>
      </c>
      <c r="K15" t="s">
        <v>372</v>
      </c>
    </row>
    <row r="16" spans="4:11" ht="15">
      <c r="D16">
        <v>4</v>
      </c>
      <c r="E16">
        <v>6</v>
      </c>
      <c r="H16">
        <v>4</v>
      </c>
      <c r="J16" t="s">
        <v>373</v>
      </c>
      <c r="K16" t="s">
        <v>374</v>
      </c>
    </row>
    <row r="17" spans="4:11" ht="15">
      <c r="D17">
        <v>5</v>
      </c>
      <c r="E17">
        <v>7</v>
      </c>
      <c r="H17">
        <v>5</v>
      </c>
      <c r="J17" t="s">
        <v>375</v>
      </c>
      <c r="K17" t="s">
        <v>376</v>
      </c>
    </row>
    <row r="18" spans="4:11" ht="15">
      <c r="D18">
        <v>6</v>
      </c>
      <c r="E18">
        <v>8</v>
      </c>
      <c r="H18">
        <v>6</v>
      </c>
      <c r="J18" t="s">
        <v>377</v>
      </c>
      <c r="K18" t="s">
        <v>378</v>
      </c>
    </row>
    <row r="19" spans="4:11" ht="15">
      <c r="D19">
        <v>7</v>
      </c>
      <c r="E19">
        <v>9</v>
      </c>
      <c r="H19">
        <v>7</v>
      </c>
      <c r="J19" t="s">
        <v>379</v>
      </c>
      <c r="K19" t="s">
        <v>380</v>
      </c>
    </row>
    <row r="20" spans="4:11" ht="15">
      <c r="D20">
        <v>8</v>
      </c>
      <c r="H20">
        <v>8</v>
      </c>
      <c r="J20" t="s">
        <v>381</v>
      </c>
      <c r="K20" t="s">
        <v>382</v>
      </c>
    </row>
    <row r="21" spans="4:11" ht="409.5">
      <c r="D21">
        <v>9</v>
      </c>
      <c r="H21">
        <v>9</v>
      </c>
      <c r="J21" t="s">
        <v>383</v>
      </c>
      <c r="K21" s="13" t="s">
        <v>384</v>
      </c>
    </row>
    <row r="22" spans="4:11" ht="409.5">
      <c r="D22">
        <v>10</v>
      </c>
      <c r="J22" t="s">
        <v>385</v>
      </c>
      <c r="K22" s="13" t="s">
        <v>386</v>
      </c>
    </row>
    <row r="23" spans="4:11" ht="409.5">
      <c r="D23">
        <v>11</v>
      </c>
      <c r="J23" t="s">
        <v>387</v>
      </c>
      <c r="K23" s="13" t="s">
        <v>412</v>
      </c>
    </row>
    <row r="24" spans="10:11" ht="409.5">
      <c r="J24" t="s">
        <v>388</v>
      </c>
      <c r="K24" s="13" t="s">
        <v>411</v>
      </c>
    </row>
    <row r="25" spans="10:11" ht="15">
      <c r="J25" t="s">
        <v>389</v>
      </c>
      <c r="K25" t="b">
        <v>0</v>
      </c>
    </row>
    <row r="26" spans="10:11" ht="15">
      <c r="J26" t="s">
        <v>409</v>
      </c>
      <c r="K26" t="s">
        <v>410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2" t="s">
        <v>405</v>
      </c>
      <c r="B25" t="s">
        <v>404</v>
      </c>
    </row>
    <row r="26" spans="1:2" ht="15">
      <c r="A26" s="123">
        <v>44881.69225694444</v>
      </c>
      <c r="B26" s="3">
        <v>1</v>
      </c>
    </row>
    <row r="27" spans="1:2" ht="15">
      <c r="A27" s="123">
        <v>44887.860138888886</v>
      </c>
      <c r="B27" s="3">
        <v>1</v>
      </c>
    </row>
    <row r="28" spans="1:2" ht="15">
      <c r="A28" s="123">
        <v>44889.12449074074</v>
      </c>
      <c r="B28" s="3">
        <v>1</v>
      </c>
    </row>
    <row r="29" spans="1:2" ht="15">
      <c r="A29" s="123">
        <v>44890.88128472222</v>
      </c>
      <c r="B29" s="3">
        <v>1</v>
      </c>
    </row>
    <row r="30" spans="1:2" ht="15">
      <c r="A30" s="123">
        <v>44891.372407407405</v>
      </c>
      <c r="B30" s="3">
        <v>2</v>
      </c>
    </row>
    <row r="31" spans="1:2" ht="15">
      <c r="A31" s="123">
        <v>44893.74534722222</v>
      </c>
      <c r="B31" s="3">
        <v>1</v>
      </c>
    </row>
    <row r="32" spans="1:2" ht="15">
      <c r="A32" s="123">
        <v>44894.79189814815</v>
      </c>
      <c r="B32" s="3">
        <v>1</v>
      </c>
    </row>
    <row r="33" spans="1:2" ht="15">
      <c r="A33" s="123">
        <v>44894.7959375</v>
      </c>
      <c r="B33" s="3">
        <v>10</v>
      </c>
    </row>
    <row r="34" spans="1:2" ht="15">
      <c r="A34" s="123" t="s">
        <v>406</v>
      </c>
      <c r="B3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2022-12-08T03:50:22Z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